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externalLinks/externalLink38.xml" ContentType="application/vnd.openxmlformats-officedocument.spreadsheetml.externalLink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27.xml" ContentType="application/vnd.openxmlformats-officedocument.spreadsheetml.externalLink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41.xml" ContentType="application/vnd.openxmlformats-officedocument.spreadsheetml.externalLink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externalLinks/externalLink29.xml" ContentType="application/vnd.openxmlformats-officedocument.spreadsheetml.externalLink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externalLinks/externalLink43.xml" ContentType="application/vnd.openxmlformats-officedocument.spreadsheetml.externalLink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32.xml" ContentType="application/vnd.openxmlformats-officedocument.spreadsheetml.externalLink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externalLinks/externalLink37.xml" ContentType="application/vnd.openxmlformats-officedocument.spreadsheetml.externalLink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externalLinks/externalLink34.xml" ContentType="application/vnd.openxmlformats-officedocument.spreadsheetml.externalLink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23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externalLinks/externalLink39.xml" ContentType="application/vnd.openxmlformats-officedocument.spreadsheetml.externalLink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42.xml" ContentType="application/vnd.openxmlformats-officedocument.spreadsheetml.externalLink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36.xml" ContentType="application/vnd.openxmlformats-officedocument.spreadsheetml.externalLink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25.xml" ContentType="application/vnd.openxmlformats-officedocument.spreadsheetml.externalLink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3820"/>
  <bookViews>
    <workbookView xWindow="0" yWindow="0" windowWidth="20490" windowHeight="7455" tabRatio="879" firstSheet="4" activeTab="5"/>
  </bookViews>
  <sheets>
    <sheet name="page 370" sheetId="1" state="hidden" r:id="rId1"/>
    <sheet name="page 372" sheetId="3" state="hidden" r:id="rId2"/>
    <sheet name="analisa 2019" sheetId="16" state="hidden" r:id="rId3"/>
    <sheet name="UPAD-BAHAN-ALAT" sheetId="340" state="hidden" r:id="rId4"/>
    <sheet name="Rekapitulasi" sheetId="346" r:id="rId5"/>
    <sheet name="RAB" sheetId="344" r:id="rId6"/>
    <sheet name="UPAD-BAHAN-ALAT Cetak" sheetId="349" r:id="rId7"/>
    <sheet name="BECKUP data" sheetId="345" r:id="rId8"/>
    <sheet name="analisa 2019 cetak" sheetId="347" r:id="rId9"/>
    <sheet name="Rekap Analisa" sheetId="339" state="hidden" r:id="rId10"/>
    <sheet name="dihitung" sheetId="343" state="hidden" r:id="rId11"/>
    <sheet name="page 442" sheetId="70" state="hidden" r:id="rId12"/>
    <sheet name="page 443" sheetId="71" state="hidden" r:id="rId13"/>
    <sheet name="page 444" sheetId="72" state="hidden" r:id="rId14"/>
    <sheet name="page 445" sheetId="73" state="hidden" r:id="rId15"/>
    <sheet name="page 446" sheetId="74" state="hidden" r:id="rId16"/>
    <sheet name="page 447" sheetId="75" state="hidden" r:id="rId17"/>
    <sheet name="page 448" sheetId="76" state="hidden" r:id="rId18"/>
    <sheet name="page 449" sheetId="77" state="hidden" r:id="rId19"/>
    <sheet name="page 450" sheetId="78" state="hidden" r:id="rId20"/>
    <sheet name="page 451" sheetId="79" state="hidden" r:id="rId21"/>
    <sheet name="page 452" sheetId="80" state="hidden" r:id="rId22"/>
    <sheet name="page 453" sheetId="81" state="hidden" r:id="rId23"/>
    <sheet name="page 454" sheetId="82" state="hidden" r:id="rId24"/>
    <sheet name="page 455" sheetId="83" state="hidden" r:id="rId25"/>
    <sheet name="page 456" sheetId="84" state="hidden" r:id="rId26"/>
    <sheet name="page 457" sheetId="85" state="hidden" r:id="rId27"/>
    <sheet name="page 458" sheetId="86" state="hidden" r:id="rId28"/>
    <sheet name="page 459" sheetId="87" state="hidden" r:id="rId29"/>
    <sheet name="page 460" sheetId="88" state="hidden" r:id="rId30"/>
    <sheet name="page 461" sheetId="89" state="hidden" r:id="rId31"/>
    <sheet name="page 462" sheetId="90" state="hidden" r:id="rId32"/>
    <sheet name="page 463" sheetId="91" state="hidden" r:id="rId33"/>
    <sheet name="page 464" sheetId="92" state="hidden" r:id="rId34"/>
    <sheet name="page 465" sheetId="93" state="hidden" r:id="rId35"/>
    <sheet name="page 466" sheetId="94" state="hidden" r:id="rId36"/>
    <sheet name="page 467" sheetId="95" state="hidden" r:id="rId37"/>
    <sheet name="page 468" sheetId="96" state="hidden" r:id="rId38"/>
    <sheet name="page 469" sheetId="97" state="hidden" r:id="rId39"/>
    <sheet name="page 470" sheetId="98" state="hidden" r:id="rId40"/>
    <sheet name="page 471" sheetId="99" state="hidden" r:id="rId41"/>
    <sheet name="page 472" sheetId="100" state="hidden" r:id="rId42"/>
    <sheet name="page 473" sheetId="101" state="hidden" r:id="rId43"/>
    <sheet name="page 473 (2)" sheetId="328" state="hidden" r:id="rId44"/>
    <sheet name="page 474" sheetId="102" state="hidden" r:id="rId45"/>
    <sheet name="page 475" sheetId="103" state="hidden" r:id="rId46"/>
    <sheet name="page 476" sheetId="104" state="hidden" r:id="rId47"/>
    <sheet name="page 477" sheetId="105" state="hidden" r:id="rId48"/>
    <sheet name="page 478" sheetId="106" state="hidden" r:id="rId49"/>
    <sheet name="page 479" sheetId="107" state="hidden" r:id="rId50"/>
    <sheet name="page 480" sheetId="108" state="hidden" r:id="rId51"/>
    <sheet name="page 481" sheetId="109" state="hidden" r:id="rId52"/>
    <sheet name="page 482" sheetId="110" state="hidden" r:id="rId53"/>
    <sheet name="page 483" sheetId="111" state="hidden" r:id="rId54"/>
    <sheet name="page 484" sheetId="112" state="hidden" r:id="rId55"/>
    <sheet name="page 485" sheetId="113" state="hidden" r:id="rId56"/>
    <sheet name="page 486" sheetId="114" state="hidden" r:id="rId57"/>
    <sheet name="page 487" sheetId="115" state="hidden" r:id="rId58"/>
    <sheet name="page 488" sheetId="116" state="hidden" r:id="rId59"/>
    <sheet name="page 489" sheetId="117" state="hidden" r:id="rId60"/>
    <sheet name="page 490" sheetId="118" state="hidden" r:id="rId61"/>
    <sheet name="page 491" sheetId="119" state="hidden" r:id="rId62"/>
    <sheet name="page 492" sheetId="120" state="hidden" r:id="rId63"/>
    <sheet name="page 493" sheetId="121" state="hidden" r:id="rId64"/>
    <sheet name="page 494" sheetId="122" state="hidden" r:id="rId65"/>
    <sheet name="page 495" sheetId="123" state="hidden" r:id="rId66"/>
    <sheet name="page 496" sheetId="124" state="hidden" r:id="rId67"/>
    <sheet name="page 497" sheetId="125" state="hidden" r:id="rId68"/>
    <sheet name="page 498" sheetId="126" state="hidden" r:id="rId69"/>
    <sheet name="page 499" sheetId="127" state="hidden" r:id="rId70"/>
    <sheet name="page 500" sheetId="128" state="hidden" r:id="rId71"/>
    <sheet name="page 501" sheetId="129" state="hidden" r:id="rId72"/>
    <sheet name="page 502" sheetId="130" state="hidden" r:id="rId73"/>
    <sheet name="page 503" sheetId="131" state="hidden" r:id="rId74"/>
    <sheet name="page 504" sheetId="132" state="hidden" r:id="rId75"/>
    <sheet name="page 505" sheetId="133" state="hidden" r:id="rId76"/>
    <sheet name="page 506" sheetId="134" state="hidden" r:id="rId77"/>
    <sheet name="page 507" sheetId="135" state="hidden" r:id="rId78"/>
    <sheet name="page 508" sheetId="136" state="hidden" r:id="rId79"/>
    <sheet name="page 509" sheetId="137" state="hidden" r:id="rId80"/>
    <sheet name="page 509 (2)" sheetId="329" state="hidden" r:id="rId81"/>
    <sheet name="page 510" sheetId="138" state="hidden" r:id="rId82"/>
    <sheet name="page 511" sheetId="139" state="hidden" r:id="rId83"/>
    <sheet name="page 512" sheetId="140" state="hidden" r:id="rId84"/>
    <sheet name="page 513" sheetId="141" state="hidden" r:id="rId85"/>
    <sheet name="page 514" sheetId="142" state="hidden" r:id="rId86"/>
    <sheet name="page 515" sheetId="143" state="hidden" r:id="rId87"/>
    <sheet name="page 516" sheetId="144" state="hidden" r:id="rId88"/>
    <sheet name="page 517" sheetId="145" state="hidden" r:id="rId89"/>
    <sheet name="page 518" sheetId="146" state="hidden" r:id="rId90"/>
    <sheet name="page 519" sheetId="147" state="hidden" r:id="rId91"/>
    <sheet name="page 520" sheetId="148" state="hidden" r:id="rId92"/>
    <sheet name="page 521" sheetId="149" state="hidden" r:id="rId93"/>
    <sheet name="page 522" sheetId="150" state="hidden" r:id="rId94"/>
    <sheet name="page 523" sheetId="151" state="hidden" r:id="rId95"/>
    <sheet name="page 524" sheetId="152" state="hidden" r:id="rId96"/>
    <sheet name="page 525" sheetId="153" state="hidden" r:id="rId97"/>
    <sheet name="page 526" sheetId="154" state="hidden" r:id="rId98"/>
    <sheet name="page 527" sheetId="155" state="hidden" r:id="rId99"/>
    <sheet name="page 528" sheetId="156" state="hidden" r:id="rId100"/>
    <sheet name="page 529" sheetId="157" state="hidden" r:id="rId101"/>
    <sheet name="page 530" sheetId="158" state="hidden" r:id="rId102"/>
    <sheet name="page 530 (2)" sheetId="330" state="hidden" r:id="rId103"/>
    <sheet name="page 531" sheetId="159" state="hidden" r:id="rId104"/>
    <sheet name="page 532" sheetId="160" state="hidden" r:id="rId105"/>
    <sheet name="page 533" sheetId="161" state="hidden" r:id="rId106"/>
    <sheet name="page 534" sheetId="162" state="hidden" r:id="rId107"/>
    <sheet name="page 535" sheetId="163" state="hidden" r:id="rId108"/>
    <sheet name="page 536" sheetId="164" state="hidden" r:id="rId109"/>
    <sheet name="page 537" sheetId="165" state="hidden" r:id="rId110"/>
    <sheet name="page 538" sheetId="166" state="hidden" r:id="rId111"/>
    <sheet name="page 539" sheetId="167" state="hidden" r:id="rId112"/>
    <sheet name="page 540" sheetId="168" state="hidden" r:id="rId113"/>
    <sheet name="page 541" sheetId="169" state="hidden" r:id="rId114"/>
    <sheet name="page 542" sheetId="170" state="hidden" r:id="rId115"/>
    <sheet name="page 543" sheetId="171" state="hidden" r:id="rId116"/>
    <sheet name="page 544" sheetId="172" state="hidden" r:id="rId117"/>
    <sheet name="page 544 (2)" sheetId="331" state="hidden" r:id="rId118"/>
    <sheet name="page 545" sheetId="173" state="hidden" r:id="rId119"/>
    <sheet name="page 546" sheetId="174" state="hidden" r:id="rId120"/>
    <sheet name="page 547" sheetId="175" state="hidden" r:id="rId121"/>
    <sheet name="page 548" sheetId="176" state="hidden" r:id="rId122"/>
    <sheet name="page 549" sheetId="177" state="hidden" r:id="rId123"/>
    <sheet name="page 550" sheetId="178" state="hidden" r:id="rId124"/>
    <sheet name="page 551" sheetId="179" state="hidden" r:id="rId125"/>
    <sheet name="page 552" sheetId="180" state="hidden" r:id="rId126"/>
    <sheet name="page 553" sheetId="181" state="hidden" r:id="rId127"/>
    <sheet name="page 554" sheetId="182" state="hidden" r:id="rId128"/>
    <sheet name="page 555" sheetId="183" state="hidden" r:id="rId129"/>
    <sheet name="page 556" sheetId="184" state="hidden" r:id="rId130"/>
    <sheet name="page 557" sheetId="185" state="hidden" r:id="rId131"/>
    <sheet name="page 558" sheetId="186" state="hidden" r:id="rId132"/>
    <sheet name="page 559" sheetId="187" state="hidden" r:id="rId133"/>
    <sheet name="page 560" sheetId="188" state="hidden" r:id="rId134"/>
    <sheet name="page 561" sheetId="189" state="hidden" r:id="rId135"/>
    <sheet name="page 562" sheetId="190" state="hidden" r:id="rId136"/>
    <sheet name="page 563" sheetId="191" state="hidden" r:id="rId137"/>
    <sheet name="page 564" sheetId="192" state="hidden" r:id="rId138"/>
    <sheet name="page 565" sheetId="193" state="hidden" r:id="rId139"/>
    <sheet name="page 566" sheetId="194" state="hidden" r:id="rId140"/>
    <sheet name="page 566 (2)" sheetId="332" state="hidden" r:id="rId141"/>
    <sheet name="page 567" sheetId="195" state="hidden" r:id="rId142"/>
    <sheet name="page 568" sheetId="196" state="hidden" r:id="rId143"/>
    <sheet name="page 569" sheetId="197" state="hidden" r:id="rId144"/>
    <sheet name="page 570" sheetId="198" state="hidden" r:id="rId145"/>
    <sheet name="page 571" sheetId="199" state="hidden" r:id="rId146"/>
    <sheet name="page 572" sheetId="200" state="hidden" r:id="rId147"/>
    <sheet name="page 573" sheetId="201" state="hidden" r:id="rId148"/>
    <sheet name="page 574" sheetId="202" state="hidden" r:id="rId149"/>
    <sheet name="page 575" sheetId="203" state="hidden" r:id="rId150"/>
    <sheet name="page 576" sheetId="204" state="hidden" r:id="rId151"/>
    <sheet name="page 577" sheetId="205" state="hidden" r:id="rId152"/>
    <sheet name="page 578" sheetId="206" state="hidden" r:id="rId153"/>
    <sheet name="page 579" sheetId="207" state="hidden" r:id="rId154"/>
    <sheet name="page 580" sheetId="208" state="hidden" r:id="rId155"/>
    <sheet name="page 581" sheetId="209" state="hidden" r:id="rId156"/>
    <sheet name="page 582" sheetId="210" state="hidden" r:id="rId157"/>
    <sheet name="page 583" sheetId="211" state="hidden" r:id="rId158"/>
    <sheet name="page 584" sheetId="212" state="hidden" r:id="rId159"/>
    <sheet name="page 584 (2)" sheetId="333" state="hidden" r:id="rId160"/>
    <sheet name="page 585" sheetId="213" state="hidden" r:id="rId161"/>
    <sheet name="page 586" sheetId="214" state="hidden" r:id="rId162"/>
    <sheet name="page 587" sheetId="215" state="hidden" r:id="rId163"/>
    <sheet name="page 588" sheetId="216" state="hidden" r:id="rId164"/>
    <sheet name="page 589" sheetId="217" state="hidden" r:id="rId165"/>
    <sheet name="page 590" sheetId="218" state="hidden" r:id="rId166"/>
    <sheet name="page 591" sheetId="219" state="hidden" r:id="rId167"/>
    <sheet name="page 592" sheetId="220" state="hidden" r:id="rId168"/>
    <sheet name="page 593" sheetId="221" state="hidden" r:id="rId169"/>
    <sheet name="page 594" sheetId="222" state="hidden" r:id="rId170"/>
    <sheet name="page 595" sheetId="223" state="hidden" r:id="rId171"/>
    <sheet name="page 596" sheetId="224" state="hidden" r:id="rId172"/>
    <sheet name="page 597" sheetId="225" state="hidden" r:id="rId173"/>
    <sheet name="page 598" sheetId="226" state="hidden" r:id="rId174"/>
    <sheet name="page 599" sheetId="227" state="hidden" r:id="rId175"/>
    <sheet name="page 600" sheetId="228" state="hidden" r:id="rId176"/>
    <sheet name="page 601" sheetId="229" state="hidden" r:id="rId177"/>
    <sheet name="page 602" sheetId="230" state="hidden" r:id="rId178"/>
    <sheet name="page 603" sheetId="231" state="hidden" r:id="rId179"/>
    <sheet name="page 604" sheetId="232" state="hidden" r:id="rId180"/>
    <sheet name="page 605" sheetId="233" state="hidden" r:id="rId181"/>
    <sheet name="page 606" sheetId="234" state="hidden" r:id="rId182"/>
    <sheet name="page 607" sheetId="235" state="hidden" r:id="rId183"/>
    <sheet name="page 608" sheetId="236" state="hidden" r:id="rId184"/>
    <sheet name="page 609" sheetId="237" state="hidden" r:id="rId185"/>
    <sheet name="page 610" sheetId="238" state="hidden" r:id="rId186"/>
    <sheet name="page 611" sheetId="239" state="hidden" r:id="rId187"/>
    <sheet name="page 612" sheetId="240" state="hidden" r:id="rId188"/>
    <sheet name="page 613" sheetId="241" state="hidden" r:id="rId189"/>
    <sheet name="page 614" sheetId="242" state="hidden" r:id="rId190"/>
    <sheet name="page 615" sheetId="243" state="hidden" r:id="rId191"/>
    <sheet name="page 616" sheetId="244" state="hidden" r:id="rId192"/>
    <sheet name="page 617" sheetId="245" state="hidden" r:id="rId193"/>
    <sheet name="page 618" sheetId="246" state="hidden" r:id="rId194"/>
    <sheet name="page 619" sheetId="247" state="hidden" r:id="rId195"/>
    <sheet name="page 620" sheetId="248" state="hidden" r:id="rId196"/>
    <sheet name="page 621" sheetId="249" state="hidden" r:id="rId197"/>
    <sheet name="page 622" sheetId="250" state="hidden" r:id="rId198"/>
    <sheet name="page 623" sheetId="251" state="hidden" r:id="rId199"/>
    <sheet name="page 624" sheetId="252" state="hidden" r:id="rId200"/>
    <sheet name="page 625" sheetId="253" state="hidden" r:id="rId201"/>
    <sheet name="page 626" sheetId="254" state="hidden" r:id="rId202"/>
    <sheet name="page 627" sheetId="255" state="hidden" r:id="rId203"/>
    <sheet name="page 628" sheetId="256" state="hidden" r:id="rId204"/>
    <sheet name="page 629" sheetId="257" state="hidden" r:id="rId205"/>
    <sheet name="page 630" sheetId="258" state="hidden" r:id="rId206"/>
    <sheet name="page 631" sheetId="259" state="hidden" r:id="rId207"/>
    <sheet name="page 632" sheetId="260" state="hidden" r:id="rId208"/>
    <sheet name="page 633" sheetId="261" state="hidden" r:id="rId209"/>
    <sheet name="page 634" sheetId="262" state="hidden" r:id="rId210"/>
    <sheet name="page 635" sheetId="263" state="hidden" r:id="rId211"/>
    <sheet name="page 636" sheetId="264" state="hidden" r:id="rId212"/>
    <sheet name="page 637" sheetId="265" state="hidden" r:id="rId213"/>
    <sheet name="page 638" sheetId="266" state="hidden" r:id="rId214"/>
    <sheet name="page 639" sheetId="267" state="hidden" r:id="rId215"/>
    <sheet name="page 640" sheetId="268" state="hidden" r:id="rId216"/>
    <sheet name="page 641" sheetId="269" state="hidden" r:id="rId217"/>
    <sheet name="page 642" sheetId="270" state="hidden" r:id="rId218"/>
    <sheet name="page 643" sheetId="271" state="hidden" r:id="rId219"/>
    <sheet name="page 644" sheetId="272" state="hidden" r:id="rId220"/>
    <sheet name="page 645" sheetId="273" state="hidden" r:id="rId221"/>
    <sheet name="page 646" sheetId="274" state="hidden" r:id="rId222"/>
    <sheet name="page 647" sheetId="275" state="hidden" r:id="rId223"/>
    <sheet name="page 648" sheetId="276" state="hidden" r:id="rId224"/>
    <sheet name="page 649" sheetId="277" state="hidden" r:id="rId225"/>
    <sheet name="page 650" sheetId="278" state="hidden" r:id="rId226"/>
    <sheet name="page 651" sheetId="279" state="hidden" r:id="rId227"/>
    <sheet name="page 652" sheetId="280" state="hidden" r:id="rId228"/>
    <sheet name="page 653" sheetId="281" state="hidden" r:id="rId229"/>
    <sheet name="page 654" sheetId="282" state="hidden" r:id="rId230"/>
    <sheet name="page 655" sheetId="283" state="hidden" r:id="rId231"/>
    <sheet name="page 656" sheetId="284" state="hidden" r:id="rId232"/>
    <sheet name="page 657" sheetId="285" state="hidden" r:id="rId233"/>
    <sheet name="page 658" sheetId="286" state="hidden" r:id="rId234"/>
    <sheet name="page 659" sheetId="287" state="hidden" r:id="rId235"/>
    <sheet name="page 660" sheetId="288" state="hidden" r:id="rId236"/>
    <sheet name="page 661" sheetId="289" state="hidden" r:id="rId237"/>
    <sheet name="page 662" sheetId="290" state="hidden" r:id="rId238"/>
    <sheet name="page 663" sheetId="291" state="hidden" r:id="rId239"/>
    <sheet name="page 663 2" sheetId="334" state="hidden" r:id="rId240"/>
    <sheet name="page 664" sheetId="292" state="hidden" r:id="rId241"/>
    <sheet name="page 665" sheetId="293" state="hidden" r:id="rId242"/>
    <sheet name="page 666" sheetId="294" state="hidden" r:id="rId243"/>
    <sheet name="page 667" sheetId="295" state="hidden" r:id="rId244"/>
    <sheet name="page 668" sheetId="296" state="hidden" r:id="rId245"/>
    <sheet name="page 669" sheetId="297" state="hidden" r:id="rId246"/>
    <sheet name="page 670" sheetId="298" state="hidden" r:id="rId247"/>
    <sheet name="page 671" sheetId="299" state="hidden" r:id="rId248"/>
    <sheet name="page 672" sheetId="300" state="hidden" r:id="rId249"/>
    <sheet name="page 673" sheetId="301" state="hidden" r:id="rId250"/>
    <sheet name="page 674" sheetId="302" state="hidden" r:id="rId251"/>
    <sheet name="page 675" sheetId="303" state="hidden" r:id="rId252"/>
    <sheet name="page 676" sheetId="304" state="hidden" r:id="rId253"/>
    <sheet name="page 677" sheetId="305" state="hidden" r:id="rId254"/>
    <sheet name="page 677 (2)" sheetId="335" state="hidden" r:id="rId255"/>
    <sheet name="page 678" sheetId="306" state="hidden" r:id="rId256"/>
    <sheet name="page 679" sheetId="307" state="hidden" r:id="rId257"/>
    <sheet name="page 680" sheetId="308" state="hidden" r:id="rId258"/>
    <sheet name="page 681" sheetId="309" state="hidden" r:id="rId259"/>
    <sheet name="page 682" sheetId="310" state="hidden" r:id="rId260"/>
    <sheet name="page 683" sheetId="311" state="hidden" r:id="rId261"/>
    <sheet name="page 683 (2)" sheetId="336" state="hidden" r:id="rId262"/>
    <sheet name="page 684" sheetId="312" state="hidden" r:id="rId263"/>
    <sheet name="page 685" sheetId="313" state="hidden" r:id="rId264"/>
    <sheet name="page 686" sheetId="314" state="hidden" r:id="rId265"/>
    <sheet name="page 687" sheetId="315" state="hidden" r:id="rId266"/>
    <sheet name="page 696" sheetId="323" state="hidden" r:id="rId267"/>
  </sheets>
  <externalReferences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</externalReferences>
  <definedNames>
    <definedName name="\Q" localSheetId="8">#REF!</definedName>
    <definedName name="\Q" localSheetId="10">#REF!</definedName>
    <definedName name="\Q" localSheetId="6">#REF!</definedName>
    <definedName name="\Q">#REF!</definedName>
    <definedName name="\W" localSheetId="8">#REF!</definedName>
    <definedName name="\W" localSheetId="6">#REF!</definedName>
    <definedName name="\W">#REF!</definedName>
    <definedName name="____COR135" localSheetId="8">[1]Anl!#REF!</definedName>
    <definedName name="____COR135" localSheetId="6">[1]Anl!#REF!</definedName>
    <definedName name="____COR135">[1]Anl!#REF!</definedName>
    <definedName name="____DIV11" localSheetId="8">'[2]Kuantitas &amp; Harga'!#REF!</definedName>
    <definedName name="____DIV11" localSheetId="6">'[2]Kuantitas &amp; Harga'!#REF!</definedName>
    <definedName name="____DIV11">'[2]Kuantitas &amp; Harga'!#REF!</definedName>
    <definedName name="____DIV7" localSheetId="8">'[2]Kuantitas &amp; Harga'!#REF!</definedName>
    <definedName name="____DIV7" localSheetId="6">'[2]Kuantitas &amp; Harga'!#REF!</definedName>
    <definedName name="____DIV7">'[2]Kuantitas &amp; Harga'!#REF!</definedName>
    <definedName name="____EEE01" localSheetId="8">#REF!</definedName>
    <definedName name="____EEE01" localSheetId="6">#REF!</definedName>
    <definedName name="____EEE01">#REF!</definedName>
    <definedName name="____EEE02" localSheetId="8">#REF!</definedName>
    <definedName name="____EEE02" localSheetId="6">#REF!</definedName>
    <definedName name="____EEE02">#REF!</definedName>
    <definedName name="____EEE03" localSheetId="8">#REF!</definedName>
    <definedName name="____EEE03" localSheetId="6">#REF!</definedName>
    <definedName name="____EEE03">#REF!</definedName>
    <definedName name="____EEE04" localSheetId="8">#REF!</definedName>
    <definedName name="____EEE04" localSheetId="6">#REF!</definedName>
    <definedName name="____EEE04">#REF!</definedName>
    <definedName name="____EEE05" localSheetId="8">#REF!</definedName>
    <definedName name="____EEE05" localSheetId="6">#REF!</definedName>
    <definedName name="____EEE05">#REF!</definedName>
    <definedName name="____EEE06" localSheetId="8">#REF!</definedName>
    <definedName name="____EEE06" localSheetId="6">#REF!</definedName>
    <definedName name="____EEE06">#REF!</definedName>
    <definedName name="____EEE07" localSheetId="8">#REF!</definedName>
    <definedName name="____EEE07" localSheetId="6">#REF!</definedName>
    <definedName name="____EEE07">#REF!</definedName>
    <definedName name="____EEE08" localSheetId="8">#REF!</definedName>
    <definedName name="____EEE08" localSheetId="6">#REF!</definedName>
    <definedName name="____EEE08">#REF!</definedName>
    <definedName name="____EEE09" localSheetId="8">#REF!</definedName>
    <definedName name="____EEE09" localSheetId="6">#REF!</definedName>
    <definedName name="____EEE09">#REF!</definedName>
    <definedName name="____EEE10" localSheetId="8">#REF!</definedName>
    <definedName name="____EEE10" localSheetId="6">#REF!</definedName>
    <definedName name="____EEE10">#REF!</definedName>
    <definedName name="____EEE11" localSheetId="8">#REF!</definedName>
    <definedName name="____EEE11" localSheetId="6">#REF!</definedName>
    <definedName name="____EEE11">#REF!</definedName>
    <definedName name="____EEE12" localSheetId="8">#REF!</definedName>
    <definedName name="____EEE12" localSheetId="6">#REF!</definedName>
    <definedName name="____EEE12">#REF!</definedName>
    <definedName name="____EEE13" localSheetId="8">#REF!</definedName>
    <definedName name="____EEE13" localSheetId="6">#REF!</definedName>
    <definedName name="____EEE13">#REF!</definedName>
    <definedName name="____EEE14" localSheetId="8">#REF!</definedName>
    <definedName name="____EEE14" localSheetId="6">#REF!</definedName>
    <definedName name="____EEE14">#REF!</definedName>
    <definedName name="____EEE15" localSheetId="8">#REF!</definedName>
    <definedName name="____EEE15" localSheetId="6">#REF!</definedName>
    <definedName name="____EEE15">#REF!</definedName>
    <definedName name="____EEE16" localSheetId="8">#REF!</definedName>
    <definedName name="____EEE16" localSheetId="6">#REF!</definedName>
    <definedName name="____EEE16">#REF!</definedName>
    <definedName name="____EEE17" localSheetId="8">#REF!</definedName>
    <definedName name="____EEE17" localSheetId="6">#REF!</definedName>
    <definedName name="____EEE17">#REF!</definedName>
    <definedName name="____EEE18" localSheetId="8">#REF!</definedName>
    <definedName name="____EEE18" localSheetId="6">#REF!</definedName>
    <definedName name="____EEE18">#REF!</definedName>
    <definedName name="____EEE19" localSheetId="8">#REF!</definedName>
    <definedName name="____EEE19" localSheetId="6">#REF!</definedName>
    <definedName name="____EEE19">#REF!</definedName>
    <definedName name="____EEE20" localSheetId="8">#REF!</definedName>
    <definedName name="____EEE20" localSheetId="6">#REF!</definedName>
    <definedName name="____EEE20">#REF!</definedName>
    <definedName name="____EEE21" localSheetId="8">#REF!</definedName>
    <definedName name="____EEE21" localSheetId="6">#REF!</definedName>
    <definedName name="____EEE21">#REF!</definedName>
    <definedName name="____EEE22" localSheetId="8">#REF!</definedName>
    <definedName name="____EEE22" localSheetId="6">#REF!</definedName>
    <definedName name="____EEE22">#REF!</definedName>
    <definedName name="____EEE23" localSheetId="8">#REF!</definedName>
    <definedName name="____EEE23" localSheetId="6">#REF!</definedName>
    <definedName name="____EEE23">#REF!</definedName>
    <definedName name="____EEE24" localSheetId="8">#REF!</definedName>
    <definedName name="____EEE24" localSheetId="6">#REF!</definedName>
    <definedName name="____EEE24">#REF!</definedName>
    <definedName name="____EEE25" localSheetId="8">#REF!</definedName>
    <definedName name="____EEE25" localSheetId="6">#REF!</definedName>
    <definedName name="____EEE25">#REF!</definedName>
    <definedName name="____EEE26" localSheetId="8">#REF!</definedName>
    <definedName name="____EEE26" localSheetId="6">#REF!</definedName>
    <definedName name="____EEE26">#REF!</definedName>
    <definedName name="____EEE27" localSheetId="8">#REF!</definedName>
    <definedName name="____EEE27" localSheetId="6">#REF!</definedName>
    <definedName name="____EEE27">#REF!</definedName>
    <definedName name="____EEE28" localSheetId="8">#REF!</definedName>
    <definedName name="____EEE28" localSheetId="6">#REF!</definedName>
    <definedName name="____EEE28">#REF!</definedName>
    <definedName name="____EEE29" localSheetId="8">#REF!</definedName>
    <definedName name="____EEE29" localSheetId="6">#REF!</definedName>
    <definedName name="____EEE29">#REF!</definedName>
    <definedName name="____EEE30" localSheetId="8">#REF!</definedName>
    <definedName name="____EEE30" localSheetId="6">#REF!</definedName>
    <definedName name="____EEE30">#REF!</definedName>
    <definedName name="____EEE31" localSheetId="8">#REF!</definedName>
    <definedName name="____EEE31" localSheetId="6">#REF!</definedName>
    <definedName name="____EEE31">#REF!</definedName>
    <definedName name="____EEE32" localSheetId="8">#REF!</definedName>
    <definedName name="____EEE32" localSheetId="6">#REF!</definedName>
    <definedName name="____EEE32">#REF!</definedName>
    <definedName name="____EEE33" localSheetId="8">#REF!</definedName>
    <definedName name="____EEE33" localSheetId="6">#REF!</definedName>
    <definedName name="____EEE33">#REF!</definedName>
    <definedName name="____HAL5" localSheetId="8">'[2]Kuantitas &amp; Harga'!#REF!</definedName>
    <definedName name="____HAL5" localSheetId="6">'[2]Kuantitas &amp; Harga'!#REF!</definedName>
    <definedName name="____HAL5">'[2]Kuantitas &amp; Harga'!#REF!</definedName>
    <definedName name="____HAL6" localSheetId="8">'[2]Kuantitas &amp; Harga'!#REF!</definedName>
    <definedName name="____HAL6" localSheetId="6">'[2]Kuantitas &amp; Harga'!#REF!</definedName>
    <definedName name="____HAL6">'[2]Kuantitas &amp; Harga'!#REF!</definedName>
    <definedName name="____MDE01" localSheetId="8">#REF!</definedName>
    <definedName name="____MDE01" localSheetId="6">#REF!</definedName>
    <definedName name="____MDE01">#REF!</definedName>
    <definedName name="____MDE02" localSheetId="8">#REF!</definedName>
    <definedName name="____MDE02" localSheetId="6">#REF!</definedName>
    <definedName name="____MDE02">#REF!</definedName>
    <definedName name="____MDE03" localSheetId="8">#REF!</definedName>
    <definedName name="____MDE03" localSheetId="6">#REF!</definedName>
    <definedName name="____MDE03">#REF!</definedName>
    <definedName name="____MDE04" localSheetId="8">#REF!</definedName>
    <definedName name="____MDE04" localSheetId="6">#REF!</definedName>
    <definedName name="____MDE04">#REF!</definedName>
    <definedName name="____MDE05" localSheetId="8">#REF!</definedName>
    <definedName name="____MDE05" localSheetId="6">#REF!</definedName>
    <definedName name="____MDE05">#REF!</definedName>
    <definedName name="____MDE06" localSheetId="8">#REF!</definedName>
    <definedName name="____MDE06" localSheetId="6">#REF!</definedName>
    <definedName name="____MDE06">#REF!</definedName>
    <definedName name="____MDE07" localSheetId="8">#REF!</definedName>
    <definedName name="____MDE07" localSheetId="6">#REF!</definedName>
    <definedName name="____MDE07">#REF!</definedName>
    <definedName name="____MDE08" localSheetId="8">#REF!</definedName>
    <definedName name="____MDE08" localSheetId="6">#REF!</definedName>
    <definedName name="____MDE08">#REF!</definedName>
    <definedName name="____MDE09" localSheetId="8">#REF!</definedName>
    <definedName name="____MDE09" localSheetId="6">#REF!</definedName>
    <definedName name="____MDE09">#REF!</definedName>
    <definedName name="____MDE10" localSheetId="8">#REF!</definedName>
    <definedName name="____MDE10" localSheetId="6">#REF!</definedName>
    <definedName name="____MDE10">#REF!</definedName>
    <definedName name="____MDE11" localSheetId="8">#REF!</definedName>
    <definedName name="____MDE11" localSheetId="6">#REF!</definedName>
    <definedName name="____MDE11">#REF!</definedName>
    <definedName name="____MDE12" localSheetId="8">#REF!</definedName>
    <definedName name="____MDE12" localSheetId="6">#REF!</definedName>
    <definedName name="____MDE12">#REF!</definedName>
    <definedName name="____MDE13" localSheetId="8">#REF!</definedName>
    <definedName name="____MDE13" localSheetId="6">#REF!</definedName>
    <definedName name="____MDE13">#REF!</definedName>
    <definedName name="____MDE14" localSheetId="8">#REF!</definedName>
    <definedName name="____MDE14" localSheetId="6">#REF!</definedName>
    <definedName name="____MDE14">#REF!</definedName>
    <definedName name="____MDE15" localSheetId="8">#REF!</definedName>
    <definedName name="____MDE15" localSheetId="6">#REF!</definedName>
    <definedName name="____MDE15">#REF!</definedName>
    <definedName name="____MDE16" localSheetId="8">#REF!</definedName>
    <definedName name="____MDE16" localSheetId="6">#REF!</definedName>
    <definedName name="____MDE16">#REF!</definedName>
    <definedName name="____MDE17" localSheetId="8">#REF!</definedName>
    <definedName name="____MDE17" localSheetId="6">#REF!</definedName>
    <definedName name="____MDE17">#REF!</definedName>
    <definedName name="____MDE18" localSheetId="8">#REF!</definedName>
    <definedName name="____MDE18" localSheetId="6">#REF!</definedName>
    <definedName name="____MDE18">#REF!</definedName>
    <definedName name="____MDE19" localSheetId="8">#REF!</definedName>
    <definedName name="____MDE19" localSheetId="6">#REF!</definedName>
    <definedName name="____MDE19">#REF!</definedName>
    <definedName name="____MDE20" localSheetId="8">#REF!</definedName>
    <definedName name="____MDE20" localSheetId="6">#REF!</definedName>
    <definedName name="____MDE20">#REF!</definedName>
    <definedName name="____MDE21" localSheetId="8">#REF!</definedName>
    <definedName name="____MDE21" localSheetId="6">#REF!</definedName>
    <definedName name="____MDE21">#REF!</definedName>
    <definedName name="____MDE22" localSheetId="8">#REF!</definedName>
    <definedName name="____MDE22" localSheetId="6">#REF!</definedName>
    <definedName name="____MDE22">#REF!</definedName>
    <definedName name="____MDE23" localSheetId="8">#REF!</definedName>
    <definedName name="____MDE23" localSheetId="6">#REF!</definedName>
    <definedName name="____MDE23">#REF!</definedName>
    <definedName name="____MDE24" localSheetId="8">#REF!</definedName>
    <definedName name="____MDE24" localSheetId="6">#REF!</definedName>
    <definedName name="____MDE24">#REF!</definedName>
    <definedName name="____MDE25" localSheetId="8">#REF!</definedName>
    <definedName name="____MDE25" localSheetId="6">#REF!</definedName>
    <definedName name="____MDE25">#REF!</definedName>
    <definedName name="____MDE26" localSheetId="8">#REF!</definedName>
    <definedName name="____MDE26" localSheetId="6">#REF!</definedName>
    <definedName name="____MDE26">#REF!</definedName>
    <definedName name="____MDE27" localSheetId="8">#REF!</definedName>
    <definedName name="____MDE27" localSheetId="6">#REF!</definedName>
    <definedName name="____MDE27">#REF!</definedName>
    <definedName name="____MDE28" localSheetId="8">#REF!</definedName>
    <definedName name="____MDE28" localSheetId="6">#REF!</definedName>
    <definedName name="____MDE28">#REF!</definedName>
    <definedName name="____MDE29" localSheetId="8">#REF!</definedName>
    <definedName name="____MDE29" localSheetId="6">#REF!</definedName>
    <definedName name="____MDE29">#REF!</definedName>
    <definedName name="____MDE30" localSheetId="8">#REF!</definedName>
    <definedName name="____MDE30" localSheetId="6">#REF!</definedName>
    <definedName name="____MDE30">#REF!</definedName>
    <definedName name="____MDE31" localSheetId="8">#REF!</definedName>
    <definedName name="____MDE31" localSheetId="6">#REF!</definedName>
    <definedName name="____MDE31">#REF!</definedName>
    <definedName name="____MDE32" localSheetId="8">#REF!</definedName>
    <definedName name="____MDE32" localSheetId="6">#REF!</definedName>
    <definedName name="____MDE32">#REF!</definedName>
    <definedName name="____MDE33" localSheetId="8">#REF!</definedName>
    <definedName name="____MDE33" localSheetId="6">#REF!</definedName>
    <definedName name="____MDE33">#REF!</definedName>
    <definedName name="____MDE34" localSheetId="8">#REF!</definedName>
    <definedName name="____MDE34" localSheetId="6">#REF!</definedName>
    <definedName name="____MDE34">#REF!</definedName>
    <definedName name="____MDE35" localSheetId="8">#REF!</definedName>
    <definedName name="____MDE35" localSheetId="6">#REF!</definedName>
    <definedName name="____MDE35">#REF!</definedName>
    <definedName name="____MDE36" localSheetId="8">#REF!</definedName>
    <definedName name="____MDE36" localSheetId="6">#REF!</definedName>
    <definedName name="____MDE36">#REF!</definedName>
    <definedName name="____MDE37" localSheetId="8">#REF!</definedName>
    <definedName name="____MDE37" localSheetId="6">#REF!</definedName>
    <definedName name="____MDE37">#REF!</definedName>
    <definedName name="____MDE38" localSheetId="8">#REF!</definedName>
    <definedName name="____MDE38" localSheetId="6">#REF!</definedName>
    <definedName name="____MDE38">#REF!</definedName>
    <definedName name="____MDE39" localSheetId="8">#REF!</definedName>
    <definedName name="____MDE39" localSheetId="6">#REF!</definedName>
    <definedName name="____MDE39">#REF!</definedName>
    <definedName name="____MDE40" localSheetId="8">#REF!</definedName>
    <definedName name="____MDE40" localSheetId="6">#REF!</definedName>
    <definedName name="____MDE40">#REF!</definedName>
    <definedName name="____MDE41" localSheetId="8">#REF!</definedName>
    <definedName name="____MDE41" localSheetId="6">#REF!</definedName>
    <definedName name="____MDE41">#REF!</definedName>
    <definedName name="____MDE42" localSheetId="8">#REF!</definedName>
    <definedName name="____MDE42" localSheetId="6">#REF!</definedName>
    <definedName name="____MDE42">#REF!</definedName>
    <definedName name="____MDE43" localSheetId="8">#REF!</definedName>
    <definedName name="____MDE43" localSheetId="6">#REF!</definedName>
    <definedName name="____MDE43">#REF!</definedName>
    <definedName name="____MDE44" localSheetId="8">#REF!</definedName>
    <definedName name="____MDE44" localSheetId="6">#REF!</definedName>
    <definedName name="____MDE44">#REF!</definedName>
    <definedName name="____MDE45" localSheetId="8">#REF!</definedName>
    <definedName name="____MDE45" localSheetId="6">#REF!</definedName>
    <definedName name="____MDE45">#REF!</definedName>
    <definedName name="____MDE46" localSheetId="8">#REF!</definedName>
    <definedName name="____MDE46" localSheetId="6">#REF!</definedName>
    <definedName name="____MDE46">#REF!</definedName>
    <definedName name="____MDE47" localSheetId="8">#REF!</definedName>
    <definedName name="____MDE47" localSheetId="6">#REF!</definedName>
    <definedName name="____MDE47">#REF!</definedName>
    <definedName name="____MDE48" localSheetId="8">#REF!</definedName>
    <definedName name="____MDE48" localSheetId="6">#REF!</definedName>
    <definedName name="____MDE48">#REF!</definedName>
    <definedName name="____MDE49" localSheetId="8">#REF!</definedName>
    <definedName name="____MDE49" localSheetId="6">#REF!</definedName>
    <definedName name="____MDE49">#REF!</definedName>
    <definedName name="____MDE50" localSheetId="8">#REF!</definedName>
    <definedName name="____MDE50" localSheetId="6">#REF!</definedName>
    <definedName name="____MDE50">#REF!</definedName>
    <definedName name="____MDE51" localSheetId="8">#REF!</definedName>
    <definedName name="____MDE51" localSheetId="6">#REF!</definedName>
    <definedName name="____MDE51">#REF!</definedName>
    <definedName name="____MDE52" localSheetId="8">#REF!</definedName>
    <definedName name="____MDE52" localSheetId="6">#REF!</definedName>
    <definedName name="____MDE52">#REF!</definedName>
    <definedName name="____MDE53" localSheetId="8">#REF!</definedName>
    <definedName name="____MDE53" localSheetId="6">#REF!</definedName>
    <definedName name="____MDE53">#REF!</definedName>
    <definedName name="____MDE54" localSheetId="8">#REF!</definedName>
    <definedName name="____MDE54" localSheetId="6">#REF!</definedName>
    <definedName name="____MDE54">#REF!</definedName>
    <definedName name="____MDE55" localSheetId="8">#REF!</definedName>
    <definedName name="____MDE55" localSheetId="6">#REF!</definedName>
    <definedName name="____MDE55">#REF!</definedName>
    <definedName name="____MDE56" localSheetId="8">#REF!</definedName>
    <definedName name="____MDE56" localSheetId="6">#REF!</definedName>
    <definedName name="____MDE56">#REF!</definedName>
    <definedName name="____MDE57" localSheetId="8">#REF!</definedName>
    <definedName name="____MDE57" localSheetId="6">#REF!</definedName>
    <definedName name="____MDE57">#REF!</definedName>
    <definedName name="____MDE58" localSheetId="8">#REF!</definedName>
    <definedName name="____MDE58" localSheetId="6">#REF!</definedName>
    <definedName name="____MDE58">#REF!</definedName>
    <definedName name="____MDE59" localSheetId="8">#REF!</definedName>
    <definedName name="____MDE59" localSheetId="6">#REF!</definedName>
    <definedName name="____MDE59">#REF!</definedName>
    <definedName name="____MDE60" localSheetId="8">#REF!</definedName>
    <definedName name="____MDE60" localSheetId="6">#REF!</definedName>
    <definedName name="____MDE60">#REF!</definedName>
    <definedName name="____MDE61" localSheetId="8">#REF!</definedName>
    <definedName name="____MDE61" localSheetId="6">#REF!</definedName>
    <definedName name="____MDE61">#REF!</definedName>
    <definedName name="____MDE62" localSheetId="8">#REF!</definedName>
    <definedName name="____MDE62" localSheetId="6">#REF!</definedName>
    <definedName name="____MDE62">#REF!</definedName>
    <definedName name="____MDE63" localSheetId="8">#REF!</definedName>
    <definedName name="____MDE63" localSheetId="6">#REF!</definedName>
    <definedName name="____MDE63">#REF!</definedName>
    <definedName name="____MDE64" localSheetId="8">#REF!</definedName>
    <definedName name="____MDE64" localSheetId="6">#REF!</definedName>
    <definedName name="____MDE64">#REF!</definedName>
    <definedName name="____MDE65" localSheetId="8">#REF!</definedName>
    <definedName name="____MDE65" localSheetId="6">#REF!</definedName>
    <definedName name="____MDE65">#REF!</definedName>
    <definedName name="____MDE66" localSheetId="8">#REF!</definedName>
    <definedName name="____MDE66" localSheetId="6">#REF!</definedName>
    <definedName name="____MDE66">#REF!</definedName>
    <definedName name="____MDE67" localSheetId="8">#REF!</definedName>
    <definedName name="____MDE67" localSheetId="6">#REF!</definedName>
    <definedName name="____MDE67">#REF!</definedName>
    <definedName name="____MDE68" localSheetId="8">#REF!</definedName>
    <definedName name="____MDE68" localSheetId="6">#REF!</definedName>
    <definedName name="____MDE68">#REF!</definedName>
    <definedName name="____ME01" localSheetId="8">#REF!</definedName>
    <definedName name="____ME01" localSheetId="6">#REF!</definedName>
    <definedName name="____ME01">#REF!</definedName>
    <definedName name="____ME02" localSheetId="8">#REF!</definedName>
    <definedName name="____ME02" localSheetId="6">#REF!</definedName>
    <definedName name="____ME02">#REF!</definedName>
    <definedName name="____ME03" localSheetId="8">#REF!</definedName>
    <definedName name="____ME03" localSheetId="6">#REF!</definedName>
    <definedName name="____ME03">#REF!</definedName>
    <definedName name="____ME04" localSheetId="8">#REF!</definedName>
    <definedName name="____ME04" localSheetId="6">#REF!</definedName>
    <definedName name="____ME04">#REF!</definedName>
    <definedName name="____ME05" localSheetId="8">#REF!</definedName>
    <definedName name="____ME05" localSheetId="6">#REF!</definedName>
    <definedName name="____ME05">#REF!</definedName>
    <definedName name="____ME06" localSheetId="8">#REF!</definedName>
    <definedName name="____ME06" localSheetId="6">#REF!</definedName>
    <definedName name="____ME06">#REF!</definedName>
    <definedName name="____ME07" localSheetId="8">#REF!</definedName>
    <definedName name="____ME07" localSheetId="6">#REF!</definedName>
    <definedName name="____ME07">#REF!</definedName>
    <definedName name="____ME08" localSheetId="8">#REF!</definedName>
    <definedName name="____ME08" localSheetId="6">#REF!</definedName>
    <definedName name="____ME08">#REF!</definedName>
    <definedName name="____ME09" localSheetId="8">#REF!</definedName>
    <definedName name="____ME09" localSheetId="6">#REF!</definedName>
    <definedName name="____ME09">#REF!</definedName>
    <definedName name="____ME10" localSheetId="8">#REF!</definedName>
    <definedName name="____ME10" localSheetId="6">#REF!</definedName>
    <definedName name="____ME10">#REF!</definedName>
    <definedName name="____ME11" localSheetId="8">#REF!</definedName>
    <definedName name="____ME11" localSheetId="6">#REF!</definedName>
    <definedName name="____ME11">#REF!</definedName>
    <definedName name="____ME12" localSheetId="8">#REF!</definedName>
    <definedName name="____ME12" localSheetId="6">#REF!</definedName>
    <definedName name="____ME12">#REF!</definedName>
    <definedName name="____ME13" localSheetId="8">#REF!</definedName>
    <definedName name="____ME13" localSheetId="6">#REF!</definedName>
    <definedName name="____ME13">#REF!</definedName>
    <definedName name="____ME14" localSheetId="8">#REF!</definedName>
    <definedName name="____ME14" localSheetId="6">#REF!</definedName>
    <definedName name="____ME14">#REF!</definedName>
    <definedName name="____ME15" localSheetId="8">#REF!</definedName>
    <definedName name="____ME15" localSheetId="6">#REF!</definedName>
    <definedName name="____ME15">#REF!</definedName>
    <definedName name="____ME16" localSheetId="8">#REF!</definedName>
    <definedName name="____ME16" localSheetId="6">#REF!</definedName>
    <definedName name="____ME16">#REF!</definedName>
    <definedName name="____ME17" localSheetId="8">#REF!</definedName>
    <definedName name="____ME17" localSheetId="6">#REF!</definedName>
    <definedName name="____ME17">#REF!</definedName>
    <definedName name="____ME18" localSheetId="8">#REF!</definedName>
    <definedName name="____ME18" localSheetId="6">#REF!</definedName>
    <definedName name="____ME18">#REF!</definedName>
    <definedName name="____ME19" localSheetId="8">#REF!</definedName>
    <definedName name="____ME19" localSheetId="6">#REF!</definedName>
    <definedName name="____ME19">#REF!</definedName>
    <definedName name="____ME20" localSheetId="8">#REF!</definedName>
    <definedName name="____ME20" localSheetId="6">#REF!</definedName>
    <definedName name="____ME20">#REF!</definedName>
    <definedName name="____ME21" localSheetId="8">#REF!</definedName>
    <definedName name="____ME21" localSheetId="6">#REF!</definedName>
    <definedName name="____ME21">#REF!</definedName>
    <definedName name="____ME22" localSheetId="8">#REF!</definedName>
    <definedName name="____ME22" localSheetId="6">#REF!</definedName>
    <definedName name="____ME22">#REF!</definedName>
    <definedName name="____ME23" localSheetId="8">#REF!</definedName>
    <definedName name="____ME23" localSheetId="6">#REF!</definedName>
    <definedName name="____ME23">#REF!</definedName>
    <definedName name="____ME24" localSheetId="8">#REF!</definedName>
    <definedName name="____ME24" localSheetId="6">#REF!</definedName>
    <definedName name="____ME24">#REF!</definedName>
    <definedName name="____ME25" localSheetId="8">#REF!</definedName>
    <definedName name="____ME25" localSheetId="6">#REF!</definedName>
    <definedName name="____ME25">#REF!</definedName>
    <definedName name="____ME26" localSheetId="8">#REF!</definedName>
    <definedName name="____ME26" localSheetId="6">#REF!</definedName>
    <definedName name="____ME26">#REF!</definedName>
    <definedName name="____ME27" localSheetId="8">#REF!</definedName>
    <definedName name="____ME27" localSheetId="6">#REF!</definedName>
    <definedName name="____ME27">#REF!</definedName>
    <definedName name="____ME28" localSheetId="8">#REF!</definedName>
    <definedName name="____ME28" localSheetId="6">#REF!</definedName>
    <definedName name="____ME28">#REF!</definedName>
    <definedName name="____ME29" localSheetId="8">#REF!</definedName>
    <definedName name="____ME29" localSheetId="6">#REF!</definedName>
    <definedName name="____ME29">#REF!</definedName>
    <definedName name="____ME30" localSheetId="8">#REF!</definedName>
    <definedName name="____ME30" localSheetId="6">#REF!</definedName>
    <definedName name="____ME30">#REF!</definedName>
    <definedName name="____ME31" localSheetId="8">#REF!</definedName>
    <definedName name="____ME31" localSheetId="6">#REF!</definedName>
    <definedName name="____ME31">#REF!</definedName>
    <definedName name="____ME32" localSheetId="8">#REF!</definedName>
    <definedName name="____ME32" localSheetId="6">#REF!</definedName>
    <definedName name="____ME32">#REF!</definedName>
    <definedName name="____ME33" localSheetId="8">#REF!</definedName>
    <definedName name="____ME33" localSheetId="6">#REF!</definedName>
    <definedName name="____ME33">#REF!</definedName>
    <definedName name="____ME34" localSheetId="8">#REF!</definedName>
    <definedName name="____ME34" localSheetId="6">#REF!</definedName>
    <definedName name="____ME34">#REF!</definedName>
    <definedName name="____ME35" localSheetId="8">#REF!</definedName>
    <definedName name="____ME35" localSheetId="6">#REF!</definedName>
    <definedName name="____ME35">#REF!</definedName>
    <definedName name="____ME36" localSheetId="8">#REF!</definedName>
    <definedName name="____ME36" localSheetId="6">#REF!</definedName>
    <definedName name="____ME36">#REF!</definedName>
    <definedName name="____ME37" localSheetId="8">#REF!</definedName>
    <definedName name="____ME37" localSheetId="6">#REF!</definedName>
    <definedName name="____ME37">#REF!</definedName>
    <definedName name="____ME38" localSheetId="8">#REF!</definedName>
    <definedName name="____ME38" localSheetId="6">#REF!</definedName>
    <definedName name="____ME38">#REF!</definedName>
    <definedName name="____ME39" localSheetId="8">#REF!</definedName>
    <definedName name="____ME39" localSheetId="6">#REF!</definedName>
    <definedName name="____ME39">#REF!</definedName>
    <definedName name="____ME40" localSheetId="8">#REF!</definedName>
    <definedName name="____ME40" localSheetId="6">#REF!</definedName>
    <definedName name="____ME40">#REF!</definedName>
    <definedName name="____ME41" localSheetId="8">#REF!</definedName>
    <definedName name="____ME41" localSheetId="6">#REF!</definedName>
    <definedName name="____ME41">#REF!</definedName>
    <definedName name="____ME42" localSheetId="8">#REF!</definedName>
    <definedName name="____ME42" localSheetId="6">#REF!</definedName>
    <definedName name="____ME42">#REF!</definedName>
    <definedName name="____ME43" localSheetId="8">#REF!</definedName>
    <definedName name="____ME43" localSheetId="6">#REF!</definedName>
    <definedName name="____ME43">#REF!</definedName>
    <definedName name="____ME44" localSheetId="8">#REF!</definedName>
    <definedName name="____ME44" localSheetId="6">#REF!</definedName>
    <definedName name="____ME44">#REF!</definedName>
    <definedName name="____ME45" localSheetId="8">#REF!</definedName>
    <definedName name="____ME45" localSheetId="6">#REF!</definedName>
    <definedName name="____ME45">#REF!</definedName>
    <definedName name="____ME46" localSheetId="8">#REF!</definedName>
    <definedName name="____ME46" localSheetId="6">#REF!</definedName>
    <definedName name="____ME46">#REF!</definedName>
    <definedName name="____ME47" localSheetId="8">#REF!</definedName>
    <definedName name="____ME47" localSheetId="6">#REF!</definedName>
    <definedName name="____ME47">#REF!</definedName>
    <definedName name="____ME48" localSheetId="8">#REF!</definedName>
    <definedName name="____ME48" localSheetId="6">#REF!</definedName>
    <definedName name="____ME48">#REF!</definedName>
    <definedName name="____ME49" localSheetId="8">#REF!</definedName>
    <definedName name="____ME49" localSheetId="6">#REF!</definedName>
    <definedName name="____ME49">#REF!</definedName>
    <definedName name="____ME50" localSheetId="8">#REF!</definedName>
    <definedName name="____ME50" localSheetId="6">#REF!</definedName>
    <definedName name="____ME50">#REF!</definedName>
    <definedName name="____ME51" localSheetId="8">#REF!</definedName>
    <definedName name="____ME51" localSheetId="6">#REF!</definedName>
    <definedName name="____ME51">#REF!</definedName>
    <definedName name="____ME52" localSheetId="8">#REF!</definedName>
    <definedName name="____ME52" localSheetId="6">#REF!</definedName>
    <definedName name="____ME52">#REF!</definedName>
    <definedName name="____ME53" localSheetId="8">#REF!</definedName>
    <definedName name="____ME53" localSheetId="6">#REF!</definedName>
    <definedName name="____ME53">#REF!</definedName>
    <definedName name="____ME54" localSheetId="8">#REF!</definedName>
    <definedName name="____ME54" localSheetId="6">#REF!</definedName>
    <definedName name="____ME54">#REF!</definedName>
    <definedName name="____ME55" localSheetId="8">#REF!</definedName>
    <definedName name="____ME55" localSheetId="6">#REF!</definedName>
    <definedName name="____ME55">#REF!</definedName>
    <definedName name="____ME56" localSheetId="8">#REF!</definedName>
    <definedName name="____ME56" localSheetId="6">#REF!</definedName>
    <definedName name="____ME56">#REF!</definedName>
    <definedName name="____ME57" localSheetId="8">#REF!</definedName>
    <definedName name="____ME57" localSheetId="6">#REF!</definedName>
    <definedName name="____ME57">#REF!</definedName>
    <definedName name="____ME58" localSheetId="8">#REF!</definedName>
    <definedName name="____ME58" localSheetId="6">#REF!</definedName>
    <definedName name="____ME58">#REF!</definedName>
    <definedName name="____ME59" localSheetId="8">#REF!</definedName>
    <definedName name="____ME59" localSheetId="6">#REF!</definedName>
    <definedName name="____ME59">#REF!</definedName>
    <definedName name="____ME60" localSheetId="8">#REF!</definedName>
    <definedName name="____ME60" localSheetId="6">#REF!</definedName>
    <definedName name="____ME60">#REF!</definedName>
    <definedName name="____ME61" localSheetId="8">#REF!</definedName>
    <definedName name="____ME61" localSheetId="6">#REF!</definedName>
    <definedName name="____ME61">#REF!</definedName>
    <definedName name="____ME62" localSheetId="8">#REF!</definedName>
    <definedName name="____ME62" localSheetId="6">#REF!</definedName>
    <definedName name="____ME62">#REF!</definedName>
    <definedName name="____ME63" localSheetId="8">#REF!</definedName>
    <definedName name="____ME63" localSheetId="6">#REF!</definedName>
    <definedName name="____ME63">#REF!</definedName>
    <definedName name="____ME64" localSheetId="8">#REF!</definedName>
    <definedName name="____ME64" localSheetId="6">#REF!</definedName>
    <definedName name="____ME64">#REF!</definedName>
    <definedName name="____ME65" localSheetId="8">#REF!</definedName>
    <definedName name="____ME65" localSheetId="6">#REF!</definedName>
    <definedName name="____ME65">#REF!</definedName>
    <definedName name="____ME66" localSheetId="8">#REF!</definedName>
    <definedName name="____ME66" localSheetId="6">#REF!</definedName>
    <definedName name="____ME66">#REF!</definedName>
    <definedName name="____ME67" localSheetId="8">#REF!</definedName>
    <definedName name="____ME67" localSheetId="6">#REF!</definedName>
    <definedName name="____ME67">#REF!</definedName>
    <definedName name="____ME68" localSheetId="8">#REF!</definedName>
    <definedName name="____ME68" localSheetId="6">#REF!</definedName>
    <definedName name="____ME68">#REF!</definedName>
    <definedName name="____PVC1" localSheetId="8">#REF!</definedName>
    <definedName name="____PVC1" localSheetId="6">#REF!</definedName>
    <definedName name="____PVC1">#REF!</definedName>
    <definedName name="____PVC2" localSheetId="8">#REF!</definedName>
    <definedName name="____PVC2" localSheetId="6">#REF!</definedName>
    <definedName name="____PVC2">#REF!</definedName>
    <definedName name="____PVC4" localSheetId="8">#REF!</definedName>
    <definedName name="____PVC4" localSheetId="6">#REF!</definedName>
    <definedName name="____PVC4">#REF!</definedName>
    <definedName name="____PVC6" localSheetId="8">#REF!</definedName>
    <definedName name="____PVC6" localSheetId="6">#REF!</definedName>
    <definedName name="____PVC6">#REF!</definedName>
    <definedName name="____SAK1" localSheetId="8">#REF!</definedName>
    <definedName name="____SAK1" localSheetId="6">#REF!</definedName>
    <definedName name="____SAK1">#REF!</definedName>
    <definedName name="___EEE01" localSheetId="8">#REF!</definedName>
    <definedName name="___EEE01" localSheetId="6">#REF!</definedName>
    <definedName name="___EEE01">#REF!</definedName>
    <definedName name="___EEE02" localSheetId="8">#REF!</definedName>
    <definedName name="___EEE02" localSheetId="6">#REF!</definedName>
    <definedName name="___EEE02">#REF!</definedName>
    <definedName name="___EEE03" localSheetId="8">#REF!</definedName>
    <definedName name="___EEE03" localSheetId="6">#REF!</definedName>
    <definedName name="___EEE03">#REF!</definedName>
    <definedName name="___EEE04" localSheetId="8">#REF!</definedName>
    <definedName name="___EEE04" localSheetId="6">#REF!</definedName>
    <definedName name="___EEE04">#REF!</definedName>
    <definedName name="___EEE05" localSheetId="8">#REF!</definedName>
    <definedName name="___EEE05" localSheetId="6">#REF!</definedName>
    <definedName name="___EEE05">#REF!</definedName>
    <definedName name="___EEE06" localSheetId="8">#REF!</definedName>
    <definedName name="___EEE06" localSheetId="6">#REF!</definedName>
    <definedName name="___EEE06">#REF!</definedName>
    <definedName name="___EEE07" localSheetId="8">#REF!</definedName>
    <definedName name="___EEE07" localSheetId="6">#REF!</definedName>
    <definedName name="___EEE07">#REF!</definedName>
    <definedName name="___EEE08" localSheetId="8">#REF!</definedName>
    <definedName name="___EEE08" localSheetId="6">#REF!</definedName>
    <definedName name="___EEE08">#REF!</definedName>
    <definedName name="___EEE09" localSheetId="8">#REF!</definedName>
    <definedName name="___EEE09" localSheetId="6">#REF!</definedName>
    <definedName name="___EEE09">#REF!</definedName>
    <definedName name="___EEE10" localSheetId="8">#REF!</definedName>
    <definedName name="___EEE10" localSheetId="6">#REF!</definedName>
    <definedName name="___EEE10">#REF!</definedName>
    <definedName name="___EEE11" localSheetId="8">#REF!</definedName>
    <definedName name="___EEE11" localSheetId="6">#REF!</definedName>
    <definedName name="___EEE11">#REF!</definedName>
    <definedName name="___EEE12" localSheetId="8">#REF!</definedName>
    <definedName name="___EEE12" localSheetId="6">#REF!</definedName>
    <definedName name="___EEE12">#REF!</definedName>
    <definedName name="___EEE13" localSheetId="8">#REF!</definedName>
    <definedName name="___EEE13" localSheetId="6">#REF!</definedName>
    <definedName name="___EEE13">#REF!</definedName>
    <definedName name="___EEE14" localSheetId="8">#REF!</definedName>
    <definedName name="___EEE14" localSheetId="6">#REF!</definedName>
    <definedName name="___EEE14">#REF!</definedName>
    <definedName name="___EEE15" localSheetId="8">#REF!</definedName>
    <definedName name="___EEE15" localSheetId="6">#REF!</definedName>
    <definedName name="___EEE15">#REF!</definedName>
    <definedName name="___EEE16" localSheetId="8">#REF!</definedName>
    <definedName name="___EEE16" localSheetId="6">#REF!</definedName>
    <definedName name="___EEE16">#REF!</definedName>
    <definedName name="___EEE17" localSheetId="8">#REF!</definedName>
    <definedName name="___EEE17" localSheetId="6">#REF!</definedName>
    <definedName name="___EEE17">#REF!</definedName>
    <definedName name="___EEE18" localSheetId="8">#REF!</definedName>
    <definedName name="___EEE18" localSheetId="6">#REF!</definedName>
    <definedName name="___EEE18">#REF!</definedName>
    <definedName name="___EEE19" localSheetId="8">#REF!</definedName>
    <definedName name="___EEE19" localSheetId="6">#REF!</definedName>
    <definedName name="___EEE19">#REF!</definedName>
    <definedName name="___EEE20" localSheetId="8">#REF!</definedName>
    <definedName name="___EEE20" localSheetId="6">#REF!</definedName>
    <definedName name="___EEE20">#REF!</definedName>
    <definedName name="___EEE21" localSheetId="8">#REF!</definedName>
    <definedName name="___EEE21" localSheetId="6">#REF!</definedName>
    <definedName name="___EEE21">#REF!</definedName>
    <definedName name="___EEE22" localSheetId="8">#REF!</definedName>
    <definedName name="___EEE22" localSheetId="6">#REF!</definedName>
    <definedName name="___EEE22">#REF!</definedName>
    <definedName name="___EEE23" localSheetId="8">#REF!</definedName>
    <definedName name="___EEE23" localSheetId="6">#REF!</definedName>
    <definedName name="___EEE23">#REF!</definedName>
    <definedName name="___EEE24" localSheetId="8">#REF!</definedName>
    <definedName name="___EEE24" localSheetId="6">#REF!</definedName>
    <definedName name="___EEE24">#REF!</definedName>
    <definedName name="___EEE25" localSheetId="8">#REF!</definedName>
    <definedName name="___EEE25" localSheetId="6">#REF!</definedName>
    <definedName name="___EEE25">#REF!</definedName>
    <definedName name="___EEE26" localSheetId="8">#REF!</definedName>
    <definedName name="___EEE26" localSheetId="6">#REF!</definedName>
    <definedName name="___EEE26">#REF!</definedName>
    <definedName name="___EEE27" localSheetId="8">#REF!</definedName>
    <definedName name="___EEE27" localSheetId="6">#REF!</definedName>
    <definedName name="___EEE27">#REF!</definedName>
    <definedName name="___EEE28" localSheetId="8">#REF!</definedName>
    <definedName name="___EEE28" localSheetId="6">#REF!</definedName>
    <definedName name="___EEE28">#REF!</definedName>
    <definedName name="___EEE29" localSheetId="8">#REF!</definedName>
    <definedName name="___EEE29" localSheetId="6">#REF!</definedName>
    <definedName name="___EEE29">#REF!</definedName>
    <definedName name="___EEE30" localSheetId="8">#REF!</definedName>
    <definedName name="___EEE30" localSheetId="6">#REF!</definedName>
    <definedName name="___EEE30">#REF!</definedName>
    <definedName name="___EEE31" localSheetId="8">#REF!</definedName>
    <definedName name="___EEE31" localSheetId="6">#REF!</definedName>
    <definedName name="___EEE31">#REF!</definedName>
    <definedName name="___EEE32" localSheetId="8">#REF!</definedName>
    <definedName name="___EEE32" localSheetId="6">#REF!</definedName>
    <definedName name="___EEE32">#REF!</definedName>
    <definedName name="___EEE33" localSheetId="8">#REF!</definedName>
    <definedName name="___EEE33" localSheetId="6">#REF!</definedName>
    <definedName name="___EEE33">#REF!</definedName>
    <definedName name="___MDE01" localSheetId="8">#REF!</definedName>
    <definedName name="___MDE01" localSheetId="6">#REF!</definedName>
    <definedName name="___MDE01">#REF!</definedName>
    <definedName name="___MDE02" localSheetId="8">#REF!</definedName>
    <definedName name="___MDE02" localSheetId="6">#REF!</definedName>
    <definedName name="___MDE02">#REF!</definedName>
    <definedName name="___MDE03" localSheetId="8">#REF!</definedName>
    <definedName name="___MDE03" localSheetId="6">#REF!</definedName>
    <definedName name="___MDE03">#REF!</definedName>
    <definedName name="___MDE04" localSheetId="8">#REF!</definedName>
    <definedName name="___MDE04" localSheetId="6">#REF!</definedName>
    <definedName name="___MDE04">#REF!</definedName>
    <definedName name="___MDE05" localSheetId="8">#REF!</definedName>
    <definedName name="___MDE05" localSheetId="6">#REF!</definedName>
    <definedName name="___MDE05">#REF!</definedName>
    <definedName name="___MDE06" localSheetId="8">#REF!</definedName>
    <definedName name="___MDE06" localSheetId="6">#REF!</definedName>
    <definedName name="___MDE06">#REF!</definedName>
    <definedName name="___MDE07" localSheetId="8">#REF!</definedName>
    <definedName name="___MDE07" localSheetId="6">#REF!</definedName>
    <definedName name="___MDE07">#REF!</definedName>
    <definedName name="___MDE08" localSheetId="8">#REF!</definedName>
    <definedName name="___MDE08" localSheetId="6">#REF!</definedName>
    <definedName name="___MDE08">#REF!</definedName>
    <definedName name="___MDE09" localSheetId="8">#REF!</definedName>
    <definedName name="___MDE09" localSheetId="6">#REF!</definedName>
    <definedName name="___MDE09">#REF!</definedName>
    <definedName name="___MDE10" localSheetId="8">#REF!</definedName>
    <definedName name="___MDE10" localSheetId="6">#REF!</definedName>
    <definedName name="___MDE10">#REF!</definedName>
    <definedName name="___MDE11" localSheetId="8">#REF!</definedName>
    <definedName name="___MDE11" localSheetId="6">#REF!</definedName>
    <definedName name="___MDE11">#REF!</definedName>
    <definedName name="___MDE12" localSheetId="8">#REF!</definedName>
    <definedName name="___MDE12" localSheetId="6">#REF!</definedName>
    <definedName name="___MDE12">#REF!</definedName>
    <definedName name="___MDE13" localSheetId="8">#REF!</definedName>
    <definedName name="___MDE13" localSheetId="6">#REF!</definedName>
    <definedName name="___MDE13">#REF!</definedName>
    <definedName name="___MDE14" localSheetId="8">#REF!</definedName>
    <definedName name="___MDE14" localSheetId="6">#REF!</definedName>
    <definedName name="___MDE14">#REF!</definedName>
    <definedName name="___MDE15" localSheetId="8">#REF!</definedName>
    <definedName name="___MDE15" localSheetId="6">#REF!</definedName>
    <definedName name="___MDE15">#REF!</definedName>
    <definedName name="___MDE16" localSheetId="8">#REF!</definedName>
    <definedName name="___MDE16" localSheetId="6">#REF!</definedName>
    <definedName name="___MDE16">#REF!</definedName>
    <definedName name="___MDE17" localSheetId="8">#REF!</definedName>
    <definedName name="___MDE17" localSheetId="6">#REF!</definedName>
    <definedName name="___MDE17">#REF!</definedName>
    <definedName name="___MDE18" localSheetId="8">#REF!</definedName>
    <definedName name="___MDE18" localSheetId="6">#REF!</definedName>
    <definedName name="___MDE18">#REF!</definedName>
    <definedName name="___MDE19" localSheetId="8">#REF!</definedName>
    <definedName name="___MDE19" localSheetId="6">#REF!</definedName>
    <definedName name="___MDE19">#REF!</definedName>
    <definedName name="___MDE20" localSheetId="8">#REF!</definedName>
    <definedName name="___MDE20" localSheetId="6">#REF!</definedName>
    <definedName name="___MDE20">#REF!</definedName>
    <definedName name="___MDE21" localSheetId="8">#REF!</definedName>
    <definedName name="___MDE21" localSheetId="6">#REF!</definedName>
    <definedName name="___MDE21">#REF!</definedName>
    <definedName name="___MDE22" localSheetId="8">#REF!</definedName>
    <definedName name="___MDE22" localSheetId="6">#REF!</definedName>
    <definedName name="___MDE22">#REF!</definedName>
    <definedName name="___MDE23" localSheetId="8">#REF!</definedName>
    <definedName name="___MDE23" localSheetId="6">#REF!</definedName>
    <definedName name="___MDE23">#REF!</definedName>
    <definedName name="___MDE24" localSheetId="8">#REF!</definedName>
    <definedName name="___MDE24" localSheetId="6">#REF!</definedName>
    <definedName name="___MDE24">#REF!</definedName>
    <definedName name="___MDE25" localSheetId="8">#REF!</definedName>
    <definedName name="___MDE25" localSheetId="6">#REF!</definedName>
    <definedName name="___MDE25">#REF!</definedName>
    <definedName name="___MDE26" localSheetId="8">#REF!</definedName>
    <definedName name="___MDE26" localSheetId="6">#REF!</definedName>
    <definedName name="___MDE26">#REF!</definedName>
    <definedName name="___MDE27" localSheetId="8">#REF!</definedName>
    <definedName name="___MDE27" localSheetId="6">#REF!</definedName>
    <definedName name="___MDE27">#REF!</definedName>
    <definedName name="___MDE28" localSheetId="8">#REF!</definedName>
    <definedName name="___MDE28" localSheetId="6">#REF!</definedName>
    <definedName name="___MDE28">#REF!</definedName>
    <definedName name="___MDE29" localSheetId="8">#REF!</definedName>
    <definedName name="___MDE29" localSheetId="6">#REF!</definedName>
    <definedName name="___MDE29">#REF!</definedName>
    <definedName name="___MDE30" localSheetId="8">#REF!</definedName>
    <definedName name="___MDE30" localSheetId="6">#REF!</definedName>
    <definedName name="___MDE30">#REF!</definedName>
    <definedName name="___MDE31" localSheetId="8">#REF!</definedName>
    <definedName name="___MDE31" localSheetId="6">#REF!</definedName>
    <definedName name="___MDE31">#REF!</definedName>
    <definedName name="___MDE32" localSheetId="8">#REF!</definedName>
    <definedName name="___MDE32" localSheetId="6">#REF!</definedName>
    <definedName name="___MDE32">#REF!</definedName>
    <definedName name="___MDE33" localSheetId="8">#REF!</definedName>
    <definedName name="___MDE33" localSheetId="6">#REF!</definedName>
    <definedName name="___MDE33">#REF!</definedName>
    <definedName name="___MDE34" localSheetId="8">#REF!</definedName>
    <definedName name="___MDE34" localSheetId="6">#REF!</definedName>
    <definedName name="___MDE34">#REF!</definedName>
    <definedName name="___MDE35" localSheetId="8">#REF!</definedName>
    <definedName name="___MDE35" localSheetId="6">#REF!</definedName>
    <definedName name="___MDE35">#REF!</definedName>
    <definedName name="___MDE36" localSheetId="8">#REF!</definedName>
    <definedName name="___MDE36" localSheetId="6">#REF!</definedName>
    <definedName name="___MDE36">#REF!</definedName>
    <definedName name="___MDE37" localSheetId="8">#REF!</definedName>
    <definedName name="___MDE37" localSheetId="6">#REF!</definedName>
    <definedName name="___MDE37">#REF!</definedName>
    <definedName name="___MDE38" localSheetId="8">#REF!</definedName>
    <definedName name="___MDE38" localSheetId="6">#REF!</definedName>
    <definedName name="___MDE38">#REF!</definedName>
    <definedName name="___MDE39" localSheetId="8">#REF!</definedName>
    <definedName name="___MDE39" localSheetId="6">#REF!</definedName>
    <definedName name="___MDE39">#REF!</definedName>
    <definedName name="___MDE40" localSheetId="8">#REF!</definedName>
    <definedName name="___MDE40" localSheetId="6">#REF!</definedName>
    <definedName name="___MDE40">#REF!</definedName>
    <definedName name="___MDE41" localSheetId="8">#REF!</definedName>
    <definedName name="___MDE41" localSheetId="6">#REF!</definedName>
    <definedName name="___MDE41">#REF!</definedName>
    <definedName name="___MDE42" localSheetId="8">#REF!</definedName>
    <definedName name="___MDE42" localSheetId="6">#REF!</definedName>
    <definedName name="___MDE42">#REF!</definedName>
    <definedName name="___MDE43" localSheetId="8">#REF!</definedName>
    <definedName name="___MDE43" localSheetId="6">#REF!</definedName>
    <definedName name="___MDE43">#REF!</definedName>
    <definedName name="___MDE44" localSheetId="8">#REF!</definedName>
    <definedName name="___MDE44" localSheetId="6">#REF!</definedName>
    <definedName name="___MDE44">#REF!</definedName>
    <definedName name="___MDE45" localSheetId="8">#REF!</definedName>
    <definedName name="___MDE45" localSheetId="6">#REF!</definedName>
    <definedName name="___MDE45">#REF!</definedName>
    <definedName name="___MDE46" localSheetId="8">#REF!</definedName>
    <definedName name="___MDE46" localSheetId="6">#REF!</definedName>
    <definedName name="___MDE46">#REF!</definedName>
    <definedName name="___MDE47" localSheetId="8">#REF!</definedName>
    <definedName name="___MDE47" localSheetId="6">#REF!</definedName>
    <definedName name="___MDE47">#REF!</definedName>
    <definedName name="___MDE48" localSheetId="8">#REF!</definedName>
    <definedName name="___MDE48" localSheetId="6">#REF!</definedName>
    <definedName name="___MDE48">#REF!</definedName>
    <definedName name="___MDE49" localSheetId="8">#REF!</definedName>
    <definedName name="___MDE49" localSheetId="6">#REF!</definedName>
    <definedName name="___MDE49">#REF!</definedName>
    <definedName name="___MDE50" localSheetId="8">#REF!</definedName>
    <definedName name="___MDE50" localSheetId="6">#REF!</definedName>
    <definedName name="___MDE50">#REF!</definedName>
    <definedName name="___MDE51" localSheetId="8">#REF!</definedName>
    <definedName name="___MDE51" localSheetId="6">#REF!</definedName>
    <definedName name="___MDE51">#REF!</definedName>
    <definedName name="___MDE52" localSheetId="8">#REF!</definedName>
    <definedName name="___MDE52" localSheetId="6">#REF!</definedName>
    <definedName name="___MDE52">#REF!</definedName>
    <definedName name="___MDE53" localSheetId="8">#REF!</definedName>
    <definedName name="___MDE53" localSheetId="6">#REF!</definedName>
    <definedName name="___MDE53">#REF!</definedName>
    <definedName name="___MDE54" localSheetId="8">#REF!</definedName>
    <definedName name="___MDE54" localSheetId="6">#REF!</definedName>
    <definedName name="___MDE54">#REF!</definedName>
    <definedName name="___MDE55" localSheetId="8">#REF!</definedName>
    <definedName name="___MDE55" localSheetId="6">#REF!</definedName>
    <definedName name="___MDE55">#REF!</definedName>
    <definedName name="___MDE56" localSheetId="8">#REF!</definedName>
    <definedName name="___MDE56" localSheetId="6">#REF!</definedName>
    <definedName name="___MDE56">#REF!</definedName>
    <definedName name="___MDE57" localSheetId="8">#REF!</definedName>
    <definedName name="___MDE57" localSheetId="6">#REF!</definedName>
    <definedName name="___MDE57">#REF!</definedName>
    <definedName name="___MDE58" localSheetId="8">#REF!</definedName>
    <definedName name="___MDE58" localSheetId="6">#REF!</definedName>
    <definedName name="___MDE58">#REF!</definedName>
    <definedName name="___MDE59" localSheetId="8">#REF!</definedName>
    <definedName name="___MDE59" localSheetId="6">#REF!</definedName>
    <definedName name="___MDE59">#REF!</definedName>
    <definedName name="___MDE60" localSheetId="8">#REF!</definedName>
    <definedName name="___MDE60" localSheetId="6">#REF!</definedName>
    <definedName name="___MDE60">#REF!</definedName>
    <definedName name="___MDE61" localSheetId="8">#REF!</definedName>
    <definedName name="___MDE61" localSheetId="6">#REF!</definedName>
    <definedName name="___MDE61">#REF!</definedName>
    <definedName name="___MDE62" localSheetId="8">#REF!</definedName>
    <definedName name="___MDE62" localSheetId="6">#REF!</definedName>
    <definedName name="___MDE62">#REF!</definedName>
    <definedName name="___MDE63" localSheetId="8">#REF!</definedName>
    <definedName name="___MDE63" localSheetId="6">#REF!</definedName>
    <definedName name="___MDE63">#REF!</definedName>
    <definedName name="___MDE64" localSheetId="8">#REF!</definedName>
    <definedName name="___MDE64" localSheetId="6">#REF!</definedName>
    <definedName name="___MDE64">#REF!</definedName>
    <definedName name="___MDE65" localSheetId="8">#REF!</definedName>
    <definedName name="___MDE65" localSheetId="6">#REF!</definedName>
    <definedName name="___MDE65">#REF!</definedName>
    <definedName name="___MDE66" localSheetId="8">#REF!</definedName>
    <definedName name="___MDE66" localSheetId="6">#REF!</definedName>
    <definedName name="___MDE66">#REF!</definedName>
    <definedName name="___MDE67" localSheetId="8">#REF!</definedName>
    <definedName name="___MDE67" localSheetId="6">#REF!</definedName>
    <definedName name="___MDE67">#REF!</definedName>
    <definedName name="___MDE68" localSheetId="8">#REF!</definedName>
    <definedName name="___MDE68" localSheetId="6">#REF!</definedName>
    <definedName name="___MDE68">#REF!</definedName>
    <definedName name="___ME01" localSheetId="8">#REF!</definedName>
    <definedName name="___ME01" localSheetId="6">#REF!</definedName>
    <definedName name="___ME01">#REF!</definedName>
    <definedName name="___ME02" localSheetId="8">#REF!</definedName>
    <definedName name="___ME02" localSheetId="6">#REF!</definedName>
    <definedName name="___ME02">#REF!</definedName>
    <definedName name="___ME03" localSheetId="8">#REF!</definedName>
    <definedName name="___ME03" localSheetId="6">#REF!</definedName>
    <definedName name="___ME03">#REF!</definedName>
    <definedName name="___ME04" localSheetId="8">#REF!</definedName>
    <definedName name="___ME04" localSheetId="6">#REF!</definedName>
    <definedName name="___ME04">#REF!</definedName>
    <definedName name="___ME05" localSheetId="8">#REF!</definedName>
    <definedName name="___ME05" localSheetId="6">#REF!</definedName>
    <definedName name="___ME05">#REF!</definedName>
    <definedName name="___ME06" localSheetId="8">#REF!</definedName>
    <definedName name="___ME06" localSheetId="6">#REF!</definedName>
    <definedName name="___ME06">#REF!</definedName>
    <definedName name="___ME07" localSheetId="8">#REF!</definedName>
    <definedName name="___ME07" localSheetId="6">#REF!</definedName>
    <definedName name="___ME07">#REF!</definedName>
    <definedName name="___ME08" localSheetId="8">#REF!</definedName>
    <definedName name="___ME08" localSheetId="6">#REF!</definedName>
    <definedName name="___ME08">#REF!</definedName>
    <definedName name="___ME09" localSheetId="8">#REF!</definedName>
    <definedName name="___ME09" localSheetId="6">#REF!</definedName>
    <definedName name="___ME09">#REF!</definedName>
    <definedName name="___ME10" localSheetId="8">#REF!</definedName>
    <definedName name="___ME10" localSheetId="6">#REF!</definedName>
    <definedName name="___ME10">#REF!</definedName>
    <definedName name="___ME11" localSheetId="8">#REF!</definedName>
    <definedName name="___ME11" localSheetId="6">#REF!</definedName>
    <definedName name="___ME11">#REF!</definedName>
    <definedName name="___ME12" localSheetId="8">#REF!</definedName>
    <definedName name="___ME12" localSheetId="6">#REF!</definedName>
    <definedName name="___ME12">#REF!</definedName>
    <definedName name="___ME13" localSheetId="8">#REF!</definedName>
    <definedName name="___ME13" localSheetId="6">#REF!</definedName>
    <definedName name="___ME13">#REF!</definedName>
    <definedName name="___ME14" localSheetId="8">#REF!</definedName>
    <definedName name="___ME14" localSheetId="6">#REF!</definedName>
    <definedName name="___ME14">#REF!</definedName>
    <definedName name="___ME15" localSheetId="8">#REF!</definedName>
    <definedName name="___ME15" localSheetId="6">#REF!</definedName>
    <definedName name="___ME15">#REF!</definedName>
    <definedName name="___ME16" localSheetId="8">#REF!</definedName>
    <definedName name="___ME16" localSheetId="6">#REF!</definedName>
    <definedName name="___ME16">#REF!</definedName>
    <definedName name="___ME17" localSheetId="8">#REF!</definedName>
    <definedName name="___ME17" localSheetId="6">#REF!</definedName>
    <definedName name="___ME17">#REF!</definedName>
    <definedName name="___ME18" localSheetId="8">#REF!</definedName>
    <definedName name="___ME18" localSheetId="6">#REF!</definedName>
    <definedName name="___ME18">#REF!</definedName>
    <definedName name="___ME19" localSheetId="8">#REF!</definedName>
    <definedName name="___ME19" localSheetId="6">#REF!</definedName>
    <definedName name="___ME19">#REF!</definedName>
    <definedName name="___ME20" localSheetId="8">#REF!</definedName>
    <definedName name="___ME20" localSheetId="6">#REF!</definedName>
    <definedName name="___ME20">#REF!</definedName>
    <definedName name="___ME21" localSheetId="8">#REF!</definedName>
    <definedName name="___ME21" localSheetId="6">#REF!</definedName>
    <definedName name="___ME21">#REF!</definedName>
    <definedName name="___ME22" localSheetId="8">#REF!</definedName>
    <definedName name="___ME22" localSheetId="6">#REF!</definedName>
    <definedName name="___ME22">#REF!</definedName>
    <definedName name="___ME23" localSheetId="8">#REF!</definedName>
    <definedName name="___ME23" localSheetId="6">#REF!</definedName>
    <definedName name="___ME23">#REF!</definedName>
    <definedName name="___ME24" localSheetId="8">#REF!</definedName>
    <definedName name="___ME24" localSheetId="6">#REF!</definedName>
    <definedName name="___ME24">#REF!</definedName>
    <definedName name="___ME25" localSheetId="8">#REF!</definedName>
    <definedName name="___ME25" localSheetId="6">#REF!</definedName>
    <definedName name="___ME25">#REF!</definedName>
    <definedName name="___ME26" localSheetId="8">#REF!</definedName>
    <definedName name="___ME26" localSheetId="6">#REF!</definedName>
    <definedName name="___ME26">#REF!</definedName>
    <definedName name="___ME27" localSheetId="8">#REF!</definedName>
    <definedName name="___ME27" localSheetId="6">#REF!</definedName>
    <definedName name="___ME27">#REF!</definedName>
    <definedName name="___ME28" localSheetId="8">#REF!</definedName>
    <definedName name="___ME28" localSheetId="6">#REF!</definedName>
    <definedName name="___ME28">#REF!</definedName>
    <definedName name="___ME29" localSheetId="8">#REF!</definedName>
    <definedName name="___ME29" localSheetId="6">#REF!</definedName>
    <definedName name="___ME29">#REF!</definedName>
    <definedName name="___ME30" localSheetId="8">#REF!</definedName>
    <definedName name="___ME30" localSheetId="6">#REF!</definedName>
    <definedName name="___ME30">#REF!</definedName>
    <definedName name="___ME31" localSheetId="8">#REF!</definedName>
    <definedName name="___ME31" localSheetId="6">#REF!</definedName>
    <definedName name="___ME31">#REF!</definedName>
    <definedName name="___ME32" localSheetId="8">#REF!</definedName>
    <definedName name="___ME32" localSheetId="6">#REF!</definedName>
    <definedName name="___ME32">#REF!</definedName>
    <definedName name="___ME33" localSheetId="8">#REF!</definedName>
    <definedName name="___ME33" localSheetId="6">#REF!</definedName>
    <definedName name="___ME33">#REF!</definedName>
    <definedName name="___ME34" localSheetId="8">#REF!</definedName>
    <definedName name="___ME34" localSheetId="6">#REF!</definedName>
    <definedName name="___ME34">#REF!</definedName>
    <definedName name="___ME35" localSheetId="8">#REF!</definedName>
    <definedName name="___ME35" localSheetId="6">#REF!</definedName>
    <definedName name="___ME35">#REF!</definedName>
    <definedName name="___ME36" localSheetId="8">#REF!</definedName>
    <definedName name="___ME36" localSheetId="6">#REF!</definedName>
    <definedName name="___ME36">#REF!</definedName>
    <definedName name="___ME37" localSheetId="8">#REF!</definedName>
    <definedName name="___ME37" localSheetId="6">#REF!</definedName>
    <definedName name="___ME37">#REF!</definedName>
    <definedName name="___ME38" localSheetId="8">#REF!</definedName>
    <definedName name="___ME38" localSheetId="6">#REF!</definedName>
    <definedName name="___ME38">#REF!</definedName>
    <definedName name="___ME39" localSheetId="8">#REF!</definedName>
    <definedName name="___ME39" localSheetId="6">#REF!</definedName>
    <definedName name="___ME39">#REF!</definedName>
    <definedName name="___ME40" localSheetId="8">#REF!</definedName>
    <definedName name="___ME40" localSheetId="6">#REF!</definedName>
    <definedName name="___ME40">#REF!</definedName>
    <definedName name="___ME41" localSheetId="8">#REF!</definedName>
    <definedName name="___ME41" localSheetId="6">#REF!</definedName>
    <definedName name="___ME41">#REF!</definedName>
    <definedName name="___ME42" localSheetId="8">#REF!</definedName>
    <definedName name="___ME42" localSheetId="6">#REF!</definedName>
    <definedName name="___ME42">#REF!</definedName>
    <definedName name="___ME43" localSheetId="8">#REF!</definedName>
    <definedName name="___ME43" localSheetId="6">#REF!</definedName>
    <definedName name="___ME43">#REF!</definedName>
    <definedName name="___ME44" localSheetId="8">#REF!</definedName>
    <definedName name="___ME44" localSheetId="6">#REF!</definedName>
    <definedName name="___ME44">#REF!</definedName>
    <definedName name="___ME45" localSheetId="8">#REF!</definedName>
    <definedName name="___ME45" localSheetId="6">#REF!</definedName>
    <definedName name="___ME45">#REF!</definedName>
    <definedName name="___ME46" localSheetId="8">#REF!</definedName>
    <definedName name="___ME46" localSheetId="6">#REF!</definedName>
    <definedName name="___ME46">#REF!</definedName>
    <definedName name="___ME47" localSheetId="8">#REF!</definedName>
    <definedName name="___ME47" localSheetId="6">#REF!</definedName>
    <definedName name="___ME47">#REF!</definedName>
    <definedName name="___ME48" localSheetId="8">#REF!</definedName>
    <definedName name="___ME48" localSheetId="6">#REF!</definedName>
    <definedName name="___ME48">#REF!</definedName>
    <definedName name="___ME49" localSheetId="8">#REF!</definedName>
    <definedName name="___ME49" localSheetId="6">#REF!</definedName>
    <definedName name="___ME49">#REF!</definedName>
    <definedName name="___ME50" localSheetId="8">#REF!</definedName>
    <definedName name="___ME50" localSheetId="6">#REF!</definedName>
    <definedName name="___ME50">#REF!</definedName>
    <definedName name="___ME51" localSheetId="8">#REF!</definedName>
    <definedName name="___ME51" localSheetId="6">#REF!</definedName>
    <definedName name="___ME51">#REF!</definedName>
    <definedName name="___ME52" localSheetId="8">#REF!</definedName>
    <definedName name="___ME52" localSheetId="6">#REF!</definedName>
    <definedName name="___ME52">#REF!</definedName>
    <definedName name="___ME53" localSheetId="8">#REF!</definedName>
    <definedName name="___ME53" localSheetId="6">#REF!</definedName>
    <definedName name="___ME53">#REF!</definedName>
    <definedName name="___ME54" localSheetId="8">#REF!</definedName>
    <definedName name="___ME54" localSheetId="6">#REF!</definedName>
    <definedName name="___ME54">#REF!</definedName>
    <definedName name="___ME55" localSheetId="8">#REF!</definedName>
    <definedName name="___ME55" localSheetId="6">#REF!</definedName>
    <definedName name="___ME55">#REF!</definedName>
    <definedName name="___ME56" localSheetId="8">#REF!</definedName>
    <definedName name="___ME56" localSheetId="6">#REF!</definedName>
    <definedName name="___ME56">#REF!</definedName>
    <definedName name="___ME57" localSheetId="8">#REF!</definedName>
    <definedName name="___ME57" localSheetId="6">#REF!</definedName>
    <definedName name="___ME57">#REF!</definedName>
    <definedName name="___ME58" localSheetId="8">#REF!</definedName>
    <definedName name="___ME58" localSheetId="6">#REF!</definedName>
    <definedName name="___ME58">#REF!</definedName>
    <definedName name="___ME59" localSheetId="8">#REF!</definedName>
    <definedName name="___ME59" localSheetId="6">#REF!</definedName>
    <definedName name="___ME59">#REF!</definedName>
    <definedName name="___ME60" localSheetId="8">#REF!</definedName>
    <definedName name="___ME60" localSheetId="6">#REF!</definedName>
    <definedName name="___ME60">#REF!</definedName>
    <definedName name="___ME61" localSheetId="8">#REF!</definedName>
    <definedName name="___ME61" localSheetId="6">#REF!</definedName>
    <definedName name="___ME61">#REF!</definedName>
    <definedName name="___ME62" localSheetId="8">#REF!</definedName>
    <definedName name="___ME62" localSheetId="6">#REF!</definedName>
    <definedName name="___ME62">#REF!</definedName>
    <definedName name="___ME63" localSheetId="8">#REF!</definedName>
    <definedName name="___ME63" localSheetId="6">#REF!</definedName>
    <definedName name="___ME63">#REF!</definedName>
    <definedName name="___ME64" localSheetId="8">#REF!</definedName>
    <definedName name="___ME64" localSheetId="6">#REF!</definedName>
    <definedName name="___ME64">#REF!</definedName>
    <definedName name="___ME65" localSheetId="8">#REF!</definedName>
    <definedName name="___ME65" localSheetId="6">#REF!</definedName>
    <definedName name="___ME65">#REF!</definedName>
    <definedName name="___ME66" localSheetId="8">#REF!</definedName>
    <definedName name="___ME66" localSheetId="6">#REF!</definedName>
    <definedName name="___ME66">#REF!</definedName>
    <definedName name="___ME67" localSheetId="8">#REF!</definedName>
    <definedName name="___ME67" localSheetId="6">#REF!</definedName>
    <definedName name="___ME67">#REF!</definedName>
    <definedName name="___ME68" localSheetId="8">#REF!</definedName>
    <definedName name="___ME68" localSheetId="6">#REF!</definedName>
    <definedName name="___ME68">#REF!</definedName>
    <definedName name="___PVC1" localSheetId="8">#REF!</definedName>
    <definedName name="___PVC1" localSheetId="6">#REF!</definedName>
    <definedName name="___PVC1">#REF!</definedName>
    <definedName name="___PVC2" localSheetId="8">#REF!</definedName>
    <definedName name="___PVC2" localSheetId="6">#REF!</definedName>
    <definedName name="___PVC2">#REF!</definedName>
    <definedName name="___PVC4" localSheetId="8">#REF!</definedName>
    <definedName name="___PVC4" localSheetId="6">#REF!</definedName>
    <definedName name="___PVC4">#REF!</definedName>
    <definedName name="___PVC6" localSheetId="8">#REF!</definedName>
    <definedName name="___PVC6" localSheetId="6">#REF!</definedName>
    <definedName name="___PVC6">#REF!</definedName>
    <definedName name="___SAK1" localSheetId="8">#REF!</definedName>
    <definedName name="___SAK1" localSheetId="6">#REF!</definedName>
    <definedName name="___SAK1">#REF!</definedName>
    <definedName name="__123Graph_A" localSheetId="8" hidden="1">'[3]ANL-EI'!#REF!</definedName>
    <definedName name="__123Graph_A" localSheetId="10" hidden="1">'[3]ANL-EI'!#REF!</definedName>
    <definedName name="__123Graph_A" localSheetId="6" hidden="1">'[3]ANL-EI'!#REF!</definedName>
    <definedName name="__123Graph_A" hidden="1">'[3]ANL-EI'!#REF!</definedName>
    <definedName name="__123Graph_AG31" hidden="1">[4]TJ1Q47!$G$7:$G$31</definedName>
    <definedName name="__123Graph_AG32" hidden="1">[4]TJ1Q47!$G$7:$G$31</definedName>
    <definedName name="__123Graph_AG33" hidden="1">[4]TJ1Q47!$G$7:$G$31</definedName>
    <definedName name="__123Graph_AG34" hidden="1">[4]TJ1Q47!$G$7:$G$31</definedName>
    <definedName name="__123Graph_B" localSheetId="8" hidden="1">'[3]ANL-EI'!#REF!</definedName>
    <definedName name="__123Graph_B" localSheetId="10" hidden="1">'[3]ANL-EI'!#REF!</definedName>
    <definedName name="__123Graph_B" localSheetId="6" hidden="1">'[3]ANL-EI'!#REF!</definedName>
    <definedName name="__123Graph_B" hidden="1">'[3]ANL-EI'!#REF!</definedName>
    <definedName name="__123Graph_BG31" hidden="1">[4]TJ1Q47!$E$7:$E$31</definedName>
    <definedName name="__123Graph_BG32" hidden="1">[4]TJ1Q47!$E$7:$E$31</definedName>
    <definedName name="__123Graph_BG33" hidden="1">[4]TJ1Q47!$E$7:$E$31</definedName>
    <definedName name="__123Graph_BG34" hidden="1">[4]TJ1Q47!$E$7:$E$31</definedName>
    <definedName name="__123Graph_C" hidden="1">[4]TJ1Q47!$J$7:$J$31</definedName>
    <definedName name="__123Graph_ca" hidden="1">[4]TJ1Q47!$J$7:$J$31</definedName>
    <definedName name="__123Graph_X" localSheetId="8" hidden="1">'[3]ANL-EI'!#REF!</definedName>
    <definedName name="__123Graph_X" localSheetId="10" hidden="1">'[3]ANL-EI'!#REF!</definedName>
    <definedName name="__123Graph_X" localSheetId="6" hidden="1">'[3]ANL-EI'!#REF!</definedName>
    <definedName name="__123Graph_X" hidden="1">'[3]ANL-EI'!#REF!</definedName>
    <definedName name="__123Graph_XG31" hidden="1">[4]TJ1Q47!$B$7:$B$31</definedName>
    <definedName name="__123Graph_XG32" hidden="1">[4]TJ1Q47!$B$7:$B$31</definedName>
    <definedName name="__123Graph_XG33" hidden="1">[4]TJ1Q47!$B$7:$B$31</definedName>
    <definedName name="__123Graph_XG34" hidden="1">[4]TJ1Q47!$B$7:$B$31</definedName>
    <definedName name="__COR135" localSheetId="8">[5]Anl!#REF!</definedName>
    <definedName name="__COR135" localSheetId="6">[5]Anl!#REF!</definedName>
    <definedName name="__COR135">[5]Anl!#REF!</definedName>
    <definedName name="__DIV11" localSheetId="8">'[6]Kuantitas &amp; Harga'!#REF!</definedName>
    <definedName name="__DIV11" localSheetId="6">'[6]Kuantitas &amp; Harga'!#REF!</definedName>
    <definedName name="__DIV11">'[6]Kuantitas &amp; Harga'!#REF!</definedName>
    <definedName name="__DIV7" localSheetId="8">'[6]Kuantitas &amp; Harga'!#REF!</definedName>
    <definedName name="__DIV7" localSheetId="6">'[6]Kuantitas &amp; Harga'!#REF!</definedName>
    <definedName name="__DIV7">'[6]Kuantitas &amp; Harga'!#REF!</definedName>
    <definedName name="__EEE01" localSheetId="8">#REF!</definedName>
    <definedName name="__EEE01" localSheetId="10">#REF!</definedName>
    <definedName name="__EEE01" localSheetId="6">#REF!</definedName>
    <definedName name="__EEE01">#REF!</definedName>
    <definedName name="__EEE02" localSheetId="8">#REF!</definedName>
    <definedName name="__EEE02" localSheetId="10">#REF!</definedName>
    <definedName name="__EEE02" localSheetId="6">#REF!</definedName>
    <definedName name="__EEE02">#REF!</definedName>
    <definedName name="__EEE03" localSheetId="8">#REF!</definedName>
    <definedName name="__EEE03" localSheetId="10">#REF!</definedName>
    <definedName name="__EEE03" localSheetId="6">#REF!</definedName>
    <definedName name="__EEE03">#REF!</definedName>
    <definedName name="__EEE04" localSheetId="8">#REF!</definedName>
    <definedName name="__EEE04" localSheetId="6">#REF!</definedName>
    <definedName name="__EEE04">#REF!</definedName>
    <definedName name="__EEE05" localSheetId="8">#REF!</definedName>
    <definedName name="__EEE05" localSheetId="6">#REF!</definedName>
    <definedName name="__EEE05">#REF!</definedName>
    <definedName name="__EEE06" localSheetId="8">#REF!</definedName>
    <definedName name="__EEE06" localSheetId="6">#REF!</definedName>
    <definedName name="__EEE06">#REF!</definedName>
    <definedName name="__EEE07" localSheetId="8">#REF!</definedName>
    <definedName name="__EEE07" localSheetId="6">#REF!</definedName>
    <definedName name="__EEE07">#REF!</definedName>
    <definedName name="__EEE08" localSheetId="8">#REF!</definedName>
    <definedName name="__EEE08" localSheetId="6">#REF!</definedName>
    <definedName name="__EEE08">#REF!</definedName>
    <definedName name="__EEE09" localSheetId="8">#REF!</definedName>
    <definedName name="__EEE09" localSheetId="6">#REF!</definedName>
    <definedName name="__EEE09">#REF!</definedName>
    <definedName name="__EEE10" localSheetId="8">#REF!</definedName>
    <definedName name="__EEE10" localSheetId="6">#REF!</definedName>
    <definedName name="__EEE10">#REF!</definedName>
    <definedName name="__EEE11" localSheetId="8">#REF!</definedName>
    <definedName name="__EEE11" localSheetId="6">#REF!</definedName>
    <definedName name="__EEE11">#REF!</definedName>
    <definedName name="__EEE12" localSheetId="8">#REF!</definedName>
    <definedName name="__EEE12" localSheetId="6">#REF!</definedName>
    <definedName name="__EEE12">#REF!</definedName>
    <definedName name="__EEE13" localSheetId="8">#REF!</definedName>
    <definedName name="__EEE13" localSheetId="6">#REF!</definedName>
    <definedName name="__EEE13">#REF!</definedName>
    <definedName name="__EEE14" localSheetId="8">#REF!</definedName>
    <definedName name="__EEE14" localSheetId="6">#REF!</definedName>
    <definedName name="__EEE14">#REF!</definedName>
    <definedName name="__EEE15" localSheetId="8">#REF!</definedName>
    <definedName name="__EEE15" localSheetId="6">#REF!</definedName>
    <definedName name="__EEE15">#REF!</definedName>
    <definedName name="__EEE16" localSheetId="8">#REF!</definedName>
    <definedName name="__EEE16" localSheetId="6">#REF!</definedName>
    <definedName name="__EEE16">#REF!</definedName>
    <definedName name="__EEE17" localSheetId="8">#REF!</definedName>
    <definedName name="__EEE17" localSheetId="6">#REF!</definedName>
    <definedName name="__EEE17">#REF!</definedName>
    <definedName name="__EEE18" localSheetId="8">#REF!</definedName>
    <definedName name="__EEE18" localSheetId="6">#REF!</definedName>
    <definedName name="__EEE18">#REF!</definedName>
    <definedName name="__EEE19" localSheetId="8">#REF!</definedName>
    <definedName name="__EEE19" localSheetId="6">#REF!</definedName>
    <definedName name="__EEE19">#REF!</definedName>
    <definedName name="__EEE20" localSheetId="8">#REF!</definedName>
    <definedName name="__EEE20" localSheetId="6">#REF!</definedName>
    <definedName name="__EEE20">#REF!</definedName>
    <definedName name="__EEE21" localSheetId="8">#REF!</definedName>
    <definedName name="__EEE21" localSheetId="6">#REF!</definedName>
    <definedName name="__EEE21">#REF!</definedName>
    <definedName name="__EEE22" localSheetId="8">#REF!</definedName>
    <definedName name="__EEE22" localSheetId="6">#REF!</definedName>
    <definedName name="__EEE22">#REF!</definedName>
    <definedName name="__EEE23" localSheetId="8">#REF!</definedName>
    <definedName name="__EEE23" localSheetId="6">#REF!</definedName>
    <definedName name="__EEE23">#REF!</definedName>
    <definedName name="__EEE24" localSheetId="8">#REF!</definedName>
    <definedName name="__EEE24" localSheetId="6">#REF!</definedName>
    <definedName name="__EEE24">#REF!</definedName>
    <definedName name="__EEE25" localSheetId="8">#REF!</definedName>
    <definedName name="__EEE25" localSheetId="6">#REF!</definedName>
    <definedName name="__EEE25">#REF!</definedName>
    <definedName name="__EEE26" localSheetId="8">#REF!</definedName>
    <definedName name="__EEE26" localSheetId="6">#REF!</definedName>
    <definedName name="__EEE26">#REF!</definedName>
    <definedName name="__EEE27" localSheetId="8">#REF!</definedName>
    <definedName name="__EEE27" localSheetId="6">#REF!</definedName>
    <definedName name="__EEE27">#REF!</definedName>
    <definedName name="__EEE28" localSheetId="8">#REF!</definedName>
    <definedName name="__EEE28" localSheetId="6">#REF!</definedName>
    <definedName name="__EEE28">#REF!</definedName>
    <definedName name="__EEE29" localSheetId="8">#REF!</definedName>
    <definedName name="__EEE29" localSheetId="6">#REF!</definedName>
    <definedName name="__EEE29">#REF!</definedName>
    <definedName name="__EEE30" localSheetId="8">#REF!</definedName>
    <definedName name="__EEE30" localSheetId="6">#REF!</definedName>
    <definedName name="__EEE30">#REF!</definedName>
    <definedName name="__EEE31" localSheetId="8">#REF!</definedName>
    <definedName name="__EEE31" localSheetId="6">#REF!</definedName>
    <definedName name="__EEE31">#REF!</definedName>
    <definedName name="__EEE32" localSheetId="8">#REF!</definedName>
    <definedName name="__EEE32" localSheetId="6">#REF!</definedName>
    <definedName name="__EEE32">#REF!</definedName>
    <definedName name="__EEE33" localSheetId="8">#REF!</definedName>
    <definedName name="__EEE33" localSheetId="6">#REF!</definedName>
    <definedName name="__EEE33">#REF!</definedName>
    <definedName name="__HAL5" localSheetId="8">'[6]Kuantitas &amp; Harga'!#REF!</definedName>
    <definedName name="__HAL5" localSheetId="6">'[6]Kuantitas &amp; Harga'!#REF!</definedName>
    <definedName name="__HAL5">'[6]Kuantitas &amp; Harga'!#REF!</definedName>
    <definedName name="__HAL6" localSheetId="8">'[6]Kuantitas &amp; Harga'!#REF!</definedName>
    <definedName name="__HAL6" localSheetId="6">'[6]Kuantitas &amp; Harga'!#REF!</definedName>
    <definedName name="__HAL6">'[6]Kuantitas &amp; Harga'!#REF!</definedName>
    <definedName name="__jum1" localSheetId="8">#REF!</definedName>
    <definedName name="__jum1" localSheetId="6">#REF!</definedName>
    <definedName name="__jum1">#REF!</definedName>
    <definedName name="__jum10" localSheetId="8">#REF!</definedName>
    <definedName name="__jum10" localSheetId="6">#REF!</definedName>
    <definedName name="__jum10">#REF!</definedName>
    <definedName name="__jum2" localSheetId="8">#REF!</definedName>
    <definedName name="__jum2" localSheetId="6">#REF!</definedName>
    <definedName name="__jum2">#REF!</definedName>
    <definedName name="__jum3" localSheetId="8">#REF!</definedName>
    <definedName name="__jum3" localSheetId="6">#REF!</definedName>
    <definedName name="__jum3">#REF!</definedName>
    <definedName name="__jum4" localSheetId="8">#REF!</definedName>
    <definedName name="__jum4" localSheetId="6">#REF!</definedName>
    <definedName name="__jum4">#REF!</definedName>
    <definedName name="__jum5" localSheetId="8">#REF!</definedName>
    <definedName name="__jum5" localSheetId="6">#REF!</definedName>
    <definedName name="__jum5">#REF!</definedName>
    <definedName name="__jum6" localSheetId="8">#REF!</definedName>
    <definedName name="__jum6" localSheetId="6">#REF!</definedName>
    <definedName name="__jum6">#REF!</definedName>
    <definedName name="__jum7" localSheetId="8">#REF!</definedName>
    <definedName name="__jum7" localSheetId="6">#REF!</definedName>
    <definedName name="__jum7">#REF!</definedName>
    <definedName name="__jum8" localSheetId="8">#REF!</definedName>
    <definedName name="__jum8" localSheetId="6">#REF!</definedName>
    <definedName name="__jum8">#REF!</definedName>
    <definedName name="__jum9" localSheetId="8">#REF!</definedName>
    <definedName name="__jum9" localSheetId="6">#REF!</definedName>
    <definedName name="__jum9">#REF!</definedName>
    <definedName name="__MDE01" localSheetId="8">#REF!</definedName>
    <definedName name="__MDE01" localSheetId="10">#REF!</definedName>
    <definedName name="__MDE01" localSheetId="6">#REF!</definedName>
    <definedName name="__MDE01">#REF!</definedName>
    <definedName name="__MDE02" localSheetId="8">#REF!</definedName>
    <definedName name="__MDE02" localSheetId="10">#REF!</definedName>
    <definedName name="__MDE02" localSheetId="6">#REF!</definedName>
    <definedName name="__MDE02">#REF!</definedName>
    <definedName name="__MDE03" localSheetId="8">#REF!</definedName>
    <definedName name="__MDE03" localSheetId="10">#REF!</definedName>
    <definedName name="__MDE03" localSheetId="6">#REF!</definedName>
    <definedName name="__MDE03">#REF!</definedName>
    <definedName name="__MDE04" localSheetId="8">#REF!</definedName>
    <definedName name="__MDE04" localSheetId="6">#REF!</definedName>
    <definedName name="__MDE04">#REF!</definedName>
    <definedName name="__MDE05" localSheetId="8">#REF!</definedName>
    <definedName name="__MDE05" localSheetId="6">#REF!</definedName>
    <definedName name="__MDE05">#REF!</definedName>
    <definedName name="__MDE06" localSheetId="8">#REF!</definedName>
    <definedName name="__MDE06" localSheetId="6">#REF!</definedName>
    <definedName name="__MDE06">#REF!</definedName>
    <definedName name="__MDE07" localSheetId="8">#REF!</definedName>
    <definedName name="__MDE07" localSheetId="6">#REF!</definedName>
    <definedName name="__MDE07">#REF!</definedName>
    <definedName name="__MDE08" localSheetId="8">#REF!</definedName>
    <definedName name="__MDE08" localSheetId="6">#REF!</definedName>
    <definedName name="__MDE08">#REF!</definedName>
    <definedName name="__MDE09" localSheetId="8">#REF!</definedName>
    <definedName name="__MDE09" localSheetId="6">#REF!</definedName>
    <definedName name="__MDE09">#REF!</definedName>
    <definedName name="__MDE10" localSheetId="8">#REF!</definedName>
    <definedName name="__MDE10" localSheetId="6">#REF!</definedName>
    <definedName name="__MDE10">#REF!</definedName>
    <definedName name="__MDE11" localSheetId="8">#REF!</definedName>
    <definedName name="__MDE11" localSheetId="6">#REF!</definedName>
    <definedName name="__MDE11">#REF!</definedName>
    <definedName name="__MDE12" localSheetId="8">#REF!</definedName>
    <definedName name="__MDE12" localSheetId="6">#REF!</definedName>
    <definedName name="__MDE12">#REF!</definedName>
    <definedName name="__MDE13" localSheetId="8">#REF!</definedName>
    <definedName name="__MDE13" localSheetId="6">#REF!</definedName>
    <definedName name="__MDE13">#REF!</definedName>
    <definedName name="__MDE14" localSheetId="8">#REF!</definedName>
    <definedName name="__MDE14" localSheetId="6">#REF!</definedName>
    <definedName name="__MDE14">#REF!</definedName>
    <definedName name="__MDE15" localSheetId="8">#REF!</definedName>
    <definedName name="__MDE15" localSheetId="6">#REF!</definedName>
    <definedName name="__MDE15">#REF!</definedName>
    <definedName name="__MDE16" localSheetId="8">#REF!</definedName>
    <definedName name="__MDE16" localSheetId="6">#REF!</definedName>
    <definedName name="__MDE16">#REF!</definedName>
    <definedName name="__MDE17" localSheetId="8">#REF!</definedName>
    <definedName name="__MDE17" localSheetId="6">#REF!</definedName>
    <definedName name="__MDE17">#REF!</definedName>
    <definedName name="__MDE18" localSheetId="8">#REF!</definedName>
    <definedName name="__MDE18" localSheetId="6">#REF!</definedName>
    <definedName name="__MDE18">#REF!</definedName>
    <definedName name="__MDE19" localSheetId="8">#REF!</definedName>
    <definedName name="__MDE19" localSheetId="6">#REF!</definedName>
    <definedName name="__MDE19">#REF!</definedName>
    <definedName name="__MDE20" localSheetId="8">#REF!</definedName>
    <definedName name="__MDE20" localSheetId="6">#REF!</definedName>
    <definedName name="__MDE20">#REF!</definedName>
    <definedName name="__MDE21" localSheetId="8">#REF!</definedName>
    <definedName name="__MDE21" localSheetId="6">#REF!</definedName>
    <definedName name="__MDE21">#REF!</definedName>
    <definedName name="__MDE22" localSheetId="8">#REF!</definedName>
    <definedName name="__MDE22" localSheetId="6">#REF!</definedName>
    <definedName name="__MDE22">#REF!</definedName>
    <definedName name="__MDE23" localSheetId="8">#REF!</definedName>
    <definedName name="__MDE23" localSheetId="6">#REF!</definedName>
    <definedName name="__MDE23">#REF!</definedName>
    <definedName name="__MDE24" localSheetId="8">#REF!</definedName>
    <definedName name="__MDE24" localSheetId="6">#REF!</definedName>
    <definedName name="__MDE24">#REF!</definedName>
    <definedName name="__MDE25" localSheetId="8">#REF!</definedName>
    <definedName name="__MDE25" localSheetId="6">#REF!</definedName>
    <definedName name="__MDE25">#REF!</definedName>
    <definedName name="__MDE26" localSheetId="8">#REF!</definedName>
    <definedName name="__MDE26" localSheetId="6">#REF!</definedName>
    <definedName name="__MDE26">#REF!</definedName>
    <definedName name="__MDE27" localSheetId="8">#REF!</definedName>
    <definedName name="__MDE27" localSheetId="6">#REF!</definedName>
    <definedName name="__MDE27">#REF!</definedName>
    <definedName name="__MDE28" localSheetId="8">#REF!</definedName>
    <definedName name="__MDE28" localSheetId="6">#REF!</definedName>
    <definedName name="__MDE28">#REF!</definedName>
    <definedName name="__MDE29" localSheetId="8">#REF!</definedName>
    <definedName name="__MDE29" localSheetId="6">#REF!</definedName>
    <definedName name="__MDE29">#REF!</definedName>
    <definedName name="__MDE30" localSheetId="8">#REF!</definedName>
    <definedName name="__MDE30" localSheetId="6">#REF!</definedName>
    <definedName name="__MDE30">#REF!</definedName>
    <definedName name="__MDE31" localSheetId="8">#REF!</definedName>
    <definedName name="__MDE31" localSheetId="6">#REF!</definedName>
    <definedName name="__MDE31">#REF!</definedName>
    <definedName name="__MDE32" localSheetId="8">#REF!</definedName>
    <definedName name="__MDE32" localSheetId="6">#REF!</definedName>
    <definedName name="__MDE32">#REF!</definedName>
    <definedName name="__MDE33" localSheetId="8">#REF!</definedName>
    <definedName name="__MDE33" localSheetId="6">#REF!</definedName>
    <definedName name="__MDE33">#REF!</definedName>
    <definedName name="__MDE34" localSheetId="8">#REF!</definedName>
    <definedName name="__MDE34" localSheetId="6">#REF!</definedName>
    <definedName name="__MDE34">#REF!</definedName>
    <definedName name="__MDE35" localSheetId="8">#REF!</definedName>
    <definedName name="__MDE35" localSheetId="6">#REF!</definedName>
    <definedName name="__MDE35">#REF!</definedName>
    <definedName name="__MDE36" localSheetId="8">#REF!</definedName>
    <definedName name="__MDE36" localSheetId="6">#REF!</definedName>
    <definedName name="__MDE36">#REF!</definedName>
    <definedName name="__MDE37" localSheetId="8">#REF!</definedName>
    <definedName name="__MDE37" localSheetId="6">#REF!</definedName>
    <definedName name="__MDE37">#REF!</definedName>
    <definedName name="__MDE38" localSheetId="8">#REF!</definedName>
    <definedName name="__MDE38" localSheetId="6">#REF!</definedName>
    <definedName name="__MDE38">#REF!</definedName>
    <definedName name="__MDE39" localSheetId="8">#REF!</definedName>
    <definedName name="__MDE39" localSheetId="6">#REF!</definedName>
    <definedName name="__MDE39">#REF!</definedName>
    <definedName name="__MDE40" localSheetId="8">#REF!</definedName>
    <definedName name="__MDE40" localSheetId="6">#REF!</definedName>
    <definedName name="__MDE40">#REF!</definedName>
    <definedName name="__MDE41" localSheetId="8">#REF!</definedName>
    <definedName name="__MDE41" localSheetId="6">#REF!</definedName>
    <definedName name="__MDE41">#REF!</definedName>
    <definedName name="__MDE42" localSheetId="8">#REF!</definedName>
    <definedName name="__MDE42" localSheetId="6">#REF!</definedName>
    <definedName name="__MDE42">#REF!</definedName>
    <definedName name="__MDE43" localSheetId="8">#REF!</definedName>
    <definedName name="__MDE43" localSheetId="6">#REF!</definedName>
    <definedName name="__MDE43">#REF!</definedName>
    <definedName name="__MDE44" localSheetId="8">#REF!</definedName>
    <definedName name="__MDE44" localSheetId="6">#REF!</definedName>
    <definedName name="__MDE44">#REF!</definedName>
    <definedName name="__MDE45" localSheetId="8">#REF!</definedName>
    <definedName name="__MDE45" localSheetId="6">#REF!</definedName>
    <definedName name="__MDE45">#REF!</definedName>
    <definedName name="__MDE46" localSheetId="8">#REF!</definedName>
    <definedName name="__MDE46" localSheetId="6">#REF!</definedName>
    <definedName name="__MDE46">#REF!</definedName>
    <definedName name="__MDE47" localSheetId="8">#REF!</definedName>
    <definedName name="__MDE47" localSheetId="6">#REF!</definedName>
    <definedName name="__MDE47">#REF!</definedName>
    <definedName name="__MDE48" localSheetId="8">#REF!</definedName>
    <definedName name="__MDE48" localSheetId="6">#REF!</definedName>
    <definedName name="__MDE48">#REF!</definedName>
    <definedName name="__MDE49" localSheetId="8">#REF!</definedName>
    <definedName name="__MDE49" localSheetId="6">#REF!</definedName>
    <definedName name="__MDE49">#REF!</definedName>
    <definedName name="__MDE50" localSheetId="8">#REF!</definedName>
    <definedName name="__MDE50" localSheetId="6">#REF!</definedName>
    <definedName name="__MDE50">#REF!</definedName>
    <definedName name="__MDE51" localSheetId="8">#REF!</definedName>
    <definedName name="__MDE51" localSheetId="6">#REF!</definedName>
    <definedName name="__MDE51">#REF!</definedName>
    <definedName name="__MDE52" localSheetId="8">#REF!</definedName>
    <definedName name="__MDE52" localSheetId="6">#REF!</definedName>
    <definedName name="__MDE52">#REF!</definedName>
    <definedName name="__MDE53" localSheetId="8">#REF!</definedName>
    <definedName name="__MDE53" localSheetId="6">#REF!</definedName>
    <definedName name="__MDE53">#REF!</definedName>
    <definedName name="__MDE54" localSheetId="8">#REF!</definedName>
    <definedName name="__MDE54" localSheetId="6">#REF!</definedName>
    <definedName name="__MDE54">#REF!</definedName>
    <definedName name="__MDE55" localSheetId="8">#REF!</definedName>
    <definedName name="__MDE55" localSheetId="6">#REF!</definedName>
    <definedName name="__MDE55">#REF!</definedName>
    <definedName name="__MDE56" localSheetId="8">#REF!</definedName>
    <definedName name="__MDE56" localSheetId="6">#REF!</definedName>
    <definedName name="__MDE56">#REF!</definedName>
    <definedName name="__MDE57" localSheetId="8">#REF!</definedName>
    <definedName name="__MDE57" localSheetId="6">#REF!</definedName>
    <definedName name="__MDE57">#REF!</definedName>
    <definedName name="__MDE58" localSheetId="8">#REF!</definedName>
    <definedName name="__MDE58" localSheetId="6">#REF!</definedName>
    <definedName name="__MDE58">#REF!</definedName>
    <definedName name="__MDE59" localSheetId="8">#REF!</definedName>
    <definedName name="__MDE59" localSheetId="6">#REF!</definedName>
    <definedName name="__MDE59">#REF!</definedName>
    <definedName name="__MDE60" localSheetId="8">#REF!</definedName>
    <definedName name="__MDE60" localSheetId="6">#REF!</definedName>
    <definedName name="__MDE60">#REF!</definedName>
    <definedName name="__MDE61" localSheetId="8">#REF!</definedName>
    <definedName name="__MDE61" localSheetId="6">#REF!</definedName>
    <definedName name="__MDE61">#REF!</definedName>
    <definedName name="__MDE62" localSheetId="8">#REF!</definedName>
    <definedName name="__MDE62" localSheetId="6">#REF!</definedName>
    <definedName name="__MDE62">#REF!</definedName>
    <definedName name="__MDE63" localSheetId="8">#REF!</definedName>
    <definedName name="__MDE63" localSheetId="6">#REF!</definedName>
    <definedName name="__MDE63">#REF!</definedName>
    <definedName name="__MDE64" localSheetId="8">#REF!</definedName>
    <definedName name="__MDE64" localSheetId="6">#REF!</definedName>
    <definedName name="__MDE64">#REF!</definedName>
    <definedName name="__MDE65" localSheetId="8">#REF!</definedName>
    <definedName name="__MDE65" localSheetId="6">#REF!</definedName>
    <definedName name="__MDE65">#REF!</definedName>
    <definedName name="__MDE66" localSheetId="8">#REF!</definedName>
    <definedName name="__MDE66" localSheetId="6">#REF!</definedName>
    <definedName name="__MDE66">#REF!</definedName>
    <definedName name="__MDE67" localSheetId="8">#REF!</definedName>
    <definedName name="__MDE67" localSheetId="6">#REF!</definedName>
    <definedName name="__MDE67">#REF!</definedName>
    <definedName name="__MDE68" localSheetId="8">#REF!</definedName>
    <definedName name="__MDE68" localSheetId="6">#REF!</definedName>
    <definedName name="__MDE68">#REF!</definedName>
    <definedName name="__ME01" localSheetId="8">#REF!</definedName>
    <definedName name="__ME01" localSheetId="6">#REF!</definedName>
    <definedName name="__ME01">#REF!</definedName>
    <definedName name="__ME02" localSheetId="8">#REF!</definedName>
    <definedName name="__ME02" localSheetId="6">#REF!</definedName>
    <definedName name="__ME02">#REF!</definedName>
    <definedName name="__ME03" localSheetId="8">#REF!</definedName>
    <definedName name="__ME03" localSheetId="6">#REF!</definedName>
    <definedName name="__ME03">#REF!</definedName>
    <definedName name="__ME04" localSheetId="8">#REF!</definedName>
    <definedName name="__ME04" localSheetId="6">#REF!</definedName>
    <definedName name="__ME04">#REF!</definedName>
    <definedName name="__ME05" localSheetId="8">#REF!</definedName>
    <definedName name="__ME05" localSheetId="6">#REF!</definedName>
    <definedName name="__ME05">#REF!</definedName>
    <definedName name="__ME06" localSheetId="8">#REF!</definedName>
    <definedName name="__ME06" localSheetId="6">#REF!</definedName>
    <definedName name="__ME06">#REF!</definedName>
    <definedName name="__ME07" localSheetId="8">#REF!</definedName>
    <definedName name="__ME07" localSheetId="6">#REF!</definedName>
    <definedName name="__ME07">#REF!</definedName>
    <definedName name="__ME08" localSheetId="8">#REF!</definedName>
    <definedName name="__ME08" localSheetId="6">#REF!</definedName>
    <definedName name="__ME08">#REF!</definedName>
    <definedName name="__ME09" localSheetId="8">#REF!</definedName>
    <definedName name="__ME09" localSheetId="6">#REF!</definedName>
    <definedName name="__ME09">#REF!</definedName>
    <definedName name="__ME10" localSheetId="8">#REF!</definedName>
    <definedName name="__ME10" localSheetId="6">#REF!</definedName>
    <definedName name="__ME10">#REF!</definedName>
    <definedName name="__ME11" localSheetId="8">#REF!</definedName>
    <definedName name="__ME11" localSheetId="6">#REF!</definedName>
    <definedName name="__ME11">#REF!</definedName>
    <definedName name="__ME12" localSheetId="8">#REF!</definedName>
    <definedName name="__ME12" localSheetId="6">#REF!</definedName>
    <definedName name="__ME12">#REF!</definedName>
    <definedName name="__ME13" localSheetId="8">#REF!</definedName>
    <definedName name="__ME13" localSheetId="6">#REF!</definedName>
    <definedName name="__ME13">#REF!</definedName>
    <definedName name="__ME14" localSheetId="8">#REF!</definedName>
    <definedName name="__ME14" localSheetId="6">#REF!</definedName>
    <definedName name="__ME14">#REF!</definedName>
    <definedName name="__ME15" localSheetId="8">#REF!</definedName>
    <definedName name="__ME15" localSheetId="6">#REF!</definedName>
    <definedName name="__ME15">#REF!</definedName>
    <definedName name="__ME16" localSheetId="8">#REF!</definedName>
    <definedName name="__ME16" localSheetId="6">#REF!</definedName>
    <definedName name="__ME16">#REF!</definedName>
    <definedName name="__ME17" localSheetId="8">#REF!</definedName>
    <definedName name="__ME17" localSheetId="6">#REF!</definedName>
    <definedName name="__ME17">#REF!</definedName>
    <definedName name="__ME18" localSheetId="8">#REF!</definedName>
    <definedName name="__ME18" localSheetId="6">#REF!</definedName>
    <definedName name="__ME18">#REF!</definedName>
    <definedName name="__ME19" localSheetId="8">#REF!</definedName>
    <definedName name="__ME19" localSheetId="6">#REF!</definedName>
    <definedName name="__ME19">#REF!</definedName>
    <definedName name="__ME20" localSheetId="8">#REF!</definedName>
    <definedName name="__ME20" localSheetId="6">#REF!</definedName>
    <definedName name="__ME20">#REF!</definedName>
    <definedName name="__ME21" localSheetId="8">#REF!</definedName>
    <definedName name="__ME21" localSheetId="6">#REF!</definedName>
    <definedName name="__ME21">#REF!</definedName>
    <definedName name="__ME22" localSheetId="8">#REF!</definedName>
    <definedName name="__ME22" localSheetId="6">#REF!</definedName>
    <definedName name="__ME22">#REF!</definedName>
    <definedName name="__ME23" localSheetId="8">#REF!</definedName>
    <definedName name="__ME23" localSheetId="6">#REF!</definedName>
    <definedName name="__ME23">#REF!</definedName>
    <definedName name="__ME24" localSheetId="8">#REF!</definedName>
    <definedName name="__ME24" localSheetId="6">#REF!</definedName>
    <definedName name="__ME24">#REF!</definedName>
    <definedName name="__ME25" localSheetId="8">#REF!</definedName>
    <definedName name="__ME25" localSheetId="6">#REF!</definedName>
    <definedName name="__ME25">#REF!</definedName>
    <definedName name="__ME26" localSheetId="8">#REF!</definedName>
    <definedName name="__ME26" localSheetId="6">#REF!</definedName>
    <definedName name="__ME26">#REF!</definedName>
    <definedName name="__ME27" localSheetId="8">#REF!</definedName>
    <definedName name="__ME27" localSheetId="6">#REF!</definedName>
    <definedName name="__ME27">#REF!</definedName>
    <definedName name="__ME28" localSheetId="8">#REF!</definedName>
    <definedName name="__ME28" localSheetId="6">#REF!</definedName>
    <definedName name="__ME28">#REF!</definedName>
    <definedName name="__ME29" localSheetId="8">#REF!</definedName>
    <definedName name="__ME29" localSheetId="6">#REF!</definedName>
    <definedName name="__ME29">#REF!</definedName>
    <definedName name="__ME30" localSheetId="8">#REF!</definedName>
    <definedName name="__ME30" localSheetId="6">#REF!</definedName>
    <definedName name="__ME30">#REF!</definedName>
    <definedName name="__ME31" localSheetId="8">#REF!</definedName>
    <definedName name="__ME31" localSheetId="6">#REF!</definedName>
    <definedName name="__ME31">#REF!</definedName>
    <definedName name="__ME32" localSheetId="8">#REF!</definedName>
    <definedName name="__ME32" localSheetId="6">#REF!</definedName>
    <definedName name="__ME32">#REF!</definedName>
    <definedName name="__ME33" localSheetId="8">#REF!</definedName>
    <definedName name="__ME33" localSheetId="6">#REF!</definedName>
    <definedName name="__ME33">#REF!</definedName>
    <definedName name="__ME34" localSheetId="8">#REF!</definedName>
    <definedName name="__ME34" localSheetId="6">#REF!</definedName>
    <definedName name="__ME34">#REF!</definedName>
    <definedName name="__ME35" localSheetId="8">#REF!</definedName>
    <definedName name="__ME35" localSheetId="6">#REF!</definedName>
    <definedName name="__ME35">#REF!</definedName>
    <definedName name="__ME36" localSheetId="8">#REF!</definedName>
    <definedName name="__ME36" localSheetId="6">#REF!</definedName>
    <definedName name="__ME36">#REF!</definedName>
    <definedName name="__ME37" localSheetId="8">#REF!</definedName>
    <definedName name="__ME37" localSheetId="6">#REF!</definedName>
    <definedName name="__ME37">#REF!</definedName>
    <definedName name="__ME38" localSheetId="8">#REF!</definedName>
    <definedName name="__ME38" localSheetId="6">#REF!</definedName>
    <definedName name="__ME38">#REF!</definedName>
    <definedName name="__ME39" localSheetId="8">#REF!</definedName>
    <definedName name="__ME39" localSheetId="6">#REF!</definedName>
    <definedName name="__ME39">#REF!</definedName>
    <definedName name="__ME40" localSheetId="8">#REF!</definedName>
    <definedName name="__ME40" localSheetId="6">#REF!</definedName>
    <definedName name="__ME40">#REF!</definedName>
    <definedName name="__ME41" localSheetId="8">#REF!</definedName>
    <definedName name="__ME41" localSheetId="6">#REF!</definedName>
    <definedName name="__ME41">#REF!</definedName>
    <definedName name="__ME42" localSheetId="8">#REF!</definedName>
    <definedName name="__ME42" localSheetId="6">#REF!</definedName>
    <definedName name="__ME42">#REF!</definedName>
    <definedName name="__ME43" localSheetId="8">#REF!</definedName>
    <definedName name="__ME43" localSheetId="6">#REF!</definedName>
    <definedName name="__ME43">#REF!</definedName>
    <definedName name="__ME44" localSheetId="8">#REF!</definedName>
    <definedName name="__ME44" localSheetId="6">#REF!</definedName>
    <definedName name="__ME44">#REF!</definedName>
    <definedName name="__ME45" localSheetId="8">#REF!</definedName>
    <definedName name="__ME45" localSheetId="6">#REF!</definedName>
    <definedName name="__ME45">#REF!</definedName>
    <definedName name="__ME46" localSheetId="8">#REF!</definedName>
    <definedName name="__ME46" localSheetId="6">#REF!</definedName>
    <definedName name="__ME46">#REF!</definedName>
    <definedName name="__ME47" localSheetId="8">#REF!</definedName>
    <definedName name="__ME47" localSheetId="6">#REF!</definedName>
    <definedName name="__ME47">#REF!</definedName>
    <definedName name="__ME48" localSheetId="8">#REF!</definedName>
    <definedName name="__ME48" localSheetId="6">#REF!</definedName>
    <definedName name="__ME48">#REF!</definedName>
    <definedName name="__ME49" localSheetId="8">#REF!</definedName>
    <definedName name="__ME49" localSheetId="6">#REF!</definedName>
    <definedName name="__ME49">#REF!</definedName>
    <definedName name="__ME50" localSheetId="8">#REF!</definedName>
    <definedName name="__ME50" localSheetId="6">#REF!</definedName>
    <definedName name="__ME50">#REF!</definedName>
    <definedName name="__ME51" localSheetId="8">#REF!</definedName>
    <definedName name="__ME51" localSheetId="6">#REF!</definedName>
    <definedName name="__ME51">#REF!</definedName>
    <definedName name="__ME52" localSheetId="8">#REF!</definedName>
    <definedName name="__ME52" localSheetId="6">#REF!</definedName>
    <definedName name="__ME52">#REF!</definedName>
    <definedName name="__ME53" localSheetId="8">#REF!</definedName>
    <definedName name="__ME53" localSheetId="6">#REF!</definedName>
    <definedName name="__ME53">#REF!</definedName>
    <definedName name="__ME54" localSheetId="8">#REF!</definedName>
    <definedName name="__ME54" localSheetId="6">#REF!</definedName>
    <definedName name="__ME54">#REF!</definedName>
    <definedName name="__ME55" localSheetId="8">#REF!</definedName>
    <definedName name="__ME55" localSheetId="6">#REF!</definedName>
    <definedName name="__ME55">#REF!</definedName>
    <definedName name="__ME56" localSheetId="8">#REF!</definedName>
    <definedName name="__ME56" localSheetId="6">#REF!</definedName>
    <definedName name="__ME56">#REF!</definedName>
    <definedName name="__ME57" localSheetId="8">#REF!</definedName>
    <definedName name="__ME57" localSheetId="6">#REF!</definedName>
    <definedName name="__ME57">#REF!</definedName>
    <definedName name="__ME58" localSheetId="8">#REF!</definedName>
    <definedName name="__ME58" localSheetId="6">#REF!</definedName>
    <definedName name="__ME58">#REF!</definedName>
    <definedName name="__ME59" localSheetId="8">#REF!</definedName>
    <definedName name="__ME59" localSheetId="6">#REF!</definedName>
    <definedName name="__ME59">#REF!</definedName>
    <definedName name="__ME60" localSheetId="8">#REF!</definedName>
    <definedName name="__ME60" localSheetId="6">#REF!</definedName>
    <definedName name="__ME60">#REF!</definedName>
    <definedName name="__ME61" localSheetId="8">#REF!</definedName>
    <definedName name="__ME61" localSheetId="6">#REF!</definedName>
    <definedName name="__ME61">#REF!</definedName>
    <definedName name="__ME62" localSheetId="8">#REF!</definedName>
    <definedName name="__ME62" localSheetId="6">#REF!</definedName>
    <definedName name="__ME62">#REF!</definedName>
    <definedName name="__ME63" localSheetId="8">#REF!</definedName>
    <definedName name="__ME63" localSheetId="6">#REF!</definedName>
    <definedName name="__ME63">#REF!</definedName>
    <definedName name="__ME64" localSheetId="8">#REF!</definedName>
    <definedName name="__ME64" localSheetId="6">#REF!</definedName>
    <definedName name="__ME64">#REF!</definedName>
    <definedName name="__ME65" localSheetId="8">#REF!</definedName>
    <definedName name="__ME65" localSheetId="6">#REF!</definedName>
    <definedName name="__ME65">#REF!</definedName>
    <definedName name="__ME66" localSheetId="8">#REF!</definedName>
    <definedName name="__ME66" localSheetId="6">#REF!</definedName>
    <definedName name="__ME66">#REF!</definedName>
    <definedName name="__ME67" localSheetId="8">#REF!</definedName>
    <definedName name="__ME67" localSheetId="6">#REF!</definedName>
    <definedName name="__ME67">#REF!</definedName>
    <definedName name="__ME68" localSheetId="8">#REF!</definedName>
    <definedName name="__ME68" localSheetId="6">#REF!</definedName>
    <definedName name="__ME68">#REF!</definedName>
    <definedName name="__PVC1" localSheetId="8">#REF!</definedName>
    <definedName name="__PVC1" localSheetId="6">#REF!</definedName>
    <definedName name="__PVC1">#REF!</definedName>
    <definedName name="__PVC2" localSheetId="8">#REF!</definedName>
    <definedName name="__PVC2" localSheetId="6">#REF!</definedName>
    <definedName name="__PVC2">#REF!</definedName>
    <definedName name="__PVC4" localSheetId="8">#REF!</definedName>
    <definedName name="__PVC4" localSheetId="6">#REF!</definedName>
    <definedName name="__PVC4">#REF!</definedName>
    <definedName name="__PVC6" localSheetId="8">#REF!</definedName>
    <definedName name="__PVC6" localSheetId="6">#REF!</definedName>
    <definedName name="__PVC6">#REF!</definedName>
    <definedName name="__SAK1" localSheetId="8">#REF!</definedName>
    <definedName name="__SAK1" localSheetId="6">#REF!</definedName>
    <definedName name="__SAK1">#REF!</definedName>
    <definedName name="_0" localSheetId="8">'[7]1_boq'!#REF!</definedName>
    <definedName name="_0" localSheetId="6">'[7]1_boq'!#REF!</definedName>
    <definedName name="_0">'[7]1_boq'!#REF!</definedName>
    <definedName name="_1">#N/A</definedName>
    <definedName name="_1__123Graph_AG_FLOW" hidden="1">[8]TJ1Q47!$H$7:$H$31</definedName>
    <definedName name="_2__123Graph_AG_KUM" hidden="1">[8]TJ1Q47!$N$7:$N$31</definedName>
    <definedName name="_3__123Graph_BG_FLOW" hidden="1">[8]TJ1Q47!$F$7:$F$31</definedName>
    <definedName name="_4__123Graph_BG_KUM" hidden="1">[8]TJ1Q47!$L$7:$L$31</definedName>
    <definedName name="_5__123Graph_CG_KUM" hidden="1">[8]TJ1Q47!$J$7:$J$31</definedName>
    <definedName name="_6__123Graph_XG_FLOW" hidden="1">[8]TJ1Q47!$B$7:$B$31</definedName>
    <definedName name="_7.1__2" localSheetId="8">'[9]D7(1)'!#REF!</definedName>
    <definedName name="_7.1__2" localSheetId="6">'[9]D7(1)'!#REF!</definedName>
    <definedName name="_7.1__2">'[9]D7(1)'!#REF!</definedName>
    <definedName name="_7__123Graph_XG_KUM" hidden="1">[8]TJ1Q47!$B$7:$B$31</definedName>
    <definedName name="_a" localSheetId="8">#REF!</definedName>
    <definedName name="_a" localSheetId="10">#REF!</definedName>
    <definedName name="_a" localSheetId="6">#REF!</definedName>
    <definedName name="_a">#REF!</definedName>
    <definedName name="_aaa1" localSheetId="8">#REF!</definedName>
    <definedName name="_aaa1" localSheetId="6">#REF!</definedName>
    <definedName name="_aaa1">#REF!</definedName>
    <definedName name="_bln2" localSheetId="8">#REF!</definedName>
    <definedName name="_bln2" localSheetId="6">#REF!</definedName>
    <definedName name="_bln2">#REF!</definedName>
    <definedName name="_COR135" localSheetId="8">[5]Anl!#REF!</definedName>
    <definedName name="_COR135" localSheetId="10">[5]Anl!#REF!</definedName>
    <definedName name="_COR135" localSheetId="6">[5]Anl!#REF!</definedName>
    <definedName name="_COR135">[5]Anl!#REF!</definedName>
    <definedName name="_DIV1">[10]BOQ!$G$19</definedName>
    <definedName name="_DIV10">[10]BOQ!$G$312</definedName>
    <definedName name="_DIV11" localSheetId="8">'[6]Kuantitas &amp; Harga'!#REF!</definedName>
    <definedName name="_DIV11" localSheetId="10">'[6]Kuantitas &amp; Harga'!#REF!</definedName>
    <definedName name="_DIV11" localSheetId="6">'[6]Kuantitas &amp; Harga'!#REF!</definedName>
    <definedName name="_DIV11">'[6]Kuantitas &amp; Harga'!#REF!</definedName>
    <definedName name="_DIV2">[10]BOQ!$G$37</definedName>
    <definedName name="_DIV3">[10]BOQ!$G$60</definedName>
    <definedName name="_DIV4">[10]BOQ!$G$73</definedName>
    <definedName name="_DIV5">[10]BOQ!$G$86</definedName>
    <definedName name="_DIV6">[10]BOQ!$G$124</definedName>
    <definedName name="_DIV7" localSheetId="8">'[6]Kuantitas &amp; Harga'!#REF!</definedName>
    <definedName name="_DIV7" localSheetId="6">'[6]Kuantitas &amp; Harga'!#REF!</definedName>
    <definedName name="_DIV7">'[6]Kuantitas &amp; Harga'!#REF!</definedName>
    <definedName name="_DIV8">[10]BOQ!$G$275</definedName>
    <definedName name="_DIV9">[10]BOQ!$G$301</definedName>
    <definedName name="_EEE01" localSheetId="8">#REF!</definedName>
    <definedName name="_EEE01" localSheetId="10">#REF!</definedName>
    <definedName name="_EEE01" localSheetId="6">#REF!</definedName>
    <definedName name="_EEE01">#REF!</definedName>
    <definedName name="_EEE02" localSheetId="8">#REF!</definedName>
    <definedName name="_EEE02" localSheetId="10">#REF!</definedName>
    <definedName name="_EEE02" localSheetId="6">#REF!</definedName>
    <definedName name="_EEE02">#REF!</definedName>
    <definedName name="_EEE03" localSheetId="8">#REF!</definedName>
    <definedName name="_EEE03" localSheetId="10">#REF!</definedName>
    <definedName name="_EEE03" localSheetId="6">#REF!</definedName>
    <definedName name="_EEE03">#REF!</definedName>
    <definedName name="_EEE04" localSheetId="8">#REF!</definedName>
    <definedName name="_EEE04" localSheetId="6">#REF!</definedName>
    <definedName name="_EEE04">#REF!</definedName>
    <definedName name="_EEE05" localSheetId="8">#REF!</definedName>
    <definedName name="_EEE05" localSheetId="6">#REF!</definedName>
    <definedName name="_EEE05">#REF!</definedName>
    <definedName name="_EEE06" localSheetId="8">#REF!</definedName>
    <definedName name="_EEE06" localSheetId="6">#REF!</definedName>
    <definedName name="_EEE06">#REF!</definedName>
    <definedName name="_EEE07" localSheetId="8">#REF!</definedName>
    <definedName name="_EEE07" localSheetId="6">#REF!</definedName>
    <definedName name="_EEE07">#REF!</definedName>
    <definedName name="_EEE08" localSheetId="8">#REF!</definedName>
    <definedName name="_EEE08" localSheetId="6">#REF!</definedName>
    <definedName name="_EEE08">#REF!</definedName>
    <definedName name="_EEE09" localSheetId="8">#REF!</definedName>
    <definedName name="_EEE09" localSheetId="6">#REF!</definedName>
    <definedName name="_EEE09">#REF!</definedName>
    <definedName name="_EEE10" localSheetId="8">#REF!</definedName>
    <definedName name="_EEE10" localSheetId="6">#REF!</definedName>
    <definedName name="_EEE10">#REF!</definedName>
    <definedName name="_EEE11" localSheetId="8">#REF!</definedName>
    <definedName name="_EEE11" localSheetId="6">#REF!</definedName>
    <definedName name="_EEE11">#REF!</definedName>
    <definedName name="_EEE12" localSheetId="8">#REF!</definedName>
    <definedName name="_EEE12" localSheetId="6">#REF!</definedName>
    <definedName name="_EEE12">#REF!</definedName>
    <definedName name="_EEE13" localSheetId="8">#REF!</definedName>
    <definedName name="_EEE13" localSheetId="6">#REF!</definedName>
    <definedName name="_EEE13">#REF!</definedName>
    <definedName name="_EEE14" localSheetId="8">#REF!</definedName>
    <definedName name="_EEE14" localSheetId="6">#REF!</definedName>
    <definedName name="_EEE14">#REF!</definedName>
    <definedName name="_EEE15" localSheetId="8">#REF!</definedName>
    <definedName name="_EEE15" localSheetId="6">#REF!</definedName>
    <definedName name="_EEE15">#REF!</definedName>
    <definedName name="_EEE16" localSheetId="8">#REF!</definedName>
    <definedName name="_EEE16" localSheetId="6">#REF!</definedName>
    <definedName name="_EEE16">#REF!</definedName>
    <definedName name="_EEE17" localSheetId="8">#REF!</definedName>
    <definedName name="_EEE17" localSheetId="6">#REF!</definedName>
    <definedName name="_EEE17">#REF!</definedName>
    <definedName name="_EEE18" localSheetId="8">#REF!</definedName>
    <definedName name="_EEE18" localSheetId="6">#REF!</definedName>
    <definedName name="_EEE18">#REF!</definedName>
    <definedName name="_EEE19" localSheetId="8">#REF!</definedName>
    <definedName name="_EEE19" localSheetId="6">#REF!</definedName>
    <definedName name="_EEE19">#REF!</definedName>
    <definedName name="_EEE20" localSheetId="8">#REF!</definedName>
    <definedName name="_EEE20" localSheetId="6">#REF!</definedName>
    <definedName name="_EEE20">#REF!</definedName>
    <definedName name="_EEE21" localSheetId="8">#REF!</definedName>
    <definedName name="_EEE21" localSheetId="6">#REF!</definedName>
    <definedName name="_EEE21">#REF!</definedName>
    <definedName name="_EEE22" localSheetId="8">#REF!</definedName>
    <definedName name="_EEE22" localSheetId="6">#REF!</definedName>
    <definedName name="_EEE22">#REF!</definedName>
    <definedName name="_EEE23" localSheetId="8">#REF!</definedName>
    <definedName name="_EEE23" localSheetId="6">#REF!</definedName>
    <definedName name="_EEE23">#REF!</definedName>
    <definedName name="_EEE24" localSheetId="8">#REF!</definedName>
    <definedName name="_EEE24" localSheetId="6">#REF!</definedName>
    <definedName name="_EEE24">#REF!</definedName>
    <definedName name="_EEE25" localSheetId="8">#REF!</definedName>
    <definedName name="_EEE25" localSheetId="6">#REF!</definedName>
    <definedName name="_EEE25">#REF!</definedName>
    <definedName name="_EEE26" localSheetId="8">#REF!</definedName>
    <definedName name="_EEE26" localSheetId="6">#REF!</definedName>
    <definedName name="_EEE26">#REF!</definedName>
    <definedName name="_EEE27" localSheetId="8">#REF!</definedName>
    <definedName name="_EEE27" localSheetId="6">#REF!</definedName>
    <definedName name="_EEE27">#REF!</definedName>
    <definedName name="_EEE28" localSheetId="8">#REF!</definedName>
    <definedName name="_EEE28" localSheetId="6">#REF!</definedName>
    <definedName name="_EEE28">#REF!</definedName>
    <definedName name="_EEE29" localSheetId="8">#REF!</definedName>
    <definedName name="_EEE29" localSheetId="6">#REF!</definedName>
    <definedName name="_EEE29">#REF!</definedName>
    <definedName name="_EEE30" localSheetId="8">#REF!</definedName>
    <definedName name="_EEE30" localSheetId="6">#REF!</definedName>
    <definedName name="_EEE30">#REF!</definedName>
    <definedName name="_EEE31" localSheetId="8">#REF!</definedName>
    <definedName name="_EEE31" localSheetId="6">#REF!</definedName>
    <definedName name="_EEE31">#REF!</definedName>
    <definedName name="_EEE32" localSheetId="8">#REF!</definedName>
    <definedName name="_EEE32" localSheetId="6">#REF!</definedName>
    <definedName name="_EEE32">#REF!</definedName>
    <definedName name="_EEE33" localSheetId="8">#REF!</definedName>
    <definedName name="_EEE33" localSheetId="6">#REF!</definedName>
    <definedName name="_EEE33">#REF!</definedName>
    <definedName name="_Fill" localSheetId="8" hidden="1">#REF!</definedName>
    <definedName name="_Fill" localSheetId="6" hidden="1">#REF!</definedName>
    <definedName name="_Fill" hidden="1">#REF!</definedName>
    <definedName name="_xlnm._FilterDatabase" hidden="1">'[11]BLANKO HIT.'!$A$1:$CT$33</definedName>
    <definedName name="_HAL1" localSheetId="8">#REF!</definedName>
    <definedName name="_HAL1" localSheetId="6">#REF!</definedName>
    <definedName name="_HAL1">#REF!</definedName>
    <definedName name="_HAL2" localSheetId="8">#REF!</definedName>
    <definedName name="_HAL2" localSheetId="6">#REF!</definedName>
    <definedName name="_HAL2">#REF!</definedName>
    <definedName name="_HAL3" localSheetId="8">#REF!</definedName>
    <definedName name="_HAL3" localSheetId="6">#REF!</definedName>
    <definedName name="_HAL3">#REF!</definedName>
    <definedName name="_HAL4" localSheetId="8">#REF!</definedName>
    <definedName name="_HAL4" localSheetId="6">#REF!</definedName>
    <definedName name="_HAL4">#REF!</definedName>
    <definedName name="_HAL5" localSheetId="8">'[6]Kuantitas &amp; Harga'!#REF!</definedName>
    <definedName name="_HAL5" localSheetId="6">'[6]Kuantitas &amp; Harga'!#REF!</definedName>
    <definedName name="_HAL5">'[6]Kuantitas &amp; Harga'!#REF!</definedName>
    <definedName name="_HAL6" localSheetId="8">'[6]Kuantitas &amp; Harga'!#REF!</definedName>
    <definedName name="_HAL6" localSheetId="6">'[6]Kuantitas &amp; Harga'!#REF!</definedName>
    <definedName name="_HAL6">'[6]Kuantitas &amp; Harga'!#REF!</definedName>
    <definedName name="_HAL7" localSheetId="8">#REF!</definedName>
    <definedName name="_HAL7" localSheetId="6">#REF!</definedName>
    <definedName name="_HAL7">#REF!</definedName>
    <definedName name="_HAL8" localSheetId="8">#REF!</definedName>
    <definedName name="_HAL8" localSheetId="6">#REF!</definedName>
    <definedName name="_HAL8">#REF!</definedName>
    <definedName name="_jum1" localSheetId="8">#REF!</definedName>
    <definedName name="_jum1" localSheetId="6">#REF!</definedName>
    <definedName name="_jum1">#REF!</definedName>
    <definedName name="_jum10" localSheetId="8">#REF!</definedName>
    <definedName name="_jum10" localSheetId="6">#REF!</definedName>
    <definedName name="_jum10">#REF!</definedName>
    <definedName name="_jum2" localSheetId="8">#REF!</definedName>
    <definedName name="_jum2" localSheetId="6">#REF!</definedName>
    <definedName name="_jum2">#REF!</definedName>
    <definedName name="_jum3" localSheetId="8">#REF!</definedName>
    <definedName name="_jum3" localSheetId="6">#REF!</definedName>
    <definedName name="_jum3">#REF!</definedName>
    <definedName name="_jum4" localSheetId="8">#REF!</definedName>
    <definedName name="_jum4" localSheetId="6">#REF!</definedName>
    <definedName name="_jum4">#REF!</definedName>
    <definedName name="_jum5" localSheetId="8">#REF!</definedName>
    <definedName name="_jum5" localSheetId="6">#REF!</definedName>
    <definedName name="_jum5">#REF!</definedName>
    <definedName name="_jum6" localSheetId="8">#REF!</definedName>
    <definedName name="_jum6" localSheetId="6">#REF!</definedName>
    <definedName name="_jum6">#REF!</definedName>
    <definedName name="_jum7" localSheetId="8">#REF!</definedName>
    <definedName name="_jum7" localSheetId="6">#REF!</definedName>
    <definedName name="_jum7">#REF!</definedName>
    <definedName name="_jum8" localSheetId="8">#REF!</definedName>
    <definedName name="_jum8" localSheetId="6">#REF!</definedName>
    <definedName name="_jum8">#REF!</definedName>
    <definedName name="_jum9" localSheetId="8">#REF!</definedName>
    <definedName name="_jum9" localSheetId="6">#REF!</definedName>
    <definedName name="_jum9">#REF!</definedName>
    <definedName name="_Key1" hidden="1">[12]Schdule!$Z$16</definedName>
    <definedName name="_LLL01" localSheetId="8">#REF!</definedName>
    <definedName name="_LLL01" localSheetId="6">#REF!</definedName>
    <definedName name="_LLL01">#REF!</definedName>
    <definedName name="_LLL02" localSheetId="8">#REF!</definedName>
    <definedName name="_LLL02" localSheetId="6">#REF!</definedName>
    <definedName name="_LLL02">#REF!</definedName>
    <definedName name="_LLL03" localSheetId="8">#REF!</definedName>
    <definedName name="_LLL03" localSheetId="6">#REF!</definedName>
    <definedName name="_LLL03">#REF!</definedName>
    <definedName name="_LLL04" localSheetId="8">#REF!</definedName>
    <definedName name="_LLL04" localSheetId="6">#REF!</definedName>
    <definedName name="_LLL04">#REF!</definedName>
    <definedName name="_LLL05" localSheetId="8">#REF!</definedName>
    <definedName name="_LLL05" localSheetId="6">#REF!</definedName>
    <definedName name="_LLL05">#REF!</definedName>
    <definedName name="_LLL06" localSheetId="8">#REF!</definedName>
    <definedName name="_LLL06" localSheetId="6">#REF!</definedName>
    <definedName name="_LLL06">#REF!</definedName>
    <definedName name="_LLL07" localSheetId="8">#REF!</definedName>
    <definedName name="_LLL07" localSheetId="6">#REF!</definedName>
    <definedName name="_LLL07">#REF!</definedName>
    <definedName name="_LLL08" localSheetId="8">#REF!</definedName>
    <definedName name="_LLL08" localSheetId="6">#REF!</definedName>
    <definedName name="_LLL08">#REF!</definedName>
    <definedName name="_LLL09" localSheetId="8">#REF!</definedName>
    <definedName name="_LLL09" localSheetId="6">#REF!</definedName>
    <definedName name="_LLL09">#REF!</definedName>
    <definedName name="_LLL10" localSheetId="8">#REF!</definedName>
    <definedName name="_LLL10" localSheetId="6">#REF!</definedName>
    <definedName name="_LLL10">#REF!</definedName>
    <definedName name="_LLL11" localSheetId="8">#REF!</definedName>
    <definedName name="_LLL11" localSheetId="6">#REF!</definedName>
    <definedName name="_LLL11">#REF!</definedName>
    <definedName name="_M" localSheetId="8">'[7]1_boq'!#REF!</definedName>
    <definedName name="_M" localSheetId="10">'[7]1_boq'!#REF!</definedName>
    <definedName name="_M" localSheetId="6">'[7]1_boq'!#REF!</definedName>
    <definedName name="_M">'[7]1_boq'!#REF!</definedName>
    <definedName name="_MDE01" localSheetId="8">#REF!</definedName>
    <definedName name="_MDE01" localSheetId="10">#REF!</definedName>
    <definedName name="_MDE01" localSheetId="6">#REF!</definedName>
    <definedName name="_MDE01">#REF!</definedName>
    <definedName name="_MDE02" localSheetId="8">#REF!</definedName>
    <definedName name="_MDE02" localSheetId="10">#REF!</definedName>
    <definedName name="_MDE02" localSheetId="6">#REF!</definedName>
    <definedName name="_MDE02">#REF!</definedName>
    <definedName name="_MDE03" localSheetId="8">#REF!</definedName>
    <definedName name="_MDE03" localSheetId="10">#REF!</definedName>
    <definedName name="_MDE03" localSheetId="6">#REF!</definedName>
    <definedName name="_MDE03">#REF!</definedName>
    <definedName name="_MDE04" localSheetId="8">#REF!</definedName>
    <definedName name="_MDE04" localSheetId="6">#REF!</definedName>
    <definedName name="_MDE04">#REF!</definedName>
    <definedName name="_MDE05" localSheetId="8">#REF!</definedName>
    <definedName name="_MDE05" localSheetId="6">#REF!</definedName>
    <definedName name="_MDE05">#REF!</definedName>
    <definedName name="_MDE06" localSheetId="8">#REF!</definedName>
    <definedName name="_MDE06" localSheetId="6">#REF!</definedName>
    <definedName name="_MDE06">#REF!</definedName>
    <definedName name="_MDE07" localSheetId="8">#REF!</definedName>
    <definedName name="_MDE07" localSheetId="6">#REF!</definedName>
    <definedName name="_MDE07">#REF!</definedName>
    <definedName name="_MDE08" localSheetId="8">#REF!</definedName>
    <definedName name="_MDE08" localSheetId="6">#REF!</definedName>
    <definedName name="_MDE08">#REF!</definedName>
    <definedName name="_MDE09" localSheetId="8">#REF!</definedName>
    <definedName name="_MDE09" localSheetId="6">#REF!</definedName>
    <definedName name="_MDE09">#REF!</definedName>
    <definedName name="_MDE10" localSheetId="8">#REF!</definedName>
    <definedName name="_MDE10" localSheetId="6">#REF!</definedName>
    <definedName name="_MDE10">#REF!</definedName>
    <definedName name="_MDE11" localSheetId="8">#REF!</definedName>
    <definedName name="_MDE11" localSheetId="6">#REF!</definedName>
    <definedName name="_MDE11">#REF!</definedName>
    <definedName name="_MDE12" localSheetId="8">#REF!</definedName>
    <definedName name="_MDE12" localSheetId="6">#REF!</definedName>
    <definedName name="_MDE12">#REF!</definedName>
    <definedName name="_MDE13" localSheetId="8">#REF!</definedName>
    <definedName name="_MDE13" localSheetId="6">#REF!</definedName>
    <definedName name="_MDE13">#REF!</definedName>
    <definedName name="_MDE14" localSheetId="8">#REF!</definedName>
    <definedName name="_MDE14" localSheetId="6">#REF!</definedName>
    <definedName name="_MDE14">#REF!</definedName>
    <definedName name="_MDE15" localSheetId="8">#REF!</definedName>
    <definedName name="_MDE15" localSheetId="6">#REF!</definedName>
    <definedName name="_MDE15">#REF!</definedName>
    <definedName name="_MDE16" localSheetId="8">#REF!</definedName>
    <definedName name="_MDE16" localSheetId="6">#REF!</definedName>
    <definedName name="_MDE16">#REF!</definedName>
    <definedName name="_MDE17" localSheetId="8">#REF!</definedName>
    <definedName name="_MDE17" localSheetId="6">#REF!</definedName>
    <definedName name="_MDE17">#REF!</definedName>
    <definedName name="_MDE18" localSheetId="8">#REF!</definedName>
    <definedName name="_MDE18" localSheetId="6">#REF!</definedName>
    <definedName name="_MDE18">#REF!</definedName>
    <definedName name="_MDE19" localSheetId="8">#REF!</definedName>
    <definedName name="_MDE19" localSheetId="6">#REF!</definedName>
    <definedName name="_MDE19">#REF!</definedName>
    <definedName name="_MDE20" localSheetId="8">#REF!</definedName>
    <definedName name="_MDE20" localSheetId="6">#REF!</definedName>
    <definedName name="_MDE20">#REF!</definedName>
    <definedName name="_MDE21" localSheetId="8">#REF!</definedName>
    <definedName name="_MDE21" localSheetId="6">#REF!</definedName>
    <definedName name="_MDE21">#REF!</definedName>
    <definedName name="_MDE22" localSheetId="8">#REF!</definedName>
    <definedName name="_MDE22" localSheetId="6">#REF!</definedName>
    <definedName name="_MDE22">#REF!</definedName>
    <definedName name="_MDE23" localSheetId="8">#REF!</definedName>
    <definedName name="_MDE23" localSheetId="6">#REF!</definedName>
    <definedName name="_MDE23">#REF!</definedName>
    <definedName name="_MDE24" localSheetId="8">#REF!</definedName>
    <definedName name="_MDE24" localSheetId="6">#REF!</definedName>
    <definedName name="_MDE24">#REF!</definedName>
    <definedName name="_MDE25" localSheetId="8">#REF!</definedName>
    <definedName name="_MDE25" localSheetId="6">#REF!</definedName>
    <definedName name="_MDE25">#REF!</definedName>
    <definedName name="_MDE26" localSheetId="8">#REF!</definedName>
    <definedName name="_MDE26" localSheetId="6">#REF!</definedName>
    <definedName name="_MDE26">#REF!</definedName>
    <definedName name="_MDE27" localSheetId="8">#REF!</definedName>
    <definedName name="_MDE27" localSheetId="6">#REF!</definedName>
    <definedName name="_MDE27">#REF!</definedName>
    <definedName name="_MDE28" localSheetId="8">#REF!</definedName>
    <definedName name="_MDE28" localSheetId="6">#REF!</definedName>
    <definedName name="_MDE28">#REF!</definedName>
    <definedName name="_MDE29" localSheetId="8">#REF!</definedName>
    <definedName name="_MDE29" localSheetId="6">#REF!</definedName>
    <definedName name="_MDE29">#REF!</definedName>
    <definedName name="_MDE30" localSheetId="8">#REF!</definedName>
    <definedName name="_MDE30" localSheetId="6">#REF!</definedName>
    <definedName name="_MDE30">#REF!</definedName>
    <definedName name="_MDE31" localSheetId="8">#REF!</definedName>
    <definedName name="_MDE31" localSheetId="6">#REF!</definedName>
    <definedName name="_MDE31">#REF!</definedName>
    <definedName name="_MDE32" localSheetId="8">#REF!</definedName>
    <definedName name="_MDE32" localSheetId="6">#REF!</definedName>
    <definedName name="_MDE32">#REF!</definedName>
    <definedName name="_MDE33" localSheetId="8">#REF!</definedName>
    <definedName name="_MDE33" localSheetId="6">#REF!</definedName>
    <definedName name="_MDE33">#REF!</definedName>
    <definedName name="_MDE34" localSheetId="8">#REF!</definedName>
    <definedName name="_MDE34" localSheetId="6">#REF!</definedName>
    <definedName name="_MDE34">#REF!</definedName>
    <definedName name="_MDE35" localSheetId="8">#REF!</definedName>
    <definedName name="_MDE35" localSheetId="6">#REF!</definedName>
    <definedName name="_MDE35">#REF!</definedName>
    <definedName name="_MDE36" localSheetId="8">#REF!</definedName>
    <definedName name="_MDE36" localSheetId="6">#REF!</definedName>
    <definedName name="_MDE36">#REF!</definedName>
    <definedName name="_MDE37" localSheetId="8">#REF!</definedName>
    <definedName name="_MDE37" localSheetId="6">#REF!</definedName>
    <definedName name="_MDE37">#REF!</definedName>
    <definedName name="_MDE38" localSheetId="8">#REF!</definedName>
    <definedName name="_MDE38" localSheetId="6">#REF!</definedName>
    <definedName name="_MDE38">#REF!</definedName>
    <definedName name="_MDE39" localSheetId="8">#REF!</definedName>
    <definedName name="_MDE39" localSheetId="6">#REF!</definedName>
    <definedName name="_MDE39">#REF!</definedName>
    <definedName name="_MDE40" localSheetId="8">#REF!</definedName>
    <definedName name="_MDE40" localSheetId="6">#REF!</definedName>
    <definedName name="_MDE40">#REF!</definedName>
    <definedName name="_MDE41" localSheetId="8">#REF!</definedName>
    <definedName name="_MDE41" localSheetId="6">#REF!</definedName>
    <definedName name="_MDE41">#REF!</definedName>
    <definedName name="_MDE42" localSheetId="8">#REF!</definedName>
    <definedName name="_MDE42" localSheetId="6">#REF!</definedName>
    <definedName name="_MDE42">#REF!</definedName>
    <definedName name="_MDE43" localSheetId="8">#REF!</definedName>
    <definedName name="_MDE43" localSheetId="6">#REF!</definedName>
    <definedName name="_MDE43">#REF!</definedName>
    <definedName name="_MDE44" localSheetId="8">#REF!</definedName>
    <definedName name="_MDE44" localSheetId="6">#REF!</definedName>
    <definedName name="_MDE44">#REF!</definedName>
    <definedName name="_MDE45" localSheetId="8">#REF!</definedName>
    <definedName name="_MDE45" localSheetId="6">#REF!</definedName>
    <definedName name="_MDE45">#REF!</definedName>
    <definedName name="_MDE46" localSheetId="8">#REF!</definedName>
    <definedName name="_MDE46" localSheetId="6">#REF!</definedName>
    <definedName name="_MDE46">#REF!</definedName>
    <definedName name="_MDE47" localSheetId="8">#REF!</definedName>
    <definedName name="_MDE47" localSheetId="6">#REF!</definedName>
    <definedName name="_MDE47">#REF!</definedName>
    <definedName name="_MDE48" localSheetId="8">#REF!</definedName>
    <definedName name="_MDE48" localSheetId="6">#REF!</definedName>
    <definedName name="_MDE48">#REF!</definedName>
    <definedName name="_MDE49" localSheetId="8">#REF!</definedName>
    <definedName name="_MDE49" localSheetId="6">#REF!</definedName>
    <definedName name="_MDE49">#REF!</definedName>
    <definedName name="_MDE50" localSheetId="8">#REF!</definedName>
    <definedName name="_MDE50" localSheetId="6">#REF!</definedName>
    <definedName name="_MDE50">#REF!</definedName>
    <definedName name="_MDE51" localSheetId="8">#REF!</definedName>
    <definedName name="_MDE51" localSheetId="6">#REF!</definedName>
    <definedName name="_MDE51">#REF!</definedName>
    <definedName name="_MDE52" localSheetId="8">#REF!</definedName>
    <definedName name="_MDE52" localSheetId="6">#REF!</definedName>
    <definedName name="_MDE52">#REF!</definedName>
    <definedName name="_MDE53" localSheetId="8">#REF!</definedName>
    <definedName name="_MDE53" localSheetId="6">#REF!</definedName>
    <definedName name="_MDE53">#REF!</definedName>
    <definedName name="_MDE54" localSheetId="8">#REF!</definedName>
    <definedName name="_MDE54" localSheetId="6">#REF!</definedName>
    <definedName name="_MDE54">#REF!</definedName>
    <definedName name="_MDE55" localSheetId="8">#REF!</definedName>
    <definedName name="_MDE55" localSheetId="6">#REF!</definedName>
    <definedName name="_MDE55">#REF!</definedName>
    <definedName name="_MDE56" localSheetId="8">#REF!</definedName>
    <definedName name="_MDE56" localSheetId="6">#REF!</definedName>
    <definedName name="_MDE56">#REF!</definedName>
    <definedName name="_MDE57" localSheetId="8">#REF!</definedName>
    <definedName name="_MDE57" localSheetId="6">#REF!</definedName>
    <definedName name="_MDE57">#REF!</definedName>
    <definedName name="_MDE58" localSheetId="8">#REF!</definedName>
    <definedName name="_MDE58" localSheetId="6">#REF!</definedName>
    <definedName name="_MDE58">#REF!</definedName>
    <definedName name="_MDE59" localSheetId="8">#REF!</definedName>
    <definedName name="_MDE59" localSheetId="6">#REF!</definedName>
    <definedName name="_MDE59">#REF!</definedName>
    <definedName name="_MDE60" localSheetId="8">#REF!</definedName>
    <definedName name="_MDE60" localSheetId="6">#REF!</definedName>
    <definedName name="_MDE60">#REF!</definedName>
    <definedName name="_MDE61" localSheetId="8">#REF!</definedName>
    <definedName name="_MDE61" localSheetId="6">#REF!</definedName>
    <definedName name="_MDE61">#REF!</definedName>
    <definedName name="_MDE62" localSheetId="8">#REF!</definedName>
    <definedName name="_MDE62" localSheetId="6">#REF!</definedName>
    <definedName name="_MDE62">#REF!</definedName>
    <definedName name="_MDE63" localSheetId="8">#REF!</definedName>
    <definedName name="_MDE63" localSheetId="6">#REF!</definedName>
    <definedName name="_MDE63">#REF!</definedName>
    <definedName name="_MDE64" localSheetId="8">#REF!</definedName>
    <definedName name="_MDE64" localSheetId="6">#REF!</definedName>
    <definedName name="_MDE64">#REF!</definedName>
    <definedName name="_MDE65" localSheetId="8">#REF!</definedName>
    <definedName name="_MDE65" localSheetId="6">#REF!</definedName>
    <definedName name="_MDE65">#REF!</definedName>
    <definedName name="_MDE66" localSheetId="8">#REF!</definedName>
    <definedName name="_MDE66" localSheetId="6">#REF!</definedName>
    <definedName name="_MDE66">#REF!</definedName>
    <definedName name="_MDE67" localSheetId="8">#REF!</definedName>
    <definedName name="_MDE67" localSheetId="6">#REF!</definedName>
    <definedName name="_MDE67">#REF!</definedName>
    <definedName name="_MDE68" localSheetId="8">#REF!</definedName>
    <definedName name="_MDE68" localSheetId="6">#REF!</definedName>
    <definedName name="_MDE68">#REF!</definedName>
    <definedName name="_ME01" localSheetId="8">#REF!</definedName>
    <definedName name="_ME01" localSheetId="6">#REF!</definedName>
    <definedName name="_ME01">#REF!</definedName>
    <definedName name="_ME02" localSheetId="8">#REF!</definedName>
    <definedName name="_ME02" localSheetId="6">#REF!</definedName>
    <definedName name="_ME02">#REF!</definedName>
    <definedName name="_ME03" localSheetId="8">#REF!</definedName>
    <definedName name="_ME03" localSheetId="6">#REF!</definedName>
    <definedName name="_ME03">#REF!</definedName>
    <definedName name="_ME04" localSheetId="8">#REF!</definedName>
    <definedName name="_ME04" localSheetId="6">#REF!</definedName>
    <definedName name="_ME04">#REF!</definedName>
    <definedName name="_ME05" localSheetId="8">#REF!</definedName>
    <definedName name="_ME05" localSheetId="6">#REF!</definedName>
    <definedName name="_ME05">#REF!</definedName>
    <definedName name="_ME06" localSheetId="8">#REF!</definedName>
    <definedName name="_ME06" localSheetId="6">#REF!</definedName>
    <definedName name="_ME06">#REF!</definedName>
    <definedName name="_ME07" localSheetId="8">#REF!</definedName>
    <definedName name="_ME07" localSheetId="6">#REF!</definedName>
    <definedName name="_ME07">#REF!</definedName>
    <definedName name="_ME08" localSheetId="8">#REF!</definedName>
    <definedName name="_ME08" localSheetId="6">#REF!</definedName>
    <definedName name="_ME08">#REF!</definedName>
    <definedName name="_ME09" localSheetId="8">#REF!</definedName>
    <definedName name="_ME09" localSheetId="6">#REF!</definedName>
    <definedName name="_ME09">#REF!</definedName>
    <definedName name="_ME10" localSheetId="8">#REF!</definedName>
    <definedName name="_ME10" localSheetId="6">#REF!</definedName>
    <definedName name="_ME10">#REF!</definedName>
    <definedName name="_ME11" localSheetId="8">#REF!</definedName>
    <definedName name="_ME11" localSheetId="6">#REF!</definedName>
    <definedName name="_ME11">#REF!</definedName>
    <definedName name="_ME12" localSheetId="8">#REF!</definedName>
    <definedName name="_ME12" localSheetId="6">#REF!</definedName>
    <definedName name="_ME12">#REF!</definedName>
    <definedName name="_ME13" localSheetId="8">#REF!</definedName>
    <definedName name="_ME13" localSheetId="6">#REF!</definedName>
    <definedName name="_ME13">#REF!</definedName>
    <definedName name="_ME14" localSheetId="8">#REF!</definedName>
    <definedName name="_ME14" localSheetId="6">#REF!</definedName>
    <definedName name="_ME14">#REF!</definedName>
    <definedName name="_ME15" localSheetId="8">#REF!</definedName>
    <definedName name="_ME15" localSheetId="6">#REF!</definedName>
    <definedName name="_ME15">#REF!</definedName>
    <definedName name="_ME16" localSheetId="8">#REF!</definedName>
    <definedName name="_ME16" localSheetId="6">#REF!</definedName>
    <definedName name="_ME16">#REF!</definedName>
    <definedName name="_ME17" localSheetId="8">#REF!</definedName>
    <definedName name="_ME17" localSheetId="6">#REF!</definedName>
    <definedName name="_ME17">#REF!</definedName>
    <definedName name="_ME18" localSheetId="8">#REF!</definedName>
    <definedName name="_ME18" localSheetId="6">#REF!</definedName>
    <definedName name="_ME18">#REF!</definedName>
    <definedName name="_ME19" localSheetId="8">#REF!</definedName>
    <definedName name="_ME19" localSheetId="6">#REF!</definedName>
    <definedName name="_ME19">#REF!</definedName>
    <definedName name="_ME20" localSheetId="8">#REF!</definedName>
    <definedName name="_ME20" localSheetId="6">#REF!</definedName>
    <definedName name="_ME20">#REF!</definedName>
    <definedName name="_ME21" localSheetId="8">#REF!</definedName>
    <definedName name="_ME21" localSheetId="6">#REF!</definedName>
    <definedName name="_ME21">#REF!</definedName>
    <definedName name="_ME22" localSheetId="8">#REF!</definedName>
    <definedName name="_ME22" localSheetId="6">#REF!</definedName>
    <definedName name="_ME22">#REF!</definedName>
    <definedName name="_ME23" localSheetId="8">#REF!</definedName>
    <definedName name="_ME23" localSheetId="6">#REF!</definedName>
    <definedName name="_ME23">#REF!</definedName>
    <definedName name="_ME24" localSheetId="8">#REF!</definedName>
    <definedName name="_ME24" localSheetId="6">#REF!</definedName>
    <definedName name="_ME24">#REF!</definedName>
    <definedName name="_ME25" localSheetId="8">#REF!</definedName>
    <definedName name="_ME25" localSheetId="6">#REF!</definedName>
    <definedName name="_ME25">#REF!</definedName>
    <definedName name="_ME26" localSheetId="8">#REF!</definedName>
    <definedName name="_ME26" localSheetId="6">#REF!</definedName>
    <definedName name="_ME26">#REF!</definedName>
    <definedName name="_ME27" localSheetId="8">#REF!</definedName>
    <definedName name="_ME27" localSheetId="6">#REF!</definedName>
    <definedName name="_ME27">#REF!</definedName>
    <definedName name="_ME28" localSheetId="8">#REF!</definedName>
    <definedName name="_ME28" localSheetId="6">#REF!</definedName>
    <definedName name="_ME28">#REF!</definedName>
    <definedName name="_ME29" localSheetId="8">#REF!</definedName>
    <definedName name="_ME29" localSheetId="6">#REF!</definedName>
    <definedName name="_ME29">#REF!</definedName>
    <definedName name="_ME30" localSheetId="8">#REF!</definedName>
    <definedName name="_ME30" localSheetId="6">#REF!</definedName>
    <definedName name="_ME30">#REF!</definedName>
    <definedName name="_ME31" localSheetId="8">#REF!</definedName>
    <definedName name="_ME31" localSheetId="6">#REF!</definedName>
    <definedName name="_ME31">#REF!</definedName>
    <definedName name="_ME32" localSheetId="8">#REF!</definedName>
    <definedName name="_ME32" localSheetId="6">#REF!</definedName>
    <definedName name="_ME32">#REF!</definedName>
    <definedName name="_ME33" localSheetId="8">#REF!</definedName>
    <definedName name="_ME33" localSheetId="6">#REF!</definedName>
    <definedName name="_ME33">#REF!</definedName>
    <definedName name="_ME34" localSheetId="8">#REF!</definedName>
    <definedName name="_ME34" localSheetId="6">#REF!</definedName>
    <definedName name="_ME34">#REF!</definedName>
    <definedName name="_ME35" localSheetId="8">#REF!</definedName>
    <definedName name="_ME35" localSheetId="6">#REF!</definedName>
    <definedName name="_ME35">#REF!</definedName>
    <definedName name="_ME36" localSheetId="8">#REF!</definedName>
    <definedName name="_ME36" localSheetId="6">#REF!</definedName>
    <definedName name="_ME36">#REF!</definedName>
    <definedName name="_ME37" localSheetId="8">#REF!</definedName>
    <definedName name="_ME37" localSheetId="6">#REF!</definedName>
    <definedName name="_ME37">#REF!</definedName>
    <definedName name="_ME38" localSheetId="8">#REF!</definedName>
    <definedName name="_ME38" localSheetId="6">#REF!</definedName>
    <definedName name="_ME38">#REF!</definedName>
    <definedName name="_ME39" localSheetId="8">#REF!</definedName>
    <definedName name="_ME39" localSheetId="6">#REF!</definedName>
    <definedName name="_ME39">#REF!</definedName>
    <definedName name="_ME40" localSheetId="8">#REF!</definedName>
    <definedName name="_ME40" localSheetId="6">#REF!</definedName>
    <definedName name="_ME40">#REF!</definedName>
    <definedName name="_ME41" localSheetId="8">#REF!</definedName>
    <definedName name="_ME41" localSheetId="6">#REF!</definedName>
    <definedName name="_ME41">#REF!</definedName>
    <definedName name="_ME42" localSheetId="8">#REF!</definedName>
    <definedName name="_ME42" localSheetId="6">#REF!</definedName>
    <definedName name="_ME42">#REF!</definedName>
    <definedName name="_ME43" localSheetId="8">#REF!</definedName>
    <definedName name="_ME43" localSheetId="6">#REF!</definedName>
    <definedName name="_ME43">#REF!</definedName>
    <definedName name="_ME44" localSheetId="8">#REF!</definedName>
    <definedName name="_ME44" localSheetId="6">#REF!</definedName>
    <definedName name="_ME44">#REF!</definedName>
    <definedName name="_ME45" localSheetId="8">#REF!</definedName>
    <definedName name="_ME45" localSheetId="6">#REF!</definedName>
    <definedName name="_ME45">#REF!</definedName>
    <definedName name="_ME46" localSheetId="8">#REF!</definedName>
    <definedName name="_ME46" localSheetId="6">#REF!</definedName>
    <definedName name="_ME46">#REF!</definedName>
    <definedName name="_ME47" localSheetId="8">#REF!</definedName>
    <definedName name="_ME47" localSheetId="6">#REF!</definedName>
    <definedName name="_ME47">#REF!</definedName>
    <definedName name="_ME48" localSheetId="8">#REF!</definedName>
    <definedName name="_ME48" localSheetId="6">#REF!</definedName>
    <definedName name="_ME48">#REF!</definedName>
    <definedName name="_ME49" localSheetId="8">#REF!</definedName>
    <definedName name="_ME49" localSheetId="6">#REF!</definedName>
    <definedName name="_ME49">#REF!</definedName>
    <definedName name="_ME50" localSheetId="8">#REF!</definedName>
    <definedName name="_ME50" localSheetId="6">#REF!</definedName>
    <definedName name="_ME50">#REF!</definedName>
    <definedName name="_ME51" localSheetId="8">#REF!</definedName>
    <definedName name="_ME51" localSheetId="6">#REF!</definedName>
    <definedName name="_ME51">#REF!</definedName>
    <definedName name="_ME52" localSheetId="8">#REF!</definedName>
    <definedName name="_ME52" localSheetId="6">#REF!</definedName>
    <definedName name="_ME52">#REF!</definedName>
    <definedName name="_ME53" localSheetId="8">#REF!</definedName>
    <definedName name="_ME53" localSheetId="6">#REF!</definedName>
    <definedName name="_ME53">#REF!</definedName>
    <definedName name="_ME54" localSheetId="8">#REF!</definedName>
    <definedName name="_ME54" localSheetId="6">#REF!</definedName>
    <definedName name="_ME54">#REF!</definedName>
    <definedName name="_ME55" localSheetId="8">#REF!</definedName>
    <definedName name="_ME55" localSheetId="6">#REF!</definedName>
    <definedName name="_ME55">#REF!</definedName>
    <definedName name="_ME56" localSheetId="8">#REF!</definedName>
    <definedName name="_ME56" localSheetId="6">#REF!</definedName>
    <definedName name="_ME56">#REF!</definedName>
    <definedName name="_ME57" localSheetId="8">#REF!</definedName>
    <definedName name="_ME57" localSheetId="6">#REF!</definedName>
    <definedName name="_ME57">#REF!</definedName>
    <definedName name="_ME58" localSheetId="8">#REF!</definedName>
    <definedName name="_ME58" localSheetId="6">#REF!</definedName>
    <definedName name="_ME58">#REF!</definedName>
    <definedName name="_ME59" localSheetId="8">#REF!</definedName>
    <definedName name="_ME59" localSheetId="6">#REF!</definedName>
    <definedName name="_ME59">#REF!</definedName>
    <definedName name="_ME60" localSheetId="8">#REF!</definedName>
    <definedName name="_ME60" localSheetId="6">#REF!</definedName>
    <definedName name="_ME60">#REF!</definedName>
    <definedName name="_ME61" localSheetId="8">#REF!</definedName>
    <definedName name="_ME61" localSheetId="6">#REF!</definedName>
    <definedName name="_ME61">#REF!</definedName>
    <definedName name="_ME62" localSheetId="8">#REF!</definedName>
    <definedName name="_ME62" localSheetId="6">#REF!</definedName>
    <definedName name="_ME62">#REF!</definedName>
    <definedName name="_ME63" localSheetId="8">#REF!</definedName>
    <definedName name="_ME63" localSheetId="6">#REF!</definedName>
    <definedName name="_ME63">#REF!</definedName>
    <definedName name="_ME64" localSheetId="8">#REF!</definedName>
    <definedName name="_ME64" localSheetId="6">#REF!</definedName>
    <definedName name="_ME64">#REF!</definedName>
    <definedName name="_ME65" localSheetId="8">#REF!</definedName>
    <definedName name="_ME65" localSheetId="6">#REF!</definedName>
    <definedName name="_ME65">#REF!</definedName>
    <definedName name="_ME66" localSheetId="8">#REF!</definedName>
    <definedName name="_ME66" localSheetId="6">#REF!</definedName>
    <definedName name="_ME66">#REF!</definedName>
    <definedName name="_ME67" localSheetId="8">#REF!</definedName>
    <definedName name="_ME67" localSheetId="6">#REF!</definedName>
    <definedName name="_ME67">#REF!</definedName>
    <definedName name="_ME68" localSheetId="8">#REF!</definedName>
    <definedName name="_ME68" localSheetId="6">#REF!</definedName>
    <definedName name="_ME68">#REF!</definedName>
    <definedName name="_MMM01" localSheetId="8">#REF!</definedName>
    <definedName name="_MMM01" localSheetId="6">#REF!</definedName>
    <definedName name="_MMM01">#REF!</definedName>
    <definedName name="_MMM02" localSheetId="8">#REF!</definedName>
    <definedName name="_MMM02" localSheetId="6">#REF!</definedName>
    <definedName name="_MMM02">#REF!</definedName>
    <definedName name="_MMM03" localSheetId="8">#REF!</definedName>
    <definedName name="_MMM03" localSheetId="6">#REF!</definedName>
    <definedName name="_MMM03">#REF!</definedName>
    <definedName name="_MMM04" localSheetId="8">#REF!</definedName>
    <definedName name="_MMM04" localSheetId="6">#REF!</definedName>
    <definedName name="_MMM04">#REF!</definedName>
    <definedName name="_MMM05" localSheetId="8">#REF!</definedName>
    <definedName name="_MMM05" localSheetId="6">#REF!</definedName>
    <definedName name="_MMM05">#REF!</definedName>
    <definedName name="_MMM06" localSheetId="8">#REF!</definedName>
    <definedName name="_MMM06" localSheetId="6">#REF!</definedName>
    <definedName name="_MMM06">#REF!</definedName>
    <definedName name="_MMM07" localSheetId="8">#REF!</definedName>
    <definedName name="_MMM07" localSheetId="6">#REF!</definedName>
    <definedName name="_MMM07">#REF!</definedName>
    <definedName name="_MMM08" localSheetId="8">#REF!</definedName>
    <definedName name="_MMM08" localSheetId="6">#REF!</definedName>
    <definedName name="_MMM08">#REF!</definedName>
    <definedName name="_MMM09" localSheetId="8">#REF!</definedName>
    <definedName name="_MMM09" localSheetId="6">#REF!</definedName>
    <definedName name="_MMM09">#REF!</definedName>
    <definedName name="_MMM10" localSheetId="8">#REF!</definedName>
    <definedName name="_MMM10" localSheetId="6">#REF!</definedName>
    <definedName name="_MMM10">#REF!</definedName>
    <definedName name="_MMM11" localSheetId="8">#REF!</definedName>
    <definedName name="_MMM11" localSheetId="6">#REF!</definedName>
    <definedName name="_MMM11">#REF!</definedName>
    <definedName name="_MMM12" localSheetId="8">#REF!</definedName>
    <definedName name="_MMM12" localSheetId="6">#REF!</definedName>
    <definedName name="_MMM12">#REF!</definedName>
    <definedName name="_MMM13" localSheetId="8">#REF!</definedName>
    <definedName name="_MMM13" localSheetId="6">#REF!</definedName>
    <definedName name="_MMM13">#REF!</definedName>
    <definedName name="_MMM14" localSheetId="8">#REF!</definedName>
    <definedName name="_MMM14" localSheetId="6">#REF!</definedName>
    <definedName name="_MMM14">#REF!</definedName>
    <definedName name="_MMM15" localSheetId="8">#REF!</definedName>
    <definedName name="_MMM15" localSheetId="6">#REF!</definedName>
    <definedName name="_MMM15">#REF!</definedName>
    <definedName name="_MMM16" localSheetId="8">#REF!</definedName>
    <definedName name="_MMM16" localSheetId="6">#REF!</definedName>
    <definedName name="_MMM16">#REF!</definedName>
    <definedName name="_MMM17" localSheetId="8">#REF!</definedName>
    <definedName name="_MMM17" localSheetId="6">#REF!</definedName>
    <definedName name="_MMM17">#REF!</definedName>
    <definedName name="_MMM18" localSheetId="8">#REF!</definedName>
    <definedName name="_MMM18" localSheetId="6">#REF!</definedName>
    <definedName name="_MMM18">#REF!</definedName>
    <definedName name="_MMM19" localSheetId="8">#REF!</definedName>
    <definedName name="_MMM19" localSheetId="6">#REF!</definedName>
    <definedName name="_MMM19">#REF!</definedName>
    <definedName name="_MMM20" localSheetId="8">#REF!</definedName>
    <definedName name="_MMM20" localSheetId="6">#REF!</definedName>
    <definedName name="_MMM20">#REF!</definedName>
    <definedName name="_MMM21" localSheetId="8">#REF!</definedName>
    <definedName name="_MMM21" localSheetId="6">#REF!</definedName>
    <definedName name="_MMM21">#REF!</definedName>
    <definedName name="_MMM22" localSheetId="8">#REF!</definedName>
    <definedName name="_MMM22" localSheetId="6">#REF!</definedName>
    <definedName name="_MMM22">#REF!</definedName>
    <definedName name="_MMM23" localSheetId="8">#REF!</definedName>
    <definedName name="_MMM23" localSheetId="6">#REF!</definedName>
    <definedName name="_MMM23">#REF!</definedName>
    <definedName name="_MMM24" localSheetId="8">#REF!</definedName>
    <definedName name="_MMM24" localSheetId="6">#REF!</definedName>
    <definedName name="_MMM24">#REF!</definedName>
    <definedName name="_MMM25" localSheetId="8">#REF!</definedName>
    <definedName name="_MMM25" localSheetId="6">#REF!</definedName>
    <definedName name="_MMM25">#REF!</definedName>
    <definedName name="_MMM26" localSheetId="8">#REF!</definedName>
    <definedName name="_MMM26" localSheetId="6">#REF!</definedName>
    <definedName name="_MMM26">#REF!</definedName>
    <definedName name="_MMM27" localSheetId="8">#REF!</definedName>
    <definedName name="_MMM27" localSheetId="6">#REF!</definedName>
    <definedName name="_MMM27">#REF!</definedName>
    <definedName name="_MMM28" localSheetId="8">#REF!</definedName>
    <definedName name="_MMM28" localSheetId="6">#REF!</definedName>
    <definedName name="_MMM28">#REF!</definedName>
    <definedName name="_MMM29" localSheetId="8">#REF!</definedName>
    <definedName name="_MMM29" localSheetId="6">#REF!</definedName>
    <definedName name="_MMM29">#REF!</definedName>
    <definedName name="_MMM30" localSheetId="8">#REF!</definedName>
    <definedName name="_MMM30" localSheetId="6">#REF!</definedName>
    <definedName name="_MMM30">#REF!</definedName>
    <definedName name="_MMM31" localSheetId="8">#REF!</definedName>
    <definedName name="_MMM31" localSheetId="6">#REF!</definedName>
    <definedName name="_MMM31">#REF!</definedName>
    <definedName name="_MMM32" localSheetId="8">#REF!</definedName>
    <definedName name="_MMM32" localSheetId="6">#REF!</definedName>
    <definedName name="_MMM32">#REF!</definedName>
    <definedName name="_MMM33" localSheetId="8">#REF!</definedName>
    <definedName name="_MMM33" localSheetId="6">#REF!</definedName>
    <definedName name="_MMM33">#REF!</definedName>
    <definedName name="_MMM34" localSheetId="8">#REF!</definedName>
    <definedName name="_MMM34" localSheetId="6">#REF!</definedName>
    <definedName name="_MMM34">#REF!</definedName>
    <definedName name="_MMM35" localSheetId="8">#REF!</definedName>
    <definedName name="_MMM35" localSheetId="6">#REF!</definedName>
    <definedName name="_MMM35">#REF!</definedName>
    <definedName name="_MMM36" localSheetId="8">#REF!</definedName>
    <definedName name="_MMM36" localSheetId="6">#REF!</definedName>
    <definedName name="_MMM36">#REF!</definedName>
    <definedName name="_MMM37" localSheetId="8">#REF!</definedName>
    <definedName name="_MMM37" localSheetId="6">#REF!</definedName>
    <definedName name="_MMM37">#REF!</definedName>
    <definedName name="_MMM38" localSheetId="8">'[9]4-Basic Price'!#REF!</definedName>
    <definedName name="_MMM38" localSheetId="6">'[9]4-Basic Price'!#REF!</definedName>
    <definedName name="_MMM38">'[9]4-Basic Price'!#REF!</definedName>
    <definedName name="_MMM39" localSheetId="8">#REF!</definedName>
    <definedName name="_MMM39" localSheetId="6">#REF!</definedName>
    <definedName name="_MMM39">#REF!</definedName>
    <definedName name="_MMM40" localSheetId="8">#REF!</definedName>
    <definedName name="_MMM40" localSheetId="6">#REF!</definedName>
    <definedName name="_MMM40">#REF!</definedName>
    <definedName name="_MMM41" localSheetId="8">#REF!</definedName>
    <definedName name="_MMM41" localSheetId="6">#REF!</definedName>
    <definedName name="_MMM41">#REF!</definedName>
    <definedName name="_MMM411" localSheetId="8">#REF!</definedName>
    <definedName name="_MMM411" localSheetId="6">#REF!</definedName>
    <definedName name="_MMM411">#REF!</definedName>
    <definedName name="_MMM42" localSheetId="8">#REF!</definedName>
    <definedName name="_MMM42" localSheetId="6">#REF!</definedName>
    <definedName name="_MMM42">#REF!</definedName>
    <definedName name="_MMM43" localSheetId="8">#REF!</definedName>
    <definedName name="_MMM43" localSheetId="6">#REF!</definedName>
    <definedName name="_MMM43">#REF!</definedName>
    <definedName name="_MMM44" localSheetId="8">#REF!</definedName>
    <definedName name="_MMM44" localSheetId="6">#REF!</definedName>
    <definedName name="_MMM44">#REF!</definedName>
    <definedName name="_MMM45" localSheetId="8">#REF!</definedName>
    <definedName name="_MMM45" localSheetId="6">#REF!</definedName>
    <definedName name="_MMM45">#REF!</definedName>
    <definedName name="_MMM46" localSheetId="8">#REF!</definedName>
    <definedName name="_MMM46" localSheetId="6">#REF!</definedName>
    <definedName name="_MMM46">#REF!</definedName>
    <definedName name="_MMM47" localSheetId="8">#REF!</definedName>
    <definedName name="_MMM47" localSheetId="6">#REF!</definedName>
    <definedName name="_MMM47">#REF!</definedName>
    <definedName name="_MMM48" localSheetId="8">#REF!</definedName>
    <definedName name="_MMM48" localSheetId="6">#REF!</definedName>
    <definedName name="_MMM48">#REF!</definedName>
    <definedName name="_MMM49" localSheetId="8">#REF!</definedName>
    <definedName name="_MMM49" localSheetId="6">#REF!</definedName>
    <definedName name="_MMM49">#REF!</definedName>
    <definedName name="_MMM50" localSheetId="8">#REF!</definedName>
    <definedName name="_MMM50" localSheetId="6">#REF!</definedName>
    <definedName name="_MMM50">#REF!</definedName>
    <definedName name="_MMM51" localSheetId="8">#REF!</definedName>
    <definedName name="_MMM51" localSheetId="6">#REF!</definedName>
    <definedName name="_MMM51">#REF!</definedName>
    <definedName name="_MMM52" localSheetId="8">#REF!</definedName>
    <definedName name="_MMM52" localSheetId="6">#REF!</definedName>
    <definedName name="_MMM52">#REF!</definedName>
    <definedName name="_MMM53" localSheetId="8">#REF!</definedName>
    <definedName name="_MMM53" localSheetId="6">#REF!</definedName>
    <definedName name="_MMM53">#REF!</definedName>
    <definedName name="_MMM54" localSheetId="8">#REF!</definedName>
    <definedName name="_MMM54" localSheetId="6">#REF!</definedName>
    <definedName name="_MMM54">#REF!</definedName>
    <definedName name="_Order1" hidden="1">0</definedName>
    <definedName name="_P" localSheetId="8">'[7]1_boq'!#REF!</definedName>
    <definedName name="_P" localSheetId="6">'[7]1_boq'!#REF!</definedName>
    <definedName name="_P">'[7]1_boq'!#REF!</definedName>
    <definedName name="_PVC1" localSheetId="8">#REF!</definedName>
    <definedName name="_PVC1" localSheetId="10">#REF!</definedName>
    <definedName name="_PVC1" localSheetId="6">#REF!</definedName>
    <definedName name="_PVC1">#REF!</definedName>
    <definedName name="_PVC2" localSheetId="8">#REF!</definedName>
    <definedName name="_PVC2" localSheetId="10">#REF!</definedName>
    <definedName name="_PVC2" localSheetId="6">#REF!</definedName>
    <definedName name="_PVC2">#REF!</definedName>
    <definedName name="_PVC4" localSheetId="8">#REF!</definedName>
    <definedName name="_PVC4" localSheetId="10">#REF!</definedName>
    <definedName name="_PVC4" localSheetId="6">#REF!</definedName>
    <definedName name="_PVC4">#REF!</definedName>
    <definedName name="_PVC6" localSheetId="8">#REF!</definedName>
    <definedName name="_PVC6" localSheetId="6">#REF!</definedName>
    <definedName name="_PVC6">#REF!</definedName>
    <definedName name="_S" localSheetId="8">'[7]1_boq'!#REF!</definedName>
    <definedName name="_S" localSheetId="6">'[7]1_boq'!#REF!</definedName>
    <definedName name="_S">'[7]1_boq'!#REF!</definedName>
    <definedName name="_SAK1" localSheetId="8">#REF!</definedName>
    <definedName name="_SAK1" localSheetId="10">#REF!</definedName>
    <definedName name="_SAK1" localSheetId="6">#REF!</definedName>
    <definedName name="_SAK1">#REF!</definedName>
    <definedName name="_Sort" hidden="1">[12]Schdule!$Z$16:$Z$112</definedName>
    <definedName name="_tok2" localSheetId="8">#REF!</definedName>
    <definedName name="_tok2" localSheetId="6">#REF!</definedName>
    <definedName name="_tok2">#REF!</definedName>
    <definedName name="a" localSheetId="8" hidden="1">'[13]ANL-EI'!#REF!</definedName>
    <definedName name="a" localSheetId="6" hidden="1">'[13]ANL-EI'!#REF!</definedName>
    <definedName name="a" hidden="1">'[13]ANL-EI'!#REF!</definedName>
    <definedName name="A.1">#N/A</definedName>
    <definedName name="A.10">#N/A</definedName>
    <definedName name="A.11">#N/A</definedName>
    <definedName name="A.12">#N/A</definedName>
    <definedName name="A.120" localSheetId="8">#REF!</definedName>
    <definedName name="A.120" localSheetId="10">#REF!</definedName>
    <definedName name="A.120" localSheetId="6">#REF!</definedName>
    <definedName name="A.120">#REF!</definedName>
    <definedName name="A.16" localSheetId="8">#REF!</definedName>
    <definedName name="A.16" localSheetId="6">#REF!</definedName>
    <definedName name="A.16">#REF!</definedName>
    <definedName name="A.16A" localSheetId="8">#REF!</definedName>
    <definedName name="A.16A" localSheetId="6">#REF!</definedName>
    <definedName name="A.16A">#REF!</definedName>
    <definedName name="A.18">#N/A</definedName>
    <definedName name="A.18.A">#N/A</definedName>
    <definedName name="A.18a" localSheetId="8">[5]Anl!#REF!</definedName>
    <definedName name="A.18a" localSheetId="6">[5]Anl!#REF!</definedName>
    <definedName name="A.18a">[5]Anl!#REF!</definedName>
    <definedName name="A.2">#N/A</definedName>
    <definedName name="A.3">#N/A</definedName>
    <definedName name="A.4">#N/A</definedName>
    <definedName name="A.5">#N/A</definedName>
    <definedName name="A.6">#N/A</definedName>
    <definedName name="A.60" localSheetId="8">#REF!</definedName>
    <definedName name="A.60" localSheetId="6">#REF!</definedName>
    <definedName name="A.60">#REF!</definedName>
    <definedName name="A.9">#N/A</definedName>
    <definedName name="A.90" localSheetId="8">#REF!</definedName>
    <definedName name="A.90" localSheetId="6">#REF!</definedName>
    <definedName name="A.90">#REF!</definedName>
    <definedName name="ABC" localSheetId="8">#REF!</definedName>
    <definedName name="ABC" localSheetId="6">#REF!</definedName>
    <definedName name="ABC">#REF!</definedName>
    <definedName name="ACBC" localSheetId="8">#REF!</definedName>
    <definedName name="ACBC" localSheetId="6">#REF!</definedName>
    <definedName name="ACBC">#REF!</definedName>
    <definedName name="ACDC">[14]Analisa!$G$86</definedName>
    <definedName name="ACI" localSheetId="8">#REF!</definedName>
    <definedName name="ACI" localSheetId="10">#REF!</definedName>
    <definedName name="ACI" localSheetId="6">#REF!</definedName>
    <definedName name="ACI">#REF!</definedName>
    <definedName name="ACWC" localSheetId="8">#REF!</definedName>
    <definedName name="ACWC" localSheetId="6">#REF!</definedName>
    <definedName name="ACWC">#REF!</definedName>
    <definedName name="AGENTENG" localSheetId="8">#REF!</definedName>
    <definedName name="AGENTENG" localSheetId="6">#REF!</definedName>
    <definedName name="AGENTENG">#REF!</definedName>
    <definedName name="AKKK" localSheetId="8" hidden="1">'[15]ANL-EI'!#REF!</definedName>
    <definedName name="AKKK" localSheetId="6" hidden="1">'[15]ANL-EI'!#REF!</definedName>
    <definedName name="AKKK" hidden="1">'[15]ANL-EI'!#REF!</definedName>
    <definedName name="ALAT" localSheetId="8">#REF!</definedName>
    <definedName name="ALAT" localSheetId="10">#REF!</definedName>
    <definedName name="ALAT" localSheetId="6">#REF!</definedName>
    <definedName name="ALAT">#REF!</definedName>
    <definedName name="ALATUTAMA" localSheetId="8">#REF!</definedName>
    <definedName name="ALATUTAMA" localSheetId="6">#REF!</definedName>
    <definedName name="ALATUTAMA">#REF!</definedName>
    <definedName name="AMP" localSheetId="8">#REF!</definedName>
    <definedName name="AMP" localSheetId="6">#REF!</definedName>
    <definedName name="AMP">#REF!</definedName>
    <definedName name="an" localSheetId="8">'[6]Kuantitas &amp; Harga'!#REF!</definedName>
    <definedName name="an" localSheetId="6">'[6]Kuantitas &amp; Harga'!#REF!</definedName>
    <definedName name="an">'[6]Kuantitas &amp; Harga'!#REF!</definedName>
    <definedName name="an." localSheetId="8">[5]Anl!#REF!</definedName>
    <definedName name="an." localSheetId="6">[5]Anl!#REF!</definedName>
    <definedName name="an.">[5]Anl!#REF!</definedName>
    <definedName name="An.A.1" localSheetId="8">[5]Anl!#REF!</definedName>
    <definedName name="An.A.1" localSheetId="6">[5]Anl!#REF!</definedName>
    <definedName name="An.A.1">[5]Anl!#REF!</definedName>
    <definedName name="An.A.18" localSheetId="8">[5]Anl!#REF!</definedName>
    <definedName name="An.A.18" localSheetId="6">[5]Anl!#REF!</definedName>
    <definedName name="An.A.18">[5]Anl!#REF!</definedName>
    <definedName name="An.A.18a">[16]Anl!$L$42</definedName>
    <definedName name="AN.A9" localSheetId="8">[5]Anl!#REF!</definedName>
    <definedName name="AN.A9" localSheetId="6">[5]Anl!#REF!</definedName>
    <definedName name="AN.A9">[5]Anl!#REF!</definedName>
    <definedName name="An.G.14" localSheetId="8">[5]Anl!#REF!</definedName>
    <definedName name="An.G.14" localSheetId="6">[5]Anl!#REF!</definedName>
    <definedName name="An.G.14">[5]Anl!#REF!</definedName>
    <definedName name="An.G.43." localSheetId="8">[5]Anl!#REF!</definedName>
    <definedName name="An.G.43." localSheetId="6">[5]Anl!#REF!</definedName>
    <definedName name="An.G.43.">[5]Anl!#REF!</definedName>
    <definedName name="andar">[17]Alat!$BO$467</definedName>
    <definedName name="andars">[17]Alat!$BO$506</definedName>
    <definedName name="ANG_10" localSheetId="8">#REF!</definedName>
    <definedName name="ANG_10" localSheetId="10">#REF!</definedName>
    <definedName name="ANG_10" localSheetId="6">#REF!</definedName>
    <definedName name="ANG_10">#REF!</definedName>
    <definedName name="ANG_20" localSheetId="8">#REF!</definedName>
    <definedName name="ANG_20" localSheetId="6">#REF!</definedName>
    <definedName name="ANG_20">#REF!</definedName>
    <definedName name="ANG_30" localSheetId="8">#REF!</definedName>
    <definedName name="ANG_30" localSheetId="6">#REF!</definedName>
    <definedName name="ANG_30">#REF!</definedName>
    <definedName name="ANG_KAYU" localSheetId="8">#REF!</definedName>
    <definedName name="ANG_KAYU" localSheetId="6">#REF!</definedName>
    <definedName name="ANG_KAYU">#REF!</definedName>
    <definedName name="ANG_SEMEN" localSheetId="8">#REF!</definedName>
    <definedName name="ANG_SEMEN" localSheetId="6">#REF!</definedName>
    <definedName name="ANG_SEMEN">#REF!</definedName>
    <definedName name="ANGKATGALIAN" localSheetId="8">#REF!</definedName>
    <definedName name="ANGKATGALIAN" localSheetId="6">#REF!</definedName>
    <definedName name="ANGKATGALIAN">#REF!</definedName>
    <definedName name="ann" localSheetId="8">[5]Anl!#REF!</definedName>
    <definedName name="ann" localSheetId="6">[5]Anl!#REF!</definedName>
    <definedName name="ann">[5]Anl!#REF!</definedName>
    <definedName name="asd" hidden="1">[4]TJ1Q47!$E$7:$E$31</definedName>
    <definedName name="ase" hidden="1">[18]TJ1Q47!$E$7:$E$31</definedName>
    <definedName name="atar" localSheetId="8">#REF!</definedName>
    <definedName name="atar" localSheetId="6">#REF!</definedName>
    <definedName name="atar">#REF!</definedName>
    <definedName name="ATB" localSheetId="8">#REF!</definedName>
    <definedName name="ATB" localSheetId="10">#REF!</definedName>
    <definedName name="ATB" localSheetId="6">#REF!</definedName>
    <definedName name="ATB">#REF!</definedName>
    <definedName name="B_KolomBalokPraktis">'[19]Analisa Harga Satuan'!$G$1193</definedName>
    <definedName name="B_MejaDapur">'[19]Analisa Harga Satuan'!$G$1878</definedName>
    <definedName name="BAKAL1.4" localSheetId="8">#REF!</definedName>
    <definedName name="BAKAL1.4" localSheetId="6">#REF!</definedName>
    <definedName name="BAKAL1.4">#REF!</definedName>
    <definedName name="BakCuciPiring">'[19]Analisa Harga Satuan'!$G$1865</definedName>
    <definedName name="BakMandiFiber">'[19]Analisa Harga Satuan'!$G$1817</definedName>
    <definedName name="BARRET" localSheetId="8">#REF!</definedName>
    <definedName name="BARRET" localSheetId="6">#REF!</definedName>
    <definedName name="BARRET">#REF!</definedName>
    <definedName name="Basecoarse" localSheetId="8">#REF!</definedName>
    <definedName name="Basecoarse" localSheetId="6">#REF!</definedName>
    <definedName name="Basecoarse">#REF!</definedName>
    <definedName name="BATA1.2" localSheetId="8">#REF!</definedName>
    <definedName name="BATA1.2" localSheetId="6">#REF!</definedName>
    <definedName name="BATA1.2">#REF!</definedName>
    <definedName name="BATA1.4" localSheetId="8">#REF!</definedName>
    <definedName name="BATA1.4" localSheetId="6">#REF!</definedName>
    <definedName name="BATA1.4">#REF!</definedName>
    <definedName name="bata12" localSheetId="8">#REF!</definedName>
    <definedName name="bata12" localSheetId="6">#REF!</definedName>
    <definedName name="bata12">#REF!</definedName>
    <definedName name="bata14" localSheetId="8">#REF!</definedName>
    <definedName name="bata14" localSheetId="6">#REF!</definedName>
    <definedName name="bata14">#REF!</definedName>
    <definedName name="Bata16">'[19]Analisa Harga Satuan'!$G$1269</definedName>
    <definedName name="Bata161bata">'[19]Analisa Harga Satuan'!$G$1284</definedName>
    <definedName name="BataKerawang">'[19]Analisa Harga Satuan'!$G$1299</definedName>
    <definedName name="BATUBELAH" localSheetId="8">#REF!</definedName>
    <definedName name="BATUBELAH" localSheetId="6">#REF!</definedName>
    <definedName name="BATUBELAH">#REF!</definedName>
    <definedName name="BATUKALI" localSheetId="8">#REF!</definedName>
    <definedName name="BATUKALI" localSheetId="6">#REF!</definedName>
    <definedName name="BATUKALI">#REF!</definedName>
    <definedName name="BCA" localSheetId="8">#REF!</definedName>
    <definedName name="BCA" localSheetId="6">#REF!</definedName>
    <definedName name="BCA">#REF!</definedName>
    <definedName name="BESI1KG" localSheetId="8">#REF!</definedName>
    <definedName name="BESI1KG" localSheetId="6">#REF!</definedName>
    <definedName name="BESI1KG">#REF!</definedName>
    <definedName name="BESI1M3" localSheetId="8">#REF!</definedName>
    <definedName name="BESI1M3" localSheetId="6">#REF!</definedName>
    <definedName name="BESI1M3">#REF!</definedName>
    <definedName name="Beton135" localSheetId="8">#REF!</definedName>
    <definedName name="Beton135" localSheetId="6">#REF!</definedName>
    <definedName name="Beton135">#REF!</definedName>
    <definedName name="Beton136" localSheetId="8">#REF!</definedName>
    <definedName name="Beton136" localSheetId="6">#REF!</definedName>
    <definedName name="Beton136">#REF!</definedName>
    <definedName name="BETONBERT" localSheetId="8">#REF!</definedName>
    <definedName name="BETONBERT" localSheetId="6">#REF!</definedName>
    <definedName name="BETONBERT">#REF!</definedName>
    <definedName name="BIPROFIL">#N/A</definedName>
    <definedName name="bln" localSheetId="8">#REF!</definedName>
    <definedName name="bln" localSheetId="6">#REF!</definedName>
    <definedName name="bln">#REF!</definedName>
    <definedName name="BODEM" localSheetId="8">#REF!</definedName>
    <definedName name="BODEM" localSheetId="6">#REF!</definedName>
    <definedName name="BODEM">#REF!</definedName>
    <definedName name="BUISTON" localSheetId="8">#REF!</definedName>
    <definedName name="BUISTON" localSheetId="6">#REF!</definedName>
    <definedName name="BUISTON">#REF!</definedName>
    <definedName name="BUISTON20" localSheetId="8">#REF!</definedName>
    <definedName name="BUISTON20" localSheetId="6">#REF!</definedName>
    <definedName name="BUISTON20">#REF!</definedName>
    <definedName name="buiston40" localSheetId="8">#REF!</definedName>
    <definedName name="buiston40" localSheetId="6">#REF!</definedName>
    <definedName name="buiston40">#REF!</definedName>
    <definedName name="BULLDOZER" localSheetId="8">#REF!</definedName>
    <definedName name="BULLDOZER" localSheetId="6">#REF!</definedName>
    <definedName name="BULLDOZER">#REF!</definedName>
    <definedName name="C_" localSheetId="8">#REF!</definedName>
    <definedName name="C_" localSheetId="6">#REF!</definedName>
    <definedName name="C_">#REF!</definedName>
    <definedName name="CABOK" localSheetId="8">#REF!</definedName>
    <definedName name="CABOK" localSheetId="6">#REF!</definedName>
    <definedName name="CABOK">#REF!</definedName>
    <definedName name="CAKIL" localSheetId="8">#REF!</definedName>
    <definedName name="CAKIL" localSheetId="6">#REF!</definedName>
    <definedName name="CAKIL">#REF!</definedName>
    <definedName name="Cansteen">[14]Analisa!$G$1084</definedName>
    <definedName name="Cat_Kayu">'[19]Analisa Harga Satuan'!$G$2673</definedName>
    <definedName name="CATBOK" localSheetId="8">#REF!</definedName>
    <definedName name="CATBOK" localSheetId="10">#REF!</definedName>
    <definedName name="CATBOK" localSheetId="6">#REF!</definedName>
    <definedName name="CATBOK">#REF!</definedName>
    <definedName name="Catexterior">'[19]Analisa Harga Satuan'!$G$2699</definedName>
    <definedName name="CatInterior">'[19]Analisa Harga Satuan'!$G$2712</definedName>
    <definedName name="CATLAT" localSheetId="8">#REF!</definedName>
    <definedName name="CATLAT" localSheetId="6">#REF!</definedName>
    <definedName name="CATLAT">#REF!</definedName>
    <definedName name="CATMENI" localSheetId="8">#REF!</definedName>
    <definedName name="CATMENI" localSheetId="6">#REF!</definedName>
    <definedName name="CATMENI">#REF!</definedName>
    <definedName name="Catminyak">[14]Analisa!$G$1071</definedName>
    <definedName name="CatPlafond">'[19]Analisa Harga Satuan'!$G$2725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>[10]Rekap!$H$28</definedName>
    <definedName name="Cermin5mm">'[19]Analisa Harga Satuan'!$G$2286</definedName>
    <definedName name="CLEANOUT" localSheetId="8">#REF!</definedName>
    <definedName name="CLEANOUT" localSheetId="6">#REF!</definedName>
    <definedName name="CLEANOUT">#REF!</definedName>
    <definedName name="COMPRESSOR" localSheetId="8">#REF!</definedName>
    <definedName name="COMPRESSOR" localSheetId="6">#REF!</definedName>
    <definedName name="COMPRESSOR">#REF!</definedName>
    <definedName name="CONCRETEMIXER" localSheetId="8">#REF!</definedName>
    <definedName name="CONCRETEMIXER" localSheetId="6">#REF!</definedName>
    <definedName name="CONCRETEMIXER">#REF!</definedName>
    <definedName name="CONCRETEVIBRO" localSheetId="8">#REF!</definedName>
    <definedName name="CONCRETEVIBRO" localSheetId="6">#REF!</definedName>
    <definedName name="CONCRETEVIBRO">#REF!</definedName>
    <definedName name="COR.123" localSheetId="8">#REF!</definedName>
    <definedName name="COR.123" localSheetId="6">#REF!</definedName>
    <definedName name="COR.123">#REF!</definedName>
    <definedName name="COR.135" localSheetId="8">#REF!</definedName>
    <definedName name="COR.135" localSheetId="6">#REF!</definedName>
    <definedName name="COR.135">#REF!</definedName>
    <definedName name="CorBeton175" localSheetId="8">'[20]An. Beton'!#REF!</definedName>
    <definedName name="CorBeton175" localSheetId="6">'[20]An. Beton'!#REF!</definedName>
    <definedName name="CorBeton175">'[20]An. Beton'!#REF!</definedName>
    <definedName name="CorBeton225" localSheetId="8">'[20]An. Beton'!#REF!</definedName>
    <definedName name="CorBeton225" localSheetId="6">'[20]An. Beton'!#REF!</definedName>
    <definedName name="CorBeton225">'[20]An. Beton'!#REF!</definedName>
    <definedName name="CRANE" localSheetId="8">#REF!</definedName>
    <definedName name="CRANE" localSheetId="6">#REF!</definedName>
    <definedName name="CRANE">#REF!</definedName>
    <definedName name="CUPI" localSheetId="8">#REF!</definedName>
    <definedName name="CUPI" localSheetId="6">#REF!</definedName>
    <definedName name="CUPI">#REF!</definedName>
    <definedName name="d" hidden="1">[18]TJ1Q47!$E$7:$E$31</definedName>
    <definedName name="da" hidden="1">[4]TJ1Q47!$J$7:$J$31</definedName>
    <definedName name="DAFTARSEWA" localSheetId="8">#REF!</definedName>
    <definedName name="DAFTARSEWA" localSheetId="10">#REF!</definedName>
    <definedName name="DAFTARSEWA" localSheetId="6">#REF!</definedName>
    <definedName name="DAFTARSEWA">#REF!</definedName>
    <definedName name="DATAUPAH" localSheetId="8">#REF!</definedName>
    <definedName name="DATAUPAH" localSheetId="6">#REF!</definedName>
    <definedName name="DATAUPAH">#REF!</definedName>
    <definedName name="DAYWORKS" localSheetId="8">'[21]K&amp;H'!#REF!</definedName>
    <definedName name="DAYWORKS" localSheetId="6">'[21]K&amp;H'!#REF!</definedName>
    <definedName name="DAYWORKS">'[21]K&amp;H'!#REF!</definedName>
    <definedName name="des" localSheetId="8">#REF!</definedName>
    <definedName name="des" localSheetId="6">#REF!</definedName>
    <definedName name="des">#REF!</definedName>
    <definedName name="DFGASD" hidden="1">[4]TJ1Q47!$E$7:$E$31</definedName>
    <definedName name="DFGDSFGDSFG" hidden="1">[4]TJ1Q47!$E$7:$E$31</definedName>
    <definedName name="DFGHJK" hidden="1">[4]TJ1Q47!$G$7:$G$31</definedName>
    <definedName name="dfr" hidden="1">[18]TJ1Q47!$G$7:$G$31</definedName>
    <definedName name="dgadga" localSheetId="8" hidden="1">'[13]ANL-EI'!#REF!</definedName>
    <definedName name="dgadga" localSheetId="6" hidden="1">'[13]ANL-EI'!#REF!</definedName>
    <definedName name="dgadga" hidden="1">'[13]ANL-EI'!#REF!</definedName>
    <definedName name="DPJ_B_M">#N/A</definedName>
    <definedName name="DPJ_B_MB">#N/A</definedName>
    <definedName name="DRM18W" localSheetId="8">#REF!</definedName>
    <definedName name="DRM18W" localSheetId="10">#REF!</definedName>
    <definedName name="DRM18W" localSheetId="6">#REF!</definedName>
    <definedName name="DRM18W">#REF!</definedName>
    <definedName name="DTPX_R_M">#N/A</definedName>
    <definedName name="DUMPTRUCK1" localSheetId="8">#REF!</definedName>
    <definedName name="DUMPTRUCK1" localSheetId="6">#REF!</definedName>
    <definedName name="DUMPTRUCK1">#REF!</definedName>
    <definedName name="DUMPTRUCK2" localSheetId="8">#REF!</definedName>
    <definedName name="DUMPTRUCK2" localSheetId="6">#REF!</definedName>
    <definedName name="DUMPTRUCK2">#REF!</definedName>
    <definedName name="E.001" localSheetId="8">#REF!</definedName>
    <definedName name="E.001" localSheetId="6">#REF!</definedName>
    <definedName name="E.001">#REF!</definedName>
    <definedName name="E.010" localSheetId="8">#REF!</definedName>
    <definedName name="E.010" localSheetId="6">#REF!</definedName>
    <definedName name="E.010">#REF!</definedName>
    <definedName name="E.020" localSheetId="8">#REF!</definedName>
    <definedName name="E.020" localSheetId="6">#REF!</definedName>
    <definedName name="E.020">#REF!</definedName>
    <definedName name="E.031" localSheetId="8">#REF!</definedName>
    <definedName name="E.031" localSheetId="6">#REF!</definedName>
    <definedName name="E.031">#REF!</definedName>
    <definedName name="E.052" localSheetId="8">#REF!</definedName>
    <definedName name="E.052" localSheetId="6">#REF!</definedName>
    <definedName name="E.052">#REF!</definedName>
    <definedName name="E.053" localSheetId="8">#REF!</definedName>
    <definedName name="E.053" localSheetId="6">#REF!</definedName>
    <definedName name="E.053">#REF!</definedName>
    <definedName name="E.080" localSheetId="8">#REF!</definedName>
    <definedName name="E.080" localSheetId="6">#REF!</definedName>
    <definedName name="E.080">#REF!</definedName>
    <definedName name="E.081" localSheetId="8">#REF!</definedName>
    <definedName name="E.081" localSheetId="6">#REF!</definedName>
    <definedName name="E.081">#REF!</definedName>
    <definedName name="E.082" localSheetId="8">#REF!</definedName>
    <definedName name="E.082" localSheetId="6">#REF!</definedName>
    <definedName name="E.082">#REF!</definedName>
    <definedName name="E.084" localSheetId="8">#REF!</definedName>
    <definedName name="E.084" localSheetId="6">#REF!</definedName>
    <definedName name="E.084">#REF!</definedName>
    <definedName name="E.087" localSheetId="8">#REF!</definedName>
    <definedName name="E.087" localSheetId="6">#REF!</definedName>
    <definedName name="E.087">#REF!</definedName>
    <definedName name="E.088" localSheetId="8">#REF!</definedName>
    <definedName name="E.088" localSheetId="6">#REF!</definedName>
    <definedName name="E.088">#REF!</definedName>
    <definedName name="E.089" localSheetId="8">#REF!</definedName>
    <definedName name="E.089" localSheetId="6">#REF!</definedName>
    <definedName name="E.089">#REF!</definedName>
    <definedName name="E.13" localSheetId="8">#REF!</definedName>
    <definedName name="E.13" localSheetId="6">#REF!</definedName>
    <definedName name="E.13">#REF!</definedName>
    <definedName name="E.153" localSheetId="8">#REF!</definedName>
    <definedName name="E.153" localSheetId="6">#REF!</definedName>
    <definedName name="E.153">#REF!</definedName>
    <definedName name="E.157" localSheetId="8">#REF!</definedName>
    <definedName name="E.157" localSheetId="6">#REF!</definedName>
    <definedName name="E.157">#REF!</definedName>
    <definedName name="E.182" localSheetId="8">#REF!</definedName>
    <definedName name="E.182" localSheetId="6">#REF!</definedName>
    <definedName name="E.182">#REF!</definedName>
    <definedName name="E.2" localSheetId="8">#REF!</definedName>
    <definedName name="E.2" localSheetId="6">#REF!</definedName>
    <definedName name="E.2">#REF!</definedName>
    <definedName name="E.212" localSheetId="8">#REF!</definedName>
    <definedName name="E.212" localSheetId="6">#REF!</definedName>
    <definedName name="E.212">#REF!</definedName>
    <definedName name="E.213" localSheetId="8">#REF!</definedName>
    <definedName name="E.213" localSheetId="6">#REF!</definedName>
    <definedName name="E.213">#REF!</definedName>
    <definedName name="E.221" localSheetId="8">#REF!</definedName>
    <definedName name="E.221" localSheetId="6">#REF!</definedName>
    <definedName name="E.221">#REF!</definedName>
    <definedName name="E.251" localSheetId="8">#REF!</definedName>
    <definedName name="E.251" localSheetId="6">#REF!</definedName>
    <definedName name="E.251">#REF!</definedName>
    <definedName name="E.253" localSheetId="8">#REF!</definedName>
    <definedName name="E.253" localSheetId="6">#REF!</definedName>
    <definedName name="E.253">#REF!</definedName>
    <definedName name="E.301" localSheetId="8">#REF!</definedName>
    <definedName name="E.301" localSheetId="6">#REF!</definedName>
    <definedName name="E.301">#REF!</definedName>
    <definedName name="E.341" localSheetId="8">#REF!</definedName>
    <definedName name="E.341" localSheetId="6">#REF!</definedName>
    <definedName name="E.341">#REF!</definedName>
    <definedName name="E.401" localSheetId="8">#REF!</definedName>
    <definedName name="E.401" localSheetId="6">#REF!</definedName>
    <definedName name="E.401">#REF!</definedName>
    <definedName name="EC" localSheetId="8">#REF!</definedName>
    <definedName name="EC" localSheetId="6">#REF!</definedName>
    <definedName name="EC">#REF!</definedName>
    <definedName name="EEE06REV">'[22]5-Peralatan'!$AW$13</definedName>
    <definedName name="EEE09REV1">'[22]5-Peralatan'!$AW$16</definedName>
    <definedName name="EEE17REV">'[22]5-Peralatan'!$AW$24</definedName>
    <definedName name="EEE17REV1">'[22]5-Peralatan'!$AW$24</definedName>
    <definedName name="er" localSheetId="8">#REF!</definedName>
    <definedName name="er" localSheetId="6">#REF!</definedName>
    <definedName name="er">#REF!</definedName>
    <definedName name="EXCAVATOR" localSheetId="8">#REF!</definedName>
    <definedName name="EXCAVATOR" localSheetId="6">#REF!</definedName>
    <definedName name="EXCAVATOR">#REF!</definedName>
    <definedName name="F.1" localSheetId="8">#REF!</definedName>
    <definedName name="F.1" localSheetId="6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A">#N/A</definedName>
    <definedName name="F.1A" localSheetId="8">#REF!</definedName>
    <definedName name="F.1A" localSheetId="6">#REF!</definedName>
    <definedName name="F.1A">#REF!</definedName>
    <definedName name="F.21">#N/A</definedName>
    <definedName name="F.21.A">#N/A</definedName>
    <definedName name="F.21A" localSheetId="8">#REF!</definedName>
    <definedName name="F.21A" localSheetId="6">#REF!</definedName>
    <definedName name="F.21A">#REF!</definedName>
    <definedName name="F.22">#N/A</definedName>
    <definedName name="F.22.A">#N/A</definedName>
    <definedName name="F.27">#N/A</definedName>
    <definedName name="F.27.A">#N/A</definedName>
    <definedName name="F.30">#N/A</definedName>
    <definedName name="F.30.A">#N/A</definedName>
    <definedName name="F.33">#N/A</definedName>
    <definedName name="F.33.A">#N/A</definedName>
    <definedName name="F.33.B">#N/A</definedName>
    <definedName name="F.33.C">#N/A</definedName>
    <definedName name="F.33.D">#N/A</definedName>
    <definedName name="F.33A" localSheetId="8">[5]Anl!#REF!</definedName>
    <definedName name="F.33A" localSheetId="10">[5]Anl!#REF!</definedName>
    <definedName name="F.33A" localSheetId="6">[5]Anl!#REF!</definedName>
    <definedName name="F.33A">[5]Anl!#REF!</definedName>
    <definedName name="F.33D" localSheetId="8">#REF!</definedName>
    <definedName name="F.33D" localSheetId="10">#REF!</definedName>
    <definedName name="F.33D" localSheetId="6">#REF!</definedName>
    <definedName name="F.33D">#REF!</definedName>
    <definedName name="F.34">#N/A</definedName>
    <definedName name="F.34.A">#N/A</definedName>
    <definedName name="F.36">#N/A</definedName>
    <definedName name="F.36.A">#N/A</definedName>
    <definedName name="F.37">#N/A</definedName>
    <definedName name="F.37.A">#N/A</definedName>
    <definedName name="F.37.B">#N/A</definedName>
    <definedName name="F.6A" localSheetId="8">#REF!</definedName>
    <definedName name="F.6A" localSheetId="6">#REF!</definedName>
    <definedName name="F.6A">#REF!</definedName>
    <definedName name="F.8">#N/A</definedName>
    <definedName name="F.8.1" localSheetId="8">[5]Anl!#REF!</definedName>
    <definedName name="F.8.1" localSheetId="10">[5]Anl!#REF!</definedName>
    <definedName name="F.8.1" localSheetId="6">[5]Anl!#REF!</definedName>
    <definedName name="F.8.1">[5]Anl!#REF!</definedName>
    <definedName name="F.8.2" localSheetId="8">[5]Anl!#REF!</definedName>
    <definedName name="F.8.2" localSheetId="6">[5]Anl!#REF!</definedName>
    <definedName name="F.8.2">[5]Anl!#REF!</definedName>
    <definedName name="F.8A" localSheetId="8">#REF!</definedName>
    <definedName name="F.8A" localSheetId="10">#REF!</definedName>
    <definedName name="F.8A" localSheetId="6">#REF!</definedName>
    <definedName name="F.8A">#REF!</definedName>
    <definedName name="FAWEFAWEE" localSheetId="8" hidden="1">#REF!</definedName>
    <definedName name="FAWEFAWEE" localSheetId="6" hidden="1">#REF!</definedName>
    <definedName name="FAWEFAWEE" hidden="1">#REF!</definedName>
    <definedName name="FGHDSFGHSFD" hidden="1">[4]TJ1Q47!$N$7:$N$31</definedName>
    <definedName name="FGHFDGH" hidden="1">[4]TJ1Q47!$H$7:$H$31</definedName>
    <definedName name="FGHFHGJFG" hidden="1">[4]TJ1Q47!$G$7:$G$31</definedName>
    <definedName name="FINISHER" localSheetId="8">#REF!</definedName>
    <definedName name="FINISHER" localSheetId="10">#REF!</definedName>
    <definedName name="FINISHER" localSheetId="6">#REF!</definedName>
    <definedName name="FINISHER">#REF!</definedName>
    <definedName name="FLATBEDTRUCK" localSheetId="8">#REF!</definedName>
    <definedName name="FLATBEDTRUCK" localSheetId="6">#REF!</definedName>
    <definedName name="FLATBEDTRUCK">#REF!</definedName>
    <definedName name="FLOORDRAIN" localSheetId="8">#REF!</definedName>
    <definedName name="FLOORDRAIN" localSheetId="6">#REF!</definedName>
    <definedName name="FLOORDRAIN">#REF!</definedName>
    <definedName name="Floorhardener3kg">'[19]Analisa Harga Satuan'!$G$1459</definedName>
    <definedName name="FORM311">'[23]3-DIV3'!$L$1:$V$61</definedName>
    <definedName name="FORM312">'[23]3-DIV3'!$L$121:$V$181</definedName>
    <definedName name="FORM313">'[23]3-DIV3'!$L$255:$V$315</definedName>
    <definedName name="FORM314">'[23]3-DIV3'!$L$375:$V$435</definedName>
    <definedName name="FORM315">'[23]3-DIV3'!$L$1766:$V$1826</definedName>
    <definedName name="FORM319">'[23]3-DIV3'!$L$1886:$V$1946</definedName>
    <definedName name="FORM322">'[23]3-DIV3'!$L$1947:$V$2007</definedName>
    <definedName name="FORM323">'[23]3-DIV3'!$L$2126:$V$2186</definedName>
    <definedName name="FORM323L" localSheetId="8">#REF!</definedName>
    <definedName name="FORM323L" localSheetId="6">#REF!</definedName>
    <definedName name="FORM323L">#REF!</definedName>
    <definedName name="FORM324">'[23]3-DIV3'!$L$2305:$V$2365</definedName>
    <definedName name="FORM33" localSheetId="8">'[21]G&amp;T'!#REF!</definedName>
    <definedName name="FORM33" localSheetId="6">'[21]G&amp;T'!#REF!</definedName>
    <definedName name="FORM33">'[21]G&amp;T'!#REF!</definedName>
    <definedName name="FORM331">'[23]3-DIV3'!$L$2427:$V$2487</definedName>
    <definedName name="FORM346">'[23]3-DIV3'!$L$2547:$V$2607</definedName>
    <definedName name="FORM421">'[24]3-DIV4'!$L$1:$V$61</definedName>
    <definedName name="FORM422">'[24]3-DIV4'!$L$180:$V$240</definedName>
    <definedName name="FORM423">'[24]3-DIV4'!$L$479:$V$539</definedName>
    <definedName name="FORM424">'[24]3-DIV4'!$L$359:$V$419</definedName>
    <definedName name="FORM425">'[24]3-DIV4'!$L$718:$V$778</definedName>
    <definedName name="FORM426">'[24]3-DIV4'!$L$897:$V$957</definedName>
    <definedName name="FORM427">'[24]3-DIV4'!$L$1017:$V$1077</definedName>
    <definedName name="FORM511">'[25]3-DIV5'!$L$1:$V$61</definedName>
    <definedName name="FORM512">'[25]3-DIV5'!$L$180:$V$240</definedName>
    <definedName name="FORM521">'[25]3-DIV5'!$L$359:$V$419</definedName>
    <definedName name="FORM522">'[25]3-DIV5'!$L$3075:$V$3135</definedName>
    <definedName name="FORM541">'[25]3-DIV5'!$L$3254:$V$3314</definedName>
    <definedName name="FORM542">'[25]3-DIV5'!$L$3374:$V$3434</definedName>
    <definedName name="FORM55s" localSheetId="8">[21]Lapis!#REF!</definedName>
    <definedName name="FORM55s" localSheetId="6">[21]Lapis!#REF!</definedName>
    <definedName name="FORM55s">[21]Lapis!#REF!</definedName>
    <definedName name="FORM611" localSheetId="8">#REF!</definedName>
    <definedName name="FORM611" localSheetId="6">#REF!</definedName>
    <definedName name="FORM611">#REF!</definedName>
    <definedName name="FORM612" localSheetId="8">#REF!</definedName>
    <definedName name="FORM612" localSheetId="6">#REF!</definedName>
    <definedName name="FORM612">#REF!</definedName>
    <definedName name="FORM621" localSheetId="8">#REF!</definedName>
    <definedName name="FORM621" localSheetId="6">#REF!</definedName>
    <definedName name="FORM621">#REF!</definedName>
    <definedName name="FORM622" localSheetId="8">#REF!</definedName>
    <definedName name="FORM622" localSheetId="6">#REF!</definedName>
    <definedName name="FORM622">#REF!</definedName>
    <definedName name="FORM623" localSheetId="8">#REF!</definedName>
    <definedName name="FORM623" localSheetId="6">#REF!</definedName>
    <definedName name="FORM623">#REF!</definedName>
    <definedName name="FORM624" localSheetId="8">[26]ATB!#REF!</definedName>
    <definedName name="FORM624" localSheetId="6">[26]ATB!#REF!</definedName>
    <definedName name="FORM624">[26]ATB!#REF!</definedName>
    <definedName name="FORM631" localSheetId="8">#REF!</definedName>
    <definedName name="FORM631" localSheetId="6">#REF!</definedName>
    <definedName name="FORM631">#REF!</definedName>
    <definedName name="FORM632" localSheetId="8">#REF!</definedName>
    <definedName name="FORM632" localSheetId="6">#REF!</definedName>
    <definedName name="FORM632">#REF!</definedName>
    <definedName name="FORM633" localSheetId="8">#REF!</definedName>
    <definedName name="FORM633" localSheetId="6">#REF!</definedName>
    <definedName name="FORM633">#REF!</definedName>
    <definedName name="FORM634" localSheetId="8">#REF!</definedName>
    <definedName name="FORM634" localSheetId="6">#REF!</definedName>
    <definedName name="FORM634">#REF!</definedName>
    <definedName name="FORM635" localSheetId="8">#REF!</definedName>
    <definedName name="FORM635" localSheetId="6">#REF!</definedName>
    <definedName name="FORM635">#REF!</definedName>
    <definedName name="FORM635A" localSheetId="8">#REF!</definedName>
    <definedName name="FORM635A" localSheetId="6">#REF!</definedName>
    <definedName name="FORM635A">#REF!</definedName>
    <definedName name="FORM636" localSheetId="8">#REF!</definedName>
    <definedName name="FORM636" localSheetId="6">#REF!</definedName>
    <definedName name="FORM636">#REF!</definedName>
    <definedName name="FORM637" localSheetId="8">#REF!</definedName>
    <definedName name="FORM637" localSheetId="6">#REF!</definedName>
    <definedName name="FORM637">#REF!</definedName>
    <definedName name="FORM641L" localSheetId="8">#REF!</definedName>
    <definedName name="FORM641L" localSheetId="6">#REF!</definedName>
    <definedName name="FORM641L">#REF!</definedName>
    <definedName name="FORM642" localSheetId="8">#REF!</definedName>
    <definedName name="FORM642" localSheetId="6">#REF!</definedName>
    <definedName name="FORM642">#REF!</definedName>
    <definedName name="FORM65" localSheetId="8">#REF!</definedName>
    <definedName name="FORM65" localSheetId="6">#REF!</definedName>
    <definedName name="FORM65">#REF!</definedName>
    <definedName name="FORM651" localSheetId="8">[26]ATB!#REF!</definedName>
    <definedName name="FORM651" localSheetId="6">[26]ATB!#REF!</definedName>
    <definedName name="FORM651">[26]ATB!#REF!</definedName>
    <definedName name="FORM661" localSheetId="8">[26]ATB!#REF!</definedName>
    <definedName name="FORM661" localSheetId="6">[26]ATB!#REF!</definedName>
    <definedName name="FORM661">[26]ATB!#REF!</definedName>
    <definedName name="FORM662" localSheetId="8">[26]ATB!#REF!</definedName>
    <definedName name="FORM662" localSheetId="6">[26]ATB!#REF!</definedName>
    <definedName name="FORM662">[26]ATB!#REF!</definedName>
    <definedName name="FORM66PERATA" localSheetId="8">#REF!</definedName>
    <definedName name="FORM66PERATA" localSheetId="6">#REF!</definedName>
    <definedName name="FORM66PERATA">#REF!</definedName>
    <definedName name="FORM66PERMUKAAN" localSheetId="8">#REF!</definedName>
    <definedName name="FORM66PERMUKAAN" localSheetId="6">#REF!</definedName>
    <definedName name="FORM66PERMUKAAN">#REF!</definedName>
    <definedName name="FORM7101" localSheetId="8">#REF!</definedName>
    <definedName name="FORM7101" localSheetId="6">#REF!</definedName>
    <definedName name="FORM7101">#REF!</definedName>
    <definedName name="FORM7102" localSheetId="8">#REF!</definedName>
    <definedName name="FORM7102" localSheetId="6">#REF!</definedName>
    <definedName name="FORM7102">#REF!</definedName>
    <definedName name="FORM7103" localSheetId="8">#REF!</definedName>
    <definedName name="FORM7103" localSheetId="6">#REF!</definedName>
    <definedName name="FORM7103">#REF!</definedName>
    <definedName name="FORM711" localSheetId="8">#REF!</definedName>
    <definedName name="FORM711" localSheetId="6">#REF!</definedName>
    <definedName name="FORM711">#REF!</definedName>
    <definedName name="FORM712" localSheetId="8">#REF!</definedName>
    <definedName name="FORM712" localSheetId="6">#REF!</definedName>
    <definedName name="FORM712">#REF!</definedName>
    <definedName name="FORM713" localSheetId="8">#REF!</definedName>
    <definedName name="FORM713" localSheetId="6">#REF!</definedName>
    <definedName name="FORM713">#REF!</definedName>
    <definedName name="FORM714" localSheetId="8">#REF!</definedName>
    <definedName name="FORM714" localSheetId="6">#REF!</definedName>
    <definedName name="FORM714">#REF!</definedName>
    <definedName name="FORM715" localSheetId="8">#REF!</definedName>
    <definedName name="FORM715" localSheetId="6">#REF!</definedName>
    <definedName name="FORM715">#REF!</definedName>
    <definedName name="FORM716" localSheetId="8">#REF!</definedName>
    <definedName name="FORM716" localSheetId="6">#REF!</definedName>
    <definedName name="FORM716">#REF!</definedName>
    <definedName name="FORM717" localSheetId="8">#REF!</definedName>
    <definedName name="FORM717" localSheetId="6">#REF!</definedName>
    <definedName name="FORM717">#REF!</definedName>
    <definedName name="FORM718" localSheetId="8">#REF!</definedName>
    <definedName name="FORM718" localSheetId="6">#REF!</definedName>
    <definedName name="FORM718">#REF!</definedName>
    <definedName name="FORM721" localSheetId="8">#REF!</definedName>
    <definedName name="FORM721" localSheetId="6">#REF!</definedName>
    <definedName name="FORM721">#REF!</definedName>
    <definedName name="FORM731" localSheetId="8">#REF!</definedName>
    <definedName name="FORM731" localSheetId="6">#REF!</definedName>
    <definedName name="FORM731">#REF!</definedName>
    <definedName name="FORM732" localSheetId="8">#REF!</definedName>
    <definedName name="FORM732" localSheetId="6">#REF!</definedName>
    <definedName name="FORM732">#REF!</definedName>
    <definedName name="FORM733" localSheetId="8">#REF!</definedName>
    <definedName name="FORM733" localSheetId="6">#REF!</definedName>
    <definedName name="FORM733">#REF!</definedName>
    <definedName name="FORM734" localSheetId="8">#REF!</definedName>
    <definedName name="FORM734" localSheetId="6">#REF!</definedName>
    <definedName name="FORM734">#REF!</definedName>
    <definedName name="FORM735" localSheetId="8">#REF!</definedName>
    <definedName name="FORM735" localSheetId="6">#REF!</definedName>
    <definedName name="FORM735">#REF!</definedName>
    <definedName name="FORM744" localSheetId="8">#REF!</definedName>
    <definedName name="FORM744" localSheetId="6">#REF!</definedName>
    <definedName name="FORM744">#REF!</definedName>
    <definedName name="FORM745" localSheetId="8">#REF!</definedName>
    <definedName name="FORM745" localSheetId="6">#REF!</definedName>
    <definedName name="FORM745">#REF!</definedName>
    <definedName name="FORM751" localSheetId="8">'[27]K.175 - K.225'!#REF!</definedName>
    <definedName name="FORM751" localSheetId="6">'[27]K.175 - K.225'!#REF!</definedName>
    <definedName name="FORM751">'[27]K.175 - K.225'!#REF!</definedName>
    <definedName name="FORM752" localSheetId="8">'[27]K.175 - K.225'!#REF!</definedName>
    <definedName name="FORM752" localSheetId="6">'[27]K.175 - K.225'!#REF!</definedName>
    <definedName name="FORM752">'[27]K.175 - K.225'!#REF!</definedName>
    <definedName name="FORM753" localSheetId="8">'[27]K.175 - K.225'!#REF!</definedName>
    <definedName name="FORM753" localSheetId="6">'[27]K.175 - K.225'!#REF!</definedName>
    <definedName name="FORM753">'[27]K.175 - K.225'!#REF!</definedName>
    <definedName name="FORM7610" localSheetId="8">#REF!</definedName>
    <definedName name="FORM7610" localSheetId="6">#REF!</definedName>
    <definedName name="FORM7610">#REF!</definedName>
    <definedName name="FORM7612a" localSheetId="8">#REF!</definedName>
    <definedName name="FORM7612a" localSheetId="6">#REF!</definedName>
    <definedName name="FORM7612a">#REF!</definedName>
    <definedName name="FORM7612b" localSheetId="8">#REF!</definedName>
    <definedName name="FORM7612b" localSheetId="6">#REF!</definedName>
    <definedName name="FORM7612b">#REF!</definedName>
    <definedName name="FORM7612c" localSheetId="8">#REF!</definedName>
    <definedName name="FORM7612c" localSheetId="6">#REF!</definedName>
    <definedName name="FORM7612c">#REF!</definedName>
    <definedName name="FORM7613a" localSheetId="8">#REF!</definedName>
    <definedName name="FORM7613a" localSheetId="6">#REF!</definedName>
    <definedName name="FORM7613a">#REF!</definedName>
    <definedName name="FORM7613b" localSheetId="8">#REF!</definedName>
    <definedName name="FORM7613b" localSheetId="6">#REF!</definedName>
    <definedName name="FORM7613b">#REF!</definedName>
    <definedName name="FORM7613c" localSheetId="8">#REF!</definedName>
    <definedName name="FORM7613c" localSheetId="6">#REF!</definedName>
    <definedName name="FORM7613c">#REF!</definedName>
    <definedName name="FORM7614a" localSheetId="8">#REF!</definedName>
    <definedName name="FORM7614a" localSheetId="6">#REF!</definedName>
    <definedName name="FORM7614a">#REF!</definedName>
    <definedName name="FORM7614b" localSheetId="8">#REF!</definedName>
    <definedName name="FORM7614b" localSheetId="6">#REF!</definedName>
    <definedName name="FORM7614b">#REF!</definedName>
    <definedName name="FORM7614c" localSheetId="8">#REF!</definedName>
    <definedName name="FORM7614c" localSheetId="6">#REF!</definedName>
    <definedName name="FORM7614c">#REF!</definedName>
    <definedName name="FORM7614d" localSheetId="8">#REF!</definedName>
    <definedName name="FORM7614d" localSheetId="6">#REF!</definedName>
    <definedName name="FORM7614d">#REF!</definedName>
    <definedName name="FORM7614e" localSheetId="8">#REF!</definedName>
    <definedName name="FORM7614e" localSheetId="6">#REF!</definedName>
    <definedName name="FORM7614e">#REF!</definedName>
    <definedName name="FORM7618" localSheetId="8">#REF!</definedName>
    <definedName name="FORM7618" localSheetId="6">#REF!</definedName>
    <definedName name="FORM7618">#REF!</definedName>
    <definedName name="FORM7619" localSheetId="8">#REF!</definedName>
    <definedName name="FORM7619" localSheetId="6">#REF!</definedName>
    <definedName name="FORM7619">#REF!</definedName>
    <definedName name="FORM768" localSheetId="8">#REF!</definedName>
    <definedName name="FORM768" localSheetId="6">#REF!</definedName>
    <definedName name="FORM768">#REF!</definedName>
    <definedName name="FORM769" localSheetId="8">#REF!</definedName>
    <definedName name="FORM769" localSheetId="6">#REF!</definedName>
    <definedName name="FORM769">#REF!</definedName>
    <definedName name="FORM76X" localSheetId="8">#REF!</definedName>
    <definedName name="FORM76X" localSheetId="6">#REF!</definedName>
    <definedName name="FORM76X">#REF!</definedName>
    <definedName name="FORM771a" localSheetId="8">#REF!</definedName>
    <definedName name="FORM771a" localSheetId="6">#REF!</definedName>
    <definedName name="FORM771a">#REF!</definedName>
    <definedName name="FORM771b" localSheetId="8">#REF!</definedName>
    <definedName name="FORM771b" localSheetId="6">#REF!</definedName>
    <definedName name="FORM771b">#REF!</definedName>
    <definedName name="FORM771c" localSheetId="8">#REF!</definedName>
    <definedName name="FORM771c" localSheetId="6">#REF!</definedName>
    <definedName name="FORM771c">#REF!</definedName>
    <definedName name="FORM771d" localSheetId="8">#REF!</definedName>
    <definedName name="FORM771d" localSheetId="6">#REF!</definedName>
    <definedName name="FORM771d">#REF!</definedName>
    <definedName name="FORM772a" localSheetId="8">#REF!</definedName>
    <definedName name="FORM772a" localSheetId="6">#REF!</definedName>
    <definedName name="FORM772a">#REF!</definedName>
    <definedName name="FORM772b" localSheetId="8">#REF!</definedName>
    <definedName name="FORM772b" localSheetId="6">#REF!</definedName>
    <definedName name="FORM772b">#REF!</definedName>
    <definedName name="FORM772c" localSheetId="8">#REF!</definedName>
    <definedName name="FORM772c" localSheetId="6">#REF!</definedName>
    <definedName name="FORM772c">#REF!</definedName>
    <definedName name="FORM772d" localSheetId="8">#REF!</definedName>
    <definedName name="FORM772d" localSheetId="6">#REF!</definedName>
    <definedName name="FORM772d">#REF!</definedName>
    <definedName name="FORM79manual" localSheetId="8">#REF!</definedName>
    <definedName name="FORM79manual" localSheetId="6">#REF!</definedName>
    <definedName name="FORM79manual">#REF!</definedName>
    <definedName name="FORM79mekanis" localSheetId="8">#REF!</definedName>
    <definedName name="FORM79mekanis" localSheetId="6">#REF!</definedName>
    <definedName name="FORM79mekanis">#REF!</definedName>
    <definedName name="FORM811" localSheetId="8">#REF!</definedName>
    <definedName name="FORM811" localSheetId="6">#REF!</definedName>
    <definedName name="FORM811">#REF!</definedName>
    <definedName name="FORM812" localSheetId="8">#REF!</definedName>
    <definedName name="FORM812" localSheetId="6">#REF!</definedName>
    <definedName name="FORM812">#REF!</definedName>
    <definedName name="FORM813" localSheetId="8">#REF!</definedName>
    <definedName name="FORM813" localSheetId="6">#REF!</definedName>
    <definedName name="FORM813">#REF!</definedName>
    <definedName name="FORM814" localSheetId="8">#REF!</definedName>
    <definedName name="FORM814" localSheetId="6">#REF!</definedName>
    <definedName name="FORM814">#REF!</definedName>
    <definedName name="FORM815" localSheetId="8">#REF!</definedName>
    <definedName name="FORM815" localSheetId="6">#REF!</definedName>
    <definedName name="FORM815">#REF!</definedName>
    <definedName name="FORM817" localSheetId="8">#REF!</definedName>
    <definedName name="FORM817" localSheetId="6">#REF!</definedName>
    <definedName name="FORM817">#REF!</definedName>
    <definedName name="FORM818" localSheetId="8">#REF!</definedName>
    <definedName name="FORM818" localSheetId="6">#REF!</definedName>
    <definedName name="FORM818">#REF!</definedName>
    <definedName name="FORM819" localSheetId="8">#REF!</definedName>
    <definedName name="FORM819" localSheetId="6">#REF!</definedName>
    <definedName name="FORM819">#REF!</definedName>
    <definedName name="FORM82" localSheetId="8">#REF!</definedName>
    <definedName name="FORM82" localSheetId="6">#REF!</definedName>
    <definedName name="FORM82">#REF!</definedName>
    <definedName name="FORM841" localSheetId="8">#REF!</definedName>
    <definedName name="FORM841" localSheetId="6">#REF!</definedName>
    <definedName name="FORM841">#REF!</definedName>
    <definedName name="FORM8410" localSheetId="8">#REF!</definedName>
    <definedName name="FORM8410" localSheetId="6">#REF!</definedName>
    <definedName name="FORM8410">#REF!</definedName>
    <definedName name="FORM842" localSheetId="8">#REF!</definedName>
    <definedName name="FORM842" localSheetId="6">#REF!</definedName>
    <definedName name="FORM842">#REF!</definedName>
    <definedName name="FORM844" localSheetId="8">#REF!</definedName>
    <definedName name="FORM844" localSheetId="6">#REF!</definedName>
    <definedName name="FORM844">#REF!</definedName>
    <definedName name="FORM845" localSheetId="8">#REF!</definedName>
    <definedName name="FORM845" localSheetId="6">#REF!</definedName>
    <definedName name="FORM845">#REF!</definedName>
    <definedName name="FORM846" localSheetId="8">#REF!</definedName>
    <definedName name="FORM846" localSheetId="6">#REF!</definedName>
    <definedName name="FORM846">#REF!</definedName>
    <definedName name="FORM847" localSheetId="8">#REF!</definedName>
    <definedName name="FORM847" localSheetId="6">#REF!</definedName>
    <definedName name="FORM847">#REF!</definedName>
    <definedName name="FORMGEOTEKSTIL" localSheetId="8">#REF!</definedName>
    <definedName name="FORMGEOTEKSTIL" localSheetId="6">#REF!</definedName>
    <definedName name="FORMGEOTEKSTIL">#REF!</definedName>
    <definedName name="FRRDS" localSheetId="8">#REF!</definedName>
    <definedName name="FRRDS" localSheetId="6">#REF!</definedName>
    <definedName name="FRRDS">#REF!</definedName>
    <definedName name="FULVIMIXER" localSheetId="8">#REF!</definedName>
    <definedName name="FULVIMIXER" localSheetId="6">#REF!</definedName>
    <definedName name="FULVIMIXER">#REF!</definedName>
    <definedName name="g" localSheetId="8" hidden="1">#REF!</definedName>
    <definedName name="g" localSheetId="6" hidden="1">#REF!</definedName>
    <definedName name="g" hidden="1">#REF!</definedName>
    <definedName name="G.14" localSheetId="8">#REF!</definedName>
    <definedName name="G.14" localSheetId="6">#REF!</definedName>
    <definedName name="G.14">#REF!</definedName>
    <definedName name="G.32H" localSheetId="8">#REF!</definedName>
    <definedName name="G.32H" localSheetId="6">#REF!</definedName>
    <definedName name="G.32H">#REF!</definedName>
    <definedName name="G.33.B">#N/A</definedName>
    <definedName name="G.33.F">#N/A</definedName>
    <definedName name="G.33.M">#N/A</definedName>
    <definedName name="G.33H" localSheetId="8">[5]Anl!#REF!</definedName>
    <definedName name="G.33H" localSheetId="6">[5]Anl!#REF!</definedName>
    <definedName name="G.33H">[5]Anl!#REF!</definedName>
    <definedName name="G.33I" localSheetId="8">#REF!</definedName>
    <definedName name="G.33I" localSheetId="10">#REF!</definedName>
    <definedName name="G.33I" localSheetId="6">#REF!</definedName>
    <definedName name="G.33I">#REF!</definedName>
    <definedName name="G.33M" localSheetId="8">#REF!</definedName>
    <definedName name="G.33M" localSheetId="6">#REF!</definedName>
    <definedName name="G.33M">#REF!</definedName>
    <definedName name="G.41">#N/A</definedName>
    <definedName name="G.41.A">#N/A</definedName>
    <definedName name="G.41A" localSheetId="8">#REF!</definedName>
    <definedName name="G.41A" localSheetId="6">#REF!</definedName>
    <definedName name="G.41A">#REF!</definedName>
    <definedName name="G.41B" localSheetId="8">#REF!</definedName>
    <definedName name="G.41B" localSheetId="6">#REF!</definedName>
    <definedName name="G.41B">#REF!</definedName>
    <definedName name="G.43" localSheetId="8">#REF!</definedName>
    <definedName name="G.43" localSheetId="6">#REF!</definedName>
    <definedName name="G.43">#REF!</definedName>
    <definedName name="G.43.A">#N/A</definedName>
    <definedName name="G.43.B">#N/A</definedName>
    <definedName name="G.44" localSheetId="8">#REF!</definedName>
    <definedName name="G.44" localSheetId="6">#REF!</definedName>
    <definedName name="G.44">#REF!</definedName>
    <definedName name="G.50.H">#N/A</definedName>
    <definedName name="G.50.K">#N/A</definedName>
    <definedName name="G.50.P">#N/A</definedName>
    <definedName name="G.50H" localSheetId="8">#REF!</definedName>
    <definedName name="G.50H" localSheetId="6">#REF!</definedName>
    <definedName name="G.50H">#REF!</definedName>
    <definedName name="G.50I" localSheetId="8">#REF!</definedName>
    <definedName name="G.50I" localSheetId="6">#REF!</definedName>
    <definedName name="G.50I">#REF!</definedName>
    <definedName name="G.50K" localSheetId="8">#REF!</definedName>
    <definedName name="G.50K" localSheetId="6">#REF!</definedName>
    <definedName name="G.50K">#REF!</definedName>
    <definedName name="G.50P">[16]Anl!$L$116</definedName>
    <definedName name="G.51C" localSheetId="8">#REF!</definedName>
    <definedName name="G.51C" localSheetId="6">#REF!</definedName>
    <definedName name="G.51C">#REF!</definedName>
    <definedName name="G.53">#N/A</definedName>
    <definedName name="G.67">#N/A</definedName>
    <definedName name="G.68" localSheetId="8">[5]Anl!#REF!</definedName>
    <definedName name="G.68" localSheetId="6">[5]Anl!#REF!</definedName>
    <definedName name="G.68">[5]Anl!#REF!</definedName>
    <definedName name="G.68.A">#N/A</definedName>
    <definedName name="G.68.B">#N/A</definedName>
    <definedName name="G.68.C">#N/A</definedName>
    <definedName name="G.68.D">#N/A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8">#REF!</definedName>
    <definedName name="G.69A" localSheetId="6">#REF!</definedName>
    <definedName name="G.69A">#REF!</definedName>
    <definedName name="G.69B" localSheetId="8">#REF!</definedName>
    <definedName name="G.69B" localSheetId="6">#REF!</definedName>
    <definedName name="G.69B">#REF!</definedName>
    <definedName name="G.72" localSheetId="8">[5]Anl!#REF!</definedName>
    <definedName name="G.72" localSheetId="6">[5]Anl!#REF!</definedName>
    <definedName name="G.72">[5]Anl!#REF!</definedName>
    <definedName name="G.72A" localSheetId="8">[5]Anl!#REF!</definedName>
    <definedName name="G.72A" localSheetId="6">[5]Anl!#REF!</definedName>
    <definedName name="G.72A">[5]Anl!#REF!</definedName>
    <definedName name="GALIAN" localSheetId="8">#REF!</definedName>
    <definedName name="GALIAN" localSheetId="10">#REF!</definedName>
    <definedName name="GALIAN" localSheetId="6">#REF!</definedName>
    <definedName name="GALIAN">#REF!</definedName>
    <definedName name="GATA" localSheetId="8">[5]Anl!#REF!</definedName>
    <definedName name="GATA" localSheetId="10">[5]Anl!#REF!</definedName>
    <definedName name="GATA" localSheetId="6">[5]Anl!#REF!</definedName>
    <definedName name="GATA">[5]Anl!#REF!</definedName>
    <definedName name="GC" localSheetId="8">#REF!</definedName>
    <definedName name="GC" localSheetId="10">#REF!</definedName>
    <definedName name="GC" localSheetId="6">#REF!</definedName>
    <definedName name="GC">#REF!</definedName>
    <definedName name="gddh" localSheetId="8">[5]Anl!#REF!</definedName>
    <definedName name="gddh" localSheetId="6">[5]Anl!#REF!</definedName>
    <definedName name="gddh">[5]Anl!#REF!</definedName>
    <definedName name="gdga" localSheetId="8" hidden="1">'[13]ANL-EI'!#REF!</definedName>
    <definedName name="gdga" localSheetId="6" hidden="1">'[13]ANL-EI'!#REF!</definedName>
    <definedName name="gdga" hidden="1">'[13]ANL-EI'!#REF!</definedName>
    <definedName name="GENSET" localSheetId="8">#REF!</definedName>
    <definedName name="GENSET" localSheetId="6">#REF!</definedName>
    <definedName name="GENSET">#REF!</definedName>
    <definedName name="GentengMetal">'[19]Analisa Harga Satuan'!$G$2627</definedName>
    <definedName name="GILAS" localSheetId="8">#REF!</definedName>
    <definedName name="GILAS" localSheetId="6">#REF!</definedName>
    <definedName name="GILAS">#REF!</definedName>
    <definedName name="GRADER" localSheetId="8">#REF!</definedName>
    <definedName name="GRADER" localSheetId="6">#REF!</definedName>
    <definedName name="GRADER">#REF!</definedName>
    <definedName name="GRAVEL" localSheetId="8">#REF!</definedName>
    <definedName name="GRAVEL" localSheetId="6">#REF!</definedName>
    <definedName name="GRAVEL">#REF!</definedName>
    <definedName name="GSS" localSheetId="8">#REF!</definedName>
    <definedName name="GSS" localSheetId="6">#REF!</definedName>
    <definedName name="GSS">#REF!</definedName>
    <definedName name="H.10">#N/A</definedName>
    <definedName name="H.10.A">#N/A</definedName>
    <definedName name="H.10.B">#N/A</definedName>
    <definedName name="H.10.C">#N/A</definedName>
    <definedName name="H.10A" localSheetId="8">#REF!</definedName>
    <definedName name="H.10A" localSheetId="6">#REF!</definedName>
    <definedName name="H.10A">#REF!</definedName>
    <definedName name="H.14">#N/A</definedName>
    <definedName name="H.14.A">#N/A</definedName>
    <definedName name="H.15" localSheetId="8">[5]Anl!#REF!</definedName>
    <definedName name="H.15" localSheetId="10">[5]Anl!#REF!</definedName>
    <definedName name="H.15" localSheetId="6">[5]Anl!#REF!</definedName>
    <definedName name="H.15">[5]Anl!#REF!</definedName>
    <definedName name="H.18">#N/A</definedName>
    <definedName name="H.18.A">#N/A</definedName>
    <definedName name="H.2" localSheetId="8">[5]Anl!#REF!</definedName>
    <definedName name="H.2" localSheetId="6">[5]Anl!#REF!</definedName>
    <definedName name="H.2">[5]Anl!#REF!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8">#REF!</definedName>
    <definedName name="H.8A" localSheetId="6">#REF!</definedName>
    <definedName name="H.8A">#REF!</definedName>
    <definedName name="H.9">#N/A</definedName>
    <definedName name="H.9.A">#N/A</definedName>
    <definedName name="H.9.B">#N/A</definedName>
    <definedName name="HANGIN" localSheetId="8">#REF!</definedName>
    <definedName name="HANGIN" localSheetId="6">#REF!</definedName>
    <definedName name="HANGIN">#REF!</definedName>
    <definedName name="Harga">'[28]ANALISA QUARRY'!$B$1:$I$36</definedName>
    <definedName name="HARMONIM">#N/A</definedName>
    <definedName name="HPL">[29]Bahan!$J$75</definedName>
    <definedName name="HRS" localSheetId="8">#REF!</definedName>
    <definedName name="HRS" localSheetId="10">#REF!</definedName>
    <definedName name="HRS" localSheetId="6">#REF!</definedName>
    <definedName name="HRS">#REF!</definedName>
    <definedName name="hx" localSheetId="8">#REF!</definedName>
    <definedName name="hx" localSheetId="6">#REF!</definedName>
    <definedName name="hx">#REF!</definedName>
    <definedName name="I.2">#N/A</definedName>
    <definedName name="I.2.A" localSheetId="8">[5]Anl!#REF!</definedName>
    <definedName name="I.2.A" localSheetId="10">[5]Anl!#REF!</definedName>
    <definedName name="I.2.A" localSheetId="6">[5]Anl!#REF!</definedName>
    <definedName name="I.2.A">[5]Anl!#REF!</definedName>
    <definedName name="I.2.B" localSheetId="8">[5]Anl!#REF!</definedName>
    <definedName name="I.2.B" localSheetId="10">[5]Anl!#REF!</definedName>
    <definedName name="I.2.B" localSheetId="6">[5]Anl!#REF!</definedName>
    <definedName name="I.2.B">[5]Anl!#REF!</definedName>
    <definedName name="INSTALASI" localSheetId="8">#REF!</definedName>
    <definedName name="INSTALASI" localSheetId="10">#REF!</definedName>
    <definedName name="INSTALASI" localSheetId="6">#REF!</definedName>
    <definedName name="INSTALASI">#REF!</definedName>
    <definedName name="JACKHAMMER" localSheetId="8">#REF!</definedName>
    <definedName name="JACKHAMMER" localSheetId="6">#REF!</definedName>
    <definedName name="JACKHAMMER">#REF!</definedName>
    <definedName name="JALUSIDL">#N/A</definedName>
    <definedName name="JALUSIKM">#N/A</definedName>
    <definedName name="JEKAMATI">#N/A</definedName>
    <definedName name="Jend_1">'[19]Analisa Harga Satuan'!$G$2417</definedName>
    <definedName name="JendBV1">'[19]Analisa Harga Satuan'!$G$2448</definedName>
    <definedName name="JendBV2">'[19]Analisa Harga Satuan'!$G$2456</definedName>
    <definedName name="JPEMBA" localSheetId="8">'[7]1_boq'!#REF!</definedName>
    <definedName name="JPEMBA" localSheetId="6">'[7]1_boq'!#REF!</definedName>
    <definedName name="JPEMBA">'[7]1_boq'!#REF!</definedName>
    <definedName name="JPENING" localSheetId="8">'[7]1_boq'!#REF!</definedName>
    <definedName name="JPENING" localSheetId="6">'[7]1_boq'!#REF!</definedName>
    <definedName name="JPENING">'[7]1_boq'!#REF!</definedName>
    <definedName name="JREHAB" localSheetId="8">'[7]1_boq'!#REF!</definedName>
    <definedName name="JREHAB" localSheetId="6">'[7]1_boq'!#REF!</definedName>
    <definedName name="JREHAB">'[7]1_boq'!#REF!</definedName>
    <definedName name="JUDUL" localSheetId="8">#REF!</definedName>
    <definedName name="JUDUL" localSheetId="10">#REF!</definedName>
    <definedName name="JUDUL" localSheetId="6">#REF!</definedName>
    <definedName name="JUDUL">#REF!</definedName>
    <definedName name="JURAIDAL" localSheetId="8">#REF!</definedName>
    <definedName name="JURAIDAL" localSheetId="6">#REF!</definedName>
    <definedName name="JURAIDAL">#REF!</definedName>
    <definedName name="K">'[30]Analisa Harga Satuan'!$G$1688</definedName>
    <definedName name="K.012" localSheetId="8">#REF!</definedName>
    <definedName name="K.012" localSheetId="6">#REF!</definedName>
    <definedName name="K.012">#REF!</definedName>
    <definedName name="K.017" localSheetId="8">#REF!</definedName>
    <definedName name="K.017" localSheetId="6">#REF!</definedName>
    <definedName name="K.017">#REF!</definedName>
    <definedName name="K.18" localSheetId="8">#REF!</definedName>
    <definedName name="K.18" localSheetId="6">#REF!</definedName>
    <definedName name="K.18">#REF!</definedName>
    <definedName name="K.224" localSheetId="8">#REF!</definedName>
    <definedName name="K.224" localSheetId="6">#REF!</definedName>
    <definedName name="K.224">#REF!</definedName>
    <definedName name="K.225" localSheetId="8">#REF!</definedName>
    <definedName name="K.225" localSheetId="6">#REF!</definedName>
    <definedName name="K.225">#REF!</definedName>
    <definedName name="K.23A" localSheetId="8">[5]Anl!#REF!</definedName>
    <definedName name="K.23A" localSheetId="6">[5]Anl!#REF!</definedName>
    <definedName name="K.23A">[5]Anl!#REF!</definedName>
    <definedName name="K.23B" localSheetId="8">[5]Anl!#REF!</definedName>
    <definedName name="K.23B" localSheetId="6">[5]Anl!#REF!</definedName>
    <definedName name="K.23B">[5]Anl!#REF!</definedName>
    <definedName name="K.23C" localSheetId="8">[5]Anl!#REF!</definedName>
    <definedName name="K.23C" localSheetId="6">[5]Anl!#REF!</definedName>
    <definedName name="K.23C">[5]Anl!#REF!</definedName>
    <definedName name="K.321" localSheetId="8">#REF!</definedName>
    <definedName name="K.321" localSheetId="10">#REF!</definedName>
    <definedName name="K.321" localSheetId="6">#REF!</definedName>
    <definedName name="K.321">#REF!</definedName>
    <definedName name="K.35" localSheetId="8">#REF!</definedName>
    <definedName name="K.35" localSheetId="6">#REF!</definedName>
    <definedName name="K.35">#REF!</definedName>
    <definedName name="K.411" localSheetId="8">#REF!</definedName>
    <definedName name="K.411" localSheetId="6">#REF!</definedName>
    <definedName name="K.411">#REF!</definedName>
    <definedName name="K.514" localSheetId="8">#REF!</definedName>
    <definedName name="K.514" localSheetId="6">#REF!</definedName>
    <definedName name="K.514">#REF!</definedName>
    <definedName name="K.515" localSheetId="8">#REF!</definedName>
    <definedName name="K.515" localSheetId="6">#REF!</definedName>
    <definedName name="K.515">#REF!</definedName>
    <definedName name="K.517" localSheetId="8">#REF!</definedName>
    <definedName name="K.517" localSheetId="6">#REF!</definedName>
    <definedName name="K.517">#REF!</definedName>
    <definedName name="K.520" localSheetId="8">#REF!</definedName>
    <definedName name="K.520" localSheetId="6">#REF!</definedName>
    <definedName name="K.520">#REF!</definedName>
    <definedName name="K.528" localSheetId="8">#REF!</definedName>
    <definedName name="K.528" localSheetId="6">#REF!</definedName>
    <definedName name="K.528">#REF!</definedName>
    <definedName name="K.618" localSheetId="8">#REF!</definedName>
    <definedName name="K.618" localSheetId="6">#REF!</definedName>
    <definedName name="K.618">#REF!</definedName>
    <definedName name="K.636" localSheetId="8">#REF!</definedName>
    <definedName name="K.636" localSheetId="6">#REF!</definedName>
    <definedName name="K.636">#REF!</definedName>
    <definedName name="K.641" localSheetId="8">#REF!</definedName>
    <definedName name="K.641" localSheetId="6">#REF!</definedName>
    <definedName name="K.641">#REF!</definedName>
    <definedName name="K.710" localSheetId="8">#REF!</definedName>
    <definedName name="K.710" localSheetId="6">#REF!</definedName>
    <definedName name="K.710">#REF!</definedName>
    <definedName name="K.715" localSheetId="8">#REF!</definedName>
    <definedName name="K.715" localSheetId="6">#REF!</definedName>
    <definedName name="K.715">#REF!</definedName>
    <definedName name="K.719" localSheetId="8">#REF!</definedName>
    <definedName name="K.719" localSheetId="6">#REF!</definedName>
    <definedName name="K.719">#REF!</definedName>
    <definedName name="K.720" localSheetId="8">#REF!</definedName>
    <definedName name="K.720" localSheetId="6">#REF!</definedName>
    <definedName name="K.720">#REF!</definedName>
    <definedName name="K.721" localSheetId="8">#REF!</definedName>
    <definedName name="K.721" localSheetId="6">#REF!</definedName>
    <definedName name="K.721">#REF!</definedName>
    <definedName name="K.722" localSheetId="8">#REF!</definedName>
    <definedName name="K.722" localSheetId="6">#REF!</definedName>
    <definedName name="K.722">#REF!</definedName>
    <definedName name="K.725" localSheetId="8">#REF!</definedName>
    <definedName name="K.725" localSheetId="6">#REF!</definedName>
    <definedName name="K.725">#REF!</definedName>
    <definedName name="K_0_5K23">#N/A</definedName>
    <definedName name="K_TUKANG" localSheetId="8">#REF!</definedName>
    <definedName name="K_TUKANG" localSheetId="6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b" localSheetId="8">#REF!</definedName>
    <definedName name="kab" localSheetId="6">#REF!</definedName>
    <definedName name="kab">#REF!</definedName>
    <definedName name="Kapur">'[31]Hrg STn 09'!$I$38</definedName>
    <definedName name="KB" localSheetId="8">#REF!</definedName>
    <definedName name="KB" localSheetId="6">#REF!</definedName>
    <definedName name="KB">#REF!</definedName>
    <definedName name="KDL" localSheetId="8">#REF!</definedName>
    <definedName name="KDL" localSheetId="6">#REF!</definedName>
    <definedName name="KDL">#REF!</definedName>
    <definedName name="kec" localSheetId="8">#REF!</definedName>
    <definedName name="kec" localSheetId="6">#REF!</definedName>
    <definedName name="kec">#REF!</definedName>
    <definedName name="Kep_Tk_Batu">[32]Upah!$C$12</definedName>
    <definedName name="Kep_Tk_Cat">[33]Upah!$D$21</definedName>
    <definedName name="KEPTU" localSheetId="8">#REF!</definedName>
    <definedName name="KEPTU" localSheetId="6">#REF!</definedName>
    <definedName name="KEPTU">#REF!</definedName>
    <definedName name="KeramikDinding2025">'[19]Analisa Harga Satuan'!$G$1720</definedName>
    <definedName name="KeramikLantai2020">'[19]Analisa Harga Satuan'!$G$1688</definedName>
    <definedName name="KeramikLantai3030">'[19]Analisa Harga Satuan'!$G$1672</definedName>
    <definedName name="KeramikStep1020">'[19]Analisa Harga Satuan'!$G$1752</definedName>
    <definedName name="KES.A" localSheetId="8">#REF!</definedName>
    <definedName name="KES.A" localSheetId="6">#REF!</definedName>
    <definedName name="KES.A">#REF!</definedName>
    <definedName name="KES.B" localSheetId="8">#REF!</definedName>
    <definedName name="KES.B" localSheetId="6">#REF!</definedName>
    <definedName name="KES.B">#REF!</definedName>
    <definedName name="KES.C" localSheetId="8">#REF!</definedName>
    <definedName name="KES.C" localSheetId="6">#REF!</definedName>
    <definedName name="KES.C">#REF!</definedName>
    <definedName name="KES.D" localSheetId="8">#REF!</definedName>
    <definedName name="KES.D" localSheetId="6">#REF!</definedName>
    <definedName name="KES.D">#REF!</definedName>
    <definedName name="KES.E" localSheetId="8">#REF!</definedName>
    <definedName name="KES.E" localSheetId="6">#REF!</definedName>
    <definedName name="KES.E">#REF!</definedName>
    <definedName name="KK_KYMRT">#N/A</definedName>
    <definedName name="KL" localSheetId="8">#REF!</definedName>
    <definedName name="KL" localSheetId="6">#REF!</definedName>
    <definedName name="KL">#REF!</definedName>
    <definedName name="KlosedJongkok">'[19]Analisa Harga Satuan'!$G$1769</definedName>
    <definedName name="KMB" localSheetId="8">#REF!</definedName>
    <definedName name="KMB" localSheetId="6">#REF!</definedName>
    <definedName name="KMB">#REF!</definedName>
    <definedName name="KMR" localSheetId="8">#REF!</definedName>
    <definedName name="KMR" localSheetId="6">#REF!</definedName>
    <definedName name="KMR">#REF!</definedName>
    <definedName name="KOSEN" localSheetId="8">#REF!</definedName>
    <definedName name="KOSEN" localSheetId="6">#REF!</definedName>
    <definedName name="KOSEN">#REF!</definedName>
    <definedName name="KPS" localSheetId="8">#REF!</definedName>
    <definedName name="KPS" localSheetId="6">#REF!</definedName>
    <definedName name="KPS">#REF!</definedName>
    <definedName name="KR" localSheetId="8">#REF!</definedName>
    <definedName name="KR" localSheetId="6">#REF!</definedName>
    <definedName name="KR">#REF!</definedName>
    <definedName name="KR20X20" localSheetId="8">#REF!</definedName>
    <definedName name="KR20X20" localSheetId="6">#REF!</definedName>
    <definedName name="KR20X20">#REF!</definedName>
    <definedName name="KR2X2" localSheetId="8">#REF!</definedName>
    <definedName name="KR2X2" localSheetId="6">#REF!</definedName>
    <definedName name="KR2X2">#REF!</definedName>
    <definedName name="KR30X30" localSheetId="8">#REF!</definedName>
    <definedName name="KR30X30" localSheetId="6">#REF!</definedName>
    <definedName name="KR30X30">#REF!</definedName>
    <definedName name="KRAN" localSheetId="8">#REF!</definedName>
    <definedName name="KRAN" localSheetId="6">#REF!</definedName>
    <definedName name="KRAN">#REF!</definedName>
    <definedName name="KranAngsa">'[19]Analisa Harga Satuan'!$G$1837</definedName>
    <definedName name="KranShower">'[19]Analisa Harga Satuan'!$G$1780</definedName>
    <definedName name="KRDIN20X20" localSheetId="8">#REF!</definedName>
    <definedName name="KRDIN20X20" localSheetId="6">#REF!</definedName>
    <definedName name="KRDIN20X20">#REF!</definedName>
    <definedName name="KSK" localSheetId="8">#REF!</definedName>
    <definedName name="KSK" localSheetId="6">#REF!</definedName>
    <definedName name="KSK">#REF!</definedName>
    <definedName name="KTD" localSheetId="8">#REF!</definedName>
    <definedName name="KTD" localSheetId="6">#REF!</definedName>
    <definedName name="KTD">#REF!</definedName>
    <definedName name="ktk" localSheetId="8">#REF!</definedName>
    <definedName name="ktk" localSheetId="6">#REF!</definedName>
    <definedName name="ktk">#REF!</definedName>
    <definedName name="KUANTITAS" localSheetId="8">#REF!</definedName>
    <definedName name="KUANTITAS" localSheetId="6">#REF!</definedName>
    <definedName name="KUANTITAS">#REF!</definedName>
    <definedName name="KUDA" localSheetId="8">#REF!</definedName>
    <definedName name="KUDA" localSheetId="6">#REF!</definedName>
    <definedName name="KUDA">#REF!</definedName>
    <definedName name="KURMURID">#N/A</definedName>
    <definedName name="KURSGURU">#N/A</definedName>
    <definedName name="KusenPA1">'[19]Analisa Harga Satuan'!$G$2333</definedName>
    <definedName name="KusenPA2">'[19]Analisa Harga Satuan'!$G$2345</definedName>
    <definedName name="KusenPA3">'[19]Analisa Harga Satuan'!$G$2358</definedName>
    <definedName name="KusenPA4">'[19]Analisa Harga Satuan'!$G$2370</definedName>
    <definedName name="KusenPA5">'[19]Analisa Harga Satuan'!$G$2382</definedName>
    <definedName name="KusenPA6">'[19]Analisa Harga Satuan'!$G$2394</definedName>
    <definedName name="KusenPA7">'[19]Analisa Harga Satuan'!$G$2406</definedName>
    <definedName name="KusenPB1Besi">'[19]Analisa Harga Satuan'!$G$2321</definedName>
    <definedName name="L.061" localSheetId="8">#REF!</definedName>
    <definedName name="L.061" localSheetId="6">#REF!</definedName>
    <definedName name="L.061">#REF!</definedName>
    <definedName name="L.073" localSheetId="8">#REF!</definedName>
    <definedName name="L.073" localSheetId="6">#REF!</definedName>
    <definedName name="L.073">#REF!</definedName>
    <definedName name="L.079" localSheetId="8">#REF!</definedName>
    <definedName name="L.079" localSheetId="6">#REF!</definedName>
    <definedName name="L.079">#REF!</definedName>
    <definedName name="L.081" localSheetId="8">#REF!</definedName>
    <definedName name="L.081" localSheetId="6">#REF!</definedName>
    <definedName name="L.081">#REF!</definedName>
    <definedName name="L.082" localSheetId="8">#REF!</definedName>
    <definedName name="L.082" localSheetId="6">#REF!</definedName>
    <definedName name="L.082">#REF!</definedName>
    <definedName name="L.083" localSheetId="8">#REF!</definedName>
    <definedName name="L.083" localSheetId="6">#REF!</definedName>
    <definedName name="L.083">#REF!</definedName>
    <definedName name="L.091" localSheetId="8">#REF!</definedName>
    <definedName name="L.091" localSheetId="6">#REF!</definedName>
    <definedName name="L.091">#REF!</definedName>
    <definedName name="L.099" localSheetId="8">#REF!</definedName>
    <definedName name="L.099" localSheetId="6">#REF!</definedName>
    <definedName name="L.099">#REF!</definedName>
    <definedName name="L.101" localSheetId="8">#REF!</definedName>
    <definedName name="L.101" localSheetId="6">#REF!</definedName>
    <definedName name="L.101">#REF!</definedName>
    <definedName name="L.103" localSheetId="8">#REF!</definedName>
    <definedName name="L.103" localSheetId="6">#REF!</definedName>
    <definedName name="L.103">#REF!</definedName>
    <definedName name="L.106" localSheetId="8">#REF!</definedName>
    <definedName name="L.106" localSheetId="6">#REF!</definedName>
    <definedName name="L.106">#REF!</definedName>
    <definedName name="L.15A" localSheetId="8">#REF!</definedName>
    <definedName name="L.15A" localSheetId="6">#REF!</definedName>
    <definedName name="L.15A">#REF!</definedName>
    <definedName name="L.4">#N/A</definedName>
    <definedName name="L.4.A">#N/A</definedName>
    <definedName name="L.5">#N/A</definedName>
    <definedName name="L.9">#N/A</definedName>
    <definedName name="L.9.A">#N/A</definedName>
    <definedName name="LAIN" localSheetId="8">[5]Rab!#REF!</definedName>
    <definedName name="LAIN" localSheetId="6">[5]Rab!#REF!</definedName>
    <definedName name="LAIN">[5]Rab!#REF!</definedName>
    <definedName name="LAINLAIN" localSheetId="8">#REF!</definedName>
    <definedName name="LAINLAIN" localSheetId="6">#REF!</definedName>
    <definedName name="LAINLAIN">#REF!</definedName>
    <definedName name="LANTAICOR" localSheetId="8">#REF!</definedName>
    <definedName name="LANTAICOR" localSheetId="10">#REF!</definedName>
    <definedName name="LANTAICOR" localSheetId="6">#REF!</definedName>
    <definedName name="LANTAICOR">#REF!</definedName>
    <definedName name="LEM_OBAT">#N/A</definedName>
    <definedName name="LEMRBUKU">#N/A</definedName>
    <definedName name="LG" localSheetId="8">#REF!</definedName>
    <definedName name="LG" localSheetId="6">#REF!</definedName>
    <definedName name="LG">#REF!</definedName>
    <definedName name="List5cm">'[19]Analisa Harga Satuan'!$G$2522</definedName>
    <definedName name="LISTPLANK" localSheetId="8">#REF!</definedName>
    <definedName name="LISTPLANK" localSheetId="6">#REF!</definedName>
    <definedName name="LISTPLANK">#REF!</definedName>
    <definedName name="Listplank330">'[19]Analisa Harga Satuan'!$G$2576</definedName>
    <definedName name="Lkg" localSheetId="8">#REF!</definedName>
    <definedName name="Lkg" localSheetId="6">#REF!</definedName>
    <definedName name="Lkg">#REF!</definedName>
    <definedName name="LM_ARSIP">#N/A</definedName>
    <definedName name="LM_INSTR">#N/A</definedName>
    <definedName name="LM_KARTU">#N/A</definedName>
    <definedName name="M.010" localSheetId="8">#REF!</definedName>
    <definedName name="M.010" localSheetId="6">#REF!</definedName>
    <definedName name="M.010">#REF!</definedName>
    <definedName name="M.023" localSheetId="8">#REF!</definedName>
    <definedName name="M.023" localSheetId="6">#REF!</definedName>
    <definedName name="M.023">#REF!</definedName>
    <definedName name="M.024" localSheetId="8">#REF!</definedName>
    <definedName name="M.024" localSheetId="6">#REF!</definedName>
    <definedName name="M.024">#REF!</definedName>
    <definedName name="M.025" localSheetId="8">#REF!</definedName>
    <definedName name="M.025" localSheetId="6">#REF!</definedName>
    <definedName name="M.025">#REF!</definedName>
    <definedName name="M.040" localSheetId="8">#REF!</definedName>
    <definedName name="M.040" localSheetId="6">#REF!</definedName>
    <definedName name="M.040">#REF!</definedName>
    <definedName name="M.041" localSheetId="8">#REF!</definedName>
    <definedName name="M.041" localSheetId="6">#REF!</definedName>
    <definedName name="M.041">#REF!</definedName>
    <definedName name="M.042" localSheetId="8">#REF!</definedName>
    <definedName name="M.042" localSheetId="6">#REF!</definedName>
    <definedName name="M.042">#REF!</definedName>
    <definedName name="M.061" localSheetId="8">#REF!</definedName>
    <definedName name="M.061" localSheetId="6">#REF!</definedName>
    <definedName name="M.061">#REF!</definedName>
    <definedName name="M.065" localSheetId="8">#REF!</definedName>
    <definedName name="M.065" localSheetId="6">#REF!</definedName>
    <definedName name="M.065">#REF!</definedName>
    <definedName name="M.080" localSheetId="8">#REF!</definedName>
    <definedName name="M.080" localSheetId="6">#REF!</definedName>
    <definedName name="M.080">#REF!</definedName>
    <definedName name="M.166" localSheetId="8">#REF!</definedName>
    <definedName name="M.166" localSheetId="6">#REF!</definedName>
    <definedName name="M.166">#REF!</definedName>
    <definedName name="M.167" localSheetId="8">#REF!</definedName>
    <definedName name="M.167" localSheetId="6">#REF!</definedName>
    <definedName name="M.167">#REF!</definedName>
    <definedName name="M.170" localSheetId="8">#REF!</definedName>
    <definedName name="M.170" localSheetId="6">#REF!</definedName>
    <definedName name="M.170">#REF!</definedName>
    <definedName name="M.180" localSheetId="8">#REF!</definedName>
    <definedName name="M.180" localSheetId="6">#REF!</definedName>
    <definedName name="M.180">#REF!</definedName>
    <definedName name="M1_2BIRO">#N/A</definedName>
    <definedName name="mader">[34]Alat!$BO$427</definedName>
    <definedName name="MAL1M2" localSheetId="8">#REF!</definedName>
    <definedName name="MAL1M2" localSheetId="6">#REF!</definedName>
    <definedName name="MAL1M2">#REF!</definedName>
    <definedName name="MAL1M3" localSheetId="8">#REF!</definedName>
    <definedName name="MAL1M3" localSheetId="6">#REF!</definedName>
    <definedName name="MAL1M3">#REF!</definedName>
    <definedName name="MANDOR" localSheetId="8">#REF!</definedName>
    <definedName name="MANDOR" localSheetId="6">#REF!</definedName>
    <definedName name="MANDOR">#REF!</definedName>
    <definedName name="MATERIAL" localSheetId="8">#REF!</definedName>
    <definedName name="MATERIAL" localSheetId="6">#REF!</definedName>
    <definedName name="MATERIAL">#REF!</definedName>
    <definedName name="materials">'[35]HARGA DASAR'!$C$16:$F$406</definedName>
    <definedName name="mdr" localSheetId="8">#REF!</definedName>
    <definedName name="mdr" localSheetId="10">#REF!</definedName>
    <definedName name="mdr" localSheetId="6">#REF!</definedName>
    <definedName name="mdr">#REF!</definedName>
    <definedName name="MEJAGURU">#N/A</definedName>
    <definedName name="MEJMURID">#N/A</definedName>
    <definedName name="MENI" localSheetId="8">#REF!</definedName>
    <definedName name="MENI" localSheetId="6">#REF!</definedName>
    <definedName name="MENI">#REF!</definedName>
    <definedName name="MENUBOQ" localSheetId="8">'[7]1_boq'!#REF!</definedName>
    <definedName name="MENUBOQ" localSheetId="10">'[7]1_boq'!#REF!</definedName>
    <definedName name="MENUBOQ" localSheetId="6">'[7]1_boq'!#REF!</definedName>
    <definedName name="MENUBOQ">'[7]1_boq'!#REF!</definedName>
    <definedName name="MINOR" localSheetId="8">'[6]Kuantitas &amp; Harga'!#REF!</definedName>
    <definedName name="MINOR" localSheetId="6">'[6]Kuantitas &amp; Harga'!#REF!</definedName>
    <definedName name="MINOR">'[6]Kuantitas &amp; Harga'!#REF!</definedName>
    <definedName name="MJRAPAT">#N/A</definedName>
    <definedName name="MK_DLAUT">#N/A</definedName>
    <definedName name="MMM17A" localSheetId="8">#REF!</definedName>
    <definedName name="MMM17A" localSheetId="6">#REF!</definedName>
    <definedName name="MMM17A">#REF!</definedName>
    <definedName name="MMM35A" localSheetId="8">#REF!</definedName>
    <definedName name="MMM35A" localSheetId="6">#REF!</definedName>
    <definedName name="MMM35A">#REF!</definedName>
    <definedName name="MOBILISASI" localSheetId="8">#REF!</definedName>
    <definedName name="MOBILISASI" localSheetId="6">#REF!</definedName>
    <definedName name="MOBILISASI">#REF!</definedName>
    <definedName name="MOTOR_GRADER" localSheetId="8">#REF!</definedName>
    <definedName name="MOTOR_GRADER" localSheetId="6">#REF!</definedName>
    <definedName name="MOTOR_GRADER">#REF!</definedName>
    <definedName name="MPERIKSA">#N/A</definedName>
    <definedName name="MR.12" localSheetId="8">#REF!</definedName>
    <definedName name="MR.12" localSheetId="10">#REF!</definedName>
    <definedName name="MR.12" localSheetId="6">#REF!</definedName>
    <definedName name="MR.12">#REF!</definedName>
    <definedName name="NAMA" localSheetId="8">#REF!</definedName>
    <definedName name="NAMA" localSheetId="6">#REF!</definedName>
    <definedName name="NAMA">#REF!</definedName>
    <definedName name="NokGentengMetal">'[19]Analisa Harga Satuan'!$G$2637</definedName>
    <definedName name="O" localSheetId="8">#REF!</definedName>
    <definedName name="O" localSheetId="6">#REF!</definedName>
    <definedName name="O">#REF!</definedName>
    <definedName name="oooooo">[34]Peralatan!$AW$26</definedName>
    <definedName name="opr" localSheetId="8">#REF!</definedName>
    <definedName name="opr" localSheetId="6">#REF!</definedName>
    <definedName name="opr">#REF!</definedName>
    <definedName name="OT" localSheetId="8">#REF!</definedName>
    <definedName name="OT" localSheetId="6">#REF!</definedName>
    <definedName name="OT">#REF!</definedName>
    <definedName name="P.RUTIN" localSheetId="8">#REF!</definedName>
    <definedName name="P.RUTIN" localSheetId="6">#REF!</definedName>
    <definedName name="P.RUTIN">#REF!</definedName>
    <definedName name="PAKU" localSheetId="8">#REF!</definedName>
    <definedName name="PAKU" localSheetId="6">#REF!</definedName>
    <definedName name="PAKU">#REF!</definedName>
    <definedName name="PapanRuiter">'[19]Analisa Harga Satuan'!$G$2596</definedName>
    <definedName name="PAR" localSheetId="8">#REF!</definedName>
    <definedName name="PAR" localSheetId="6">#REF!</definedName>
    <definedName name="PAR">#REF!</definedName>
    <definedName name="PARTIS" localSheetId="8">[5]Anl!#REF!</definedName>
    <definedName name="PARTIS" localSheetId="10">[5]Anl!#REF!</definedName>
    <definedName name="PARTIS" localSheetId="6">[5]Anl!#REF!</definedName>
    <definedName name="PARTIS">[5]Anl!#REF!</definedName>
    <definedName name="pasir" localSheetId="8">#REF!</definedName>
    <definedName name="pasir" localSheetId="10">#REF!</definedName>
    <definedName name="pasir" localSheetId="6">#REF!</definedName>
    <definedName name="pasir">#REF!</definedName>
    <definedName name="pasir3" localSheetId="8">#REF!</definedName>
    <definedName name="pasir3" localSheetId="6">#REF!</definedName>
    <definedName name="pasir3">#REF!</definedName>
    <definedName name="PASIRURUG" localSheetId="8">#REF!</definedName>
    <definedName name="PASIRURUG" localSheetId="6">#REF!</definedName>
    <definedName name="PASIRURUG">#REF!</definedName>
    <definedName name="PASU" localSheetId="8">#REF!</definedName>
    <definedName name="PASU" localSheetId="6">#REF!</definedName>
    <definedName name="PASU">#REF!</definedName>
    <definedName name="PC" localSheetId="8">#REF!</definedName>
    <definedName name="PC" localSheetId="6">#REF!</definedName>
    <definedName name="PC">#REF!</definedName>
    <definedName name="PEDESTRIANROLLER" localSheetId="8">#REF!</definedName>
    <definedName name="PEDESTRIANROLLER" localSheetId="6">#REF!</definedName>
    <definedName name="PEDESTRIANROLLER">#REF!</definedName>
    <definedName name="PEK.SIPIL" localSheetId="8">'[36]1_boq'!#REF!</definedName>
    <definedName name="PEK.SIPIL" localSheetId="6">'[36]1_boq'!#REF!</definedName>
    <definedName name="PEK.SIPIL">'[36]1_boq'!#REF!</definedName>
    <definedName name="PEKERJA" localSheetId="8">#REF!</definedName>
    <definedName name="PEKERJA" localSheetId="6">#REF!</definedName>
    <definedName name="PEKERJA">#REF!</definedName>
    <definedName name="Pekerja_T">[32]Upah!$C$9</definedName>
    <definedName name="Pembongkaran">[37]NP!$L$841:$V$901</definedName>
    <definedName name="PENUTUP">#N/A</definedName>
    <definedName name="PEREKAT" localSheetId="8">[5]Anl!#REF!</definedName>
    <definedName name="PEREKAT" localSheetId="10">[5]Anl!#REF!</definedName>
    <definedName name="PEREKAT" localSheetId="6">[5]Anl!#REF!</definedName>
    <definedName name="PEREKAT">[5]Anl!#REF!</definedName>
    <definedName name="PEREKAT1.3" localSheetId="8">#REF!</definedName>
    <definedName name="PEREKAT1.3" localSheetId="10">#REF!</definedName>
    <definedName name="PEREKAT1.3" localSheetId="6">#REF!</definedName>
    <definedName name="PEREKAT1.3">#REF!</definedName>
    <definedName name="PERIODIK" localSheetId="8">#REF!</definedName>
    <definedName name="PERIODIK" localSheetId="6">#REF!</definedName>
    <definedName name="PERIODIK">#REF!</definedName>
    <definedName name="PGB" localSheetId="8">#REF!</definedName>
    <definedName name="PGB" localSheetId="6">#REF!</definedName>
    <definedName name="PGB">#REF!</definedName>
    <definedName name="PIJENKACA" localSheetId="8">#REF!</definedName>
    <definedName name="PIJENKACA" localSheetId="6">#REF!</definedName>
    <definedName name="PIJENKACA">#REF!</definedName>
    <definedName name="PIJENPANEL" localSheetId="8">#REF!</definedName>
    <definedName name="PIJENPANEL" localSheetId="6">#REF!</definedName>
    <definedName name="PIJENPANEL">#REF!</definedName>
    <definedName name="PIJENTRIPLEK" localSheetId="8">#REF!</definedName>
    <definedName name="PIJENTRIPLEK" localSheetId="6">#REF!</definedName>
    <definedName name="PIJENTRIPLEK">#REF!</definedName>
    <definedName name="pkj" localSheetId="8">#REF!</definedName>
    <definedName name="pkj" localSheetId="6">#REF!</definedName>
    <definedName name="pkj">#REF!</definedName>
    <definedName name="PLAFON" localSheetId="8">#REF!</definedName>
    <definedName name="PLAFON" localSheetId="6">#REF!</definedName>
    <definedName name="PLAFON">#REF!</definedName>
    <definedName name="PlafondGRC4mm">'[19]Analisa Harga Satuan'!$G$2490</definedName>
    <definedName name="PlafondGypsumRHollow">'[19]Analisa Harga Satuan'!$G$2501</definedName>
    <definedName name="Ples13_15cm">'[19]Analisa Harga Satuan'!$G$1529</definedName>
    <definedName name="Ples16_15cm">'[19]Analisa Harga Satuan'!$G$1571</definedName>
    <definedName name="Plest_Screet13_35cm">'[19]Analisa Harga Satuan'!$G$1655</definedName>
    <definedName name="PLEST1.2" localSheetId="8">#REF!</definedName>
    <definedName name="PLEST1.2" localSheetId="6">#REF!</definedName>
    <definedName name="PLEST1.2">#REF!</definedName>
    <definedName name="PLEST1.3" localSheetId="8">#REF!</definedName>
    <definedName name="PLEST1.3" localSheetId="6">#REF!</definedName>
    <definedName name="PLEST1.3">#REF!</definedName>
    <definedName name="PLEST1.4" localSheetId="8">#REF!</definedName>
    <definedName name="PLEST1.4" localSheetId="6">#REF!</definedName>
    <definedName name="PLEST1.4">#REF!</definedName>
    <definedName name="PLINT" localSheetId="8">#REF!</definedName>
    <definedName name="PLINT" localSheetId="6">#REF!</definedName>
    <definedName name="PLINT">#REF!</definedName>
    <definedName name="Plint1030">'[19]Analisa Harga Satuan'!$G$1736</definedName>
    <definedName name="PLKRA" localSheetId="8">#REF!</definedName>
    <definedName name="PLKRA" localSheetId="6">#REF!</definedName>
    <definedName name="PLKRA">#REF!</definedName>
    <definedName name="PM" localSheetId="8">#REF!</definedName>
    <definedName name="PM" localSheetId="6">#REF!</definedName>
    <definedName name="PM">#REF!</definedName>
    <definedName name="POTUR" localSheetId="8">#REF!</definedName>
    <definedName name="POTUR" localSheetId="6">#REF!</definedName>
    <definedName name="POTUR">#REF!</definedName>
    <definedName name="PPNTULIS">#N/A</definedName>
    <definedName name="_xlnm.Print_Area" localSheetId="2">'analisa 2019'!$A$1:$G$8758</definedName>
    <definedName name="_xlnm.Print_Area" localSheetId="8">'analisa 2019 cetak'!$A$1:$G$779</definedName>
    <definedName name="_xlnm.Print_Area" localSheetId="7">'BECKUP data'!$A$1:$J$356</definedName>
    <definedName name="_xlnm.Print_Area" localSheetId="10">dihitung!$A$224:$G$276</definedName>
    <definedName name="_xlnm.Print_Area" localSheetId="5">RAB!$A$1:$I$141</definedName>
    <definedName name="_xlnm.Print_Area" localSheetId="9">'Rekap Analisa'!$A$1:$E$560</definedName>
    <definedName name="_xlnm.Print_Area" localSheetId="4">Rekapitulasi!$A$1:$G$63</definedName>
    <definedName name="_xlnm.Print_Area" localSheetId="3">'UPAD-BAHAN-ALAT'!$A$1:$K$842</definedName>
    <definedName name="_xlnm.Print_Area" localSheetId="6">'UPAD-BAHAN-ALAT Cetak'!$A$1:$K$119</definedName>
    <definedName name="_xlnm.Print_Area">#REF!</definedName>
    <definedName name="Print_Area_MI" localSheetId="8">#REF!</definedName>
    <definedName name="Print_Area_MI" localSheetId="10">#REF!</definedName>
    <definedName name="Print_Area_MI" localSheetId="6">#REF!</definedName>
    <definedName name="Print_Area_MI">#REF!</definedName>
    <definedName name="_xlnm.Print_Titles" localSheetId="9">'Rekap Analisa'!$2:$2</definedName>
    <definedName name="_xlnm.Print_Titles" localSheetId="3">'UPAD-BAHAN-ALAT'!$32:$35</definedName>
    <definedName name="_xlnm.Print_Titles" localSheetId="6">'UPAD-BAHAN-ALAT Cetak'!$30:$33</definedName>
    <definedName name="_xlnm.Print_Titles">#REF!</definedName>
    <definedName name="pro" localSheetId="8">#REF!</definedName>
    <definedName name="pro" localSheetId="6">#REF!</definedName>
    <definedName name="pro">#REF!</definedName>
    <definedName name="PsKran">'[19]Analisa Harga Satuan'!$G$1827</definedName>
    <definedName name="PST" localSheetId="8">#REF!</definedName>
    <definedName name="PST" localSheetId="10">#REF!</definedName>
    <definedName name="PST" localSheetId="6">#REF!</definedName>
    <definedName name="PST">#REF!</definedName>
    <definedName name="PT" localSheetId="8">#REF!</definedName>
    <definedName name="PT" localSheetId="6">#REF!</definedName>
    <definedName name="PT">#REF!</definedName>
    <definedName name="PTJW" localSheetId="8">#REF!</definedName>
    <definedName name="PTJW" localSheetId="6">#REF!</definedName>
    <definedName name="PTJW">#REF!</definedName>
    <definedName name="PUSAT" localSheetId="8">'[3]ANL-EI'!#REF!</definedName>
    <definedName name="PUSAT" localSheetId="6">'[3]ANL-EI'!#REF!</definedName>
    <definedName name="PUSAT">'[3]ANL-EI'!#REF!</definedName>
    <definedName name="PVC.3" localSheetId="8">#REF!</definedName>
    <definedName name="PVC.3" localSheetId="10">#REF!</definedName>
    <definedName name="PVC.3" localSheetId="6">#REF!</definedName>
    <definedName name="PVC.3">#REF!</definedName>
    <definedName name="PVC0_5" localSheetId="8">#REF!</definedName>
    <definedName name="PVC0_5" localSheetId="6">#REF!</definedName>
    <definedName name="PVC0_5">#REF!</definedName>
    <definedName name="PVC1.5" localSheetId="8">#REF!</definedName>
    <definedName name="PVC1.5" localSheetId="6">#REF!</definedName>
    <definedName name="PVC1.5">#REF!</definedName>
    <definedName name="Q" localSheetId="8">#REF!</definedName>
    <definedName name="Q" localSheetId="6">#REF!</definedName>
    <definedName name="Q">#REF!</definedName>
    <definedName name="Railling">'[19]Analisa Harga Satuan'!$G$2467</definedName>
    <definedName name="RANGKAPLAFON" localSheetId="8">#REF!</definedName>
    <definedName name="RANGKAPLAFON" localSheetId="6">#REF!</definedName>
    <definedName name="RANGKAPLAFON">#REF!</definedName>
    <definedName name="RATAP" localSheetId="8">#REF!</definedName>
    <definedName name="RATAP" localSheetId="6">#REF!</definedName>
    <definedName name="RATAP">#REF!</definedName>
    <definedName name="RGENTENG" localSheetId="8">#REF!</definedName>
    <definedName name="RGENTENG" localSheetId="6">#REF!</definedName>
    <definedName name="RGENTENG">#REF!</definedName>
    <definedName name="RINCIANSEWA" localSheetId="8">#REF!</definedName>
    <definedName name="RINCIANSEWA" localSheetId="6">#REF!</definedName>
    <definedName name="RINCIANSEWA">#REF!</definedName>
    <definedName name="RINCIANSEWA2" localSheetId="8">#REF!</definedName>
    <definedName name="RINCIANSEWA2" localSheetId="6">#REF!</definedName>
    <definedName name="RINCIANSEWA2">#REF!</definedName>
    <definedName name="RIUTERDL">#N/A</definedName>
    <definedName name="RIUTERPM">#N/A</definedName>
    <definedName name="ROSET" localSheetId="8">#REF!</definedName>
    <definedName name="ROSET" localSheetId="6">#REF!</definedName>
    <definedName name="ROSET">#REF!</definedName>
    <definedName name="RSS" localSheetId="8">#REF!</definedName>
    <definedName name="RSS" localSheetId="6">#REF!</definedName>
    <definedName name="RSS">#REF!</definedName>
    <definedName name="RT2.36" localSheetId="8">#REF!</definedName>
    <definedName name="RT2.36" localSheetId="6">#REF!</definedName>
    <definedName name="RT2.36">#REF!</definedName>
    <definedName name="RUTIN" localSheetId="8">#REF!</definedName>
    <definedName name="RUTIN" localSheetId="6">#REF!</definedName>
    <definedName name="RUTIN">#REF!</definedName>
    <definedName name="S" hidden="1">[38]B.Kim2010!$C$641:$C$648</definedName>
    <definedName name="saf" localSheetId="8">[5]Anl!#REF!</definedName>
    <definedName name="saf" localSheetId="6">[5]Anl!#REF!</definedName>
    <definedName name="saf">[5]Anl!#REF!</definedName>
    <definedName name="SAK.1" localSheetId="8">#REF!</definedName>
    <definedName name="SAK.1" localSheetId="10">#REF!</definedName>
    <definedName name="SAK.1" localSheetId="6">#REF!</definedName>
    <definedName name="SAK.1">#REF!</definedName>
    <definedName name="SAK.2" localSheetId="8">#REF!</definedName>
    <definedName name="SAK.2" localSheetId="6">#REF!</definedName>
    <definedName name="SAK.2">#REF!</definedName>
    <definedName name="SAK.3" localSheetId="8">#REF!</definedName>
    <definedName name="SAK.3" localSheetId="6">#REF!</definedName>
    <definedName name="SAK.3">#REF!</definedName>
    <definedName name="salah" localSheetId="8" hidden="1">#REF!</definedName>
    <definedName name="salah" localSheetId="6" hidden="1">#REF!</definedName>
    <definedName name="salah" hidden="1">#REF!</definedName>
    <definedName name="Salas" hidden="1">[4]TJ1Q47!$H$7:$H$31</definedName>
    <definedName name="SDFGHJ" hidden="1">[4]TJ1Q47!$G$7:$G$31</definedName>
    <definedName name="SDFSADFSADF" hidden="1">[4]TJ1Q47!$L$7:$L$31</definedName>
    <definedName name="SDFSDFASFGDSFG" hidden="1">[4]TJ1Q47!$E$7:$E$31</definedName>
    <definedName name="sek" localSheetId="8">#REF!</definedName>
    <definedName name="sek" localSheetId="6">#REF!</definedName>
    <definedName name="sek">#REF!</definedName>
    <definedName name="SGFASFGA" hidden="1">[4]TJ1Q47!$E$7:$E$31</definedName>
    <definedName name="SIPIL" localSheetId="8" hidden="1">'[39]GALIAN MEKANIS'!#REF!</definedName>
    <definedName name="SIPIL" localSheetId="6" hidden="1">'[39]GALIAN MEKANIS'!#REF!</definedName>
    <definedName name="SIPIL" hidden="1">'[39]GALIAN MEKANIS'!#REF!</definedName>
    <definedName name="SIRSANG" localSheetId="8">#REF!</definedName>
    <definedName name="SIRSANG" localSheetId="10">#REF!</definedName>
    <definedName name="SIRSANG" localSheetId="6">#REF!</definedName>
    <definedName name="SIRSANG">#REF!</definedName>
    <definedName name="Sirtu" localSheetId="8">#REF!</definedName>
    <definedName name="Sirtu" localSheetId="6">#REF!</definedName>
    <definedName name="Sirtu">#REF!</definedName>
    <definedName name="SITON" localSheetId="8">#REF!</definedName>
    <definedName name="SITON" localSheetId="6">#REF!</definedName>
    <definedName name="SITON">#REF!</definedName>
    <definedName name="SLH" localSheetId="8">'[7]1_boq'!#REF!</definedName>
    <definedName name="SLH" localSheetId="6">'[7]1_boq'!#REF!</definedName>
    <definedName name="SLH">'[7]1_boq'!#REF!</definedName>
    <definedName name="SP" localSheetId="8">#REF!</definedName>
    <definedName name="SP" localSheetId="10">#REF!</definedName>
    <definedName name="SP" localSheetId="6">#REF!</definedName>
    <definedName name="SP">#REF!</definedName>
    <definedName name="SPEMBA" localSheetId="8">'[7]1_boq'!#REF!</definedName>
    <definedName name="SPEMBA" localSheetId="10">'[7]1_boq'!#REF!</definedName>
    <definedName name="SPEMBA" localSheetId="6">'[7]1_boq'!#REF!</definedName>
    <definedName name="SPEMBA">'[7]1_boq'!#REF!</definedName>
    <definedName name="SPENING" localSheetId="8">'[7]1_boq'!#REF!</definedName>
    <definedName name="SPENING" localSheetId="6">'[7]1_boq'!#REF!</definedName>
    <definedName name="SPENING">'[7]1_boq'!#REF!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T" localSheetId="8">#REF!</definedName>
    <definedName name="SPLT" localSheetId="6">#REF!</definedName>
    <definedName name="SPLT">#REF!</definedName>
    <definedName name="SPRAYER" localSheetId="8">#REF!</definedName>
    <definedName name="SPRAYER" localSheetId="6">#REF!</definedName>
    <definedName name="SPRAYER">#REF!</definedName>
    <definedName name="SREHAB" localSheetId="8">'[7]1_boq'!#REF!</definedName>
    <definedName name="SREHAB" localSheetId="6">'[7]1_boq'!#REF!</definedName>
    <definedName name="SREHAB">'[7]1_boq'!#REF!</definedName>
    <definedName name="STONECRUSHER" localSheetId="8">#REF!</definedName>
    <definedName name="STONECRUSHER" localSheetId="10">#REF!</definedName>
    <definedName name="STONECRUSHER" localSheetId="6">#REF!</definedName>
    <definedName name="STONECRUSHER">#REF!</definedName>
    <definedName name="STOPKONTAK" localSheetId="8">#REF!</definedName>
    <definedName name="STOPKONTAK" localSheetId="6">#REF!</definedName>
    <definedName name="STOPKONTAK">#REF!</definedName>
    <definedName name="STRUKTUR" localSheetId="8">#REF!</definedName>
    <definedName name="STRUKTUR" localSheetId="6">#REF!</definedName>
    <definedName name="STRUKTUR">#REF!</definedName>
    <definedName name="SUPL.5C" localSheetId="8">#REF!</definedName>
    <definedName name="SUPL.5C" localSheetId="6">#REF!</definedName>
    <definedName name="SUPL.5C">#REF!</definedName>
    <definedName name="SUPL.9" localSheetId="8">#REF!</definedName>
    <definedName name="SUPL.9" localSheetId="6">#REF!</definedName>
    <definedName name="SUPL.9">#REF!</definedName>
    <definedName name="SUPL.9A" localSheetId="8">#REF!</definedName>
    <definedName name="SUPL.9A" localSheetId="6">#REF!</definedName>
    <definedName name="SUPL.9A">#REF!</definedName>
    <definedName name="SUPL.IV" localSheetId="8">[5]Anl!#REF!</definedName>
    <definedName name="SUPL.IV" localSheetId="6">[5]Anl!#REF!</definedName>
    <definedName name="SUPL.IV">[5]Anl!#REF!</definedName>
    <definedName name="SUPL.V" localSheetId="8">[5]Anl!#REF!</definedName>
    <definedName name="SUPL.V" localSheetId="6">[5]Anl!#REF!</definedName>
    <definedName name="SUPL.V">[5]Anl!#REF!</definedName>
    <definedName name="SUPL.VA" localSheetId="8">#REF!</definedName>
    <definedName name="SUPL.VA" localSheetId="10">#REF!</definedName>
    <definedName name="SUPL.VA" localSheetId="6">#REF!</definedName>
    <definedName name="SUPL.VA">#REF!</definedName>
    <definedName name="SUPL.VB" localSheetId="8">#REF!</definedName>
    <definedName name="SUPL.VB" localSheetId="6">#REF!</definedName>
    <definedName name="SUPL.VB">#REF!</definedName>
    <definedName name="SUPL.VC" localSheetId="8">#REF!</definedName>
    <definedName name="SUPL.VC" localSheetId="6">#REF!</definedName>
    <definedName name="SUPL.VC">#REF!</definedName>
    <definedName name="SUPL.VD" localSheetId="8">#REF!</definedName>
    <definedName name="SUPL.VD" localSheetId="6">#REF!</definedName>
    <definedName name="SUPL.VD">#REF!</definedName>
    <definedName name="SUPL.VE" localSheetId="8">#REF!</definedName>
    <definedName name="SUPL.VE" localSheetId="6">#REF!</definedName>
    <definedName name="SUPL.VE">#REF!</definedName>
    <definedName name="SUPL.VF" localSheetId="8">#REF!</definedName>
    <definedName name="SUPL.VF" localSheetId="6">#REF!</definedName>
    <definedName name="SUPL.VF">#REF!</definedName>
    <definedName name="SUPL.VG" localSheetId="8">#REF!</definedName>
    <definedName name="SUPL.VG" localSheetId="6">#REF!</definedName>
    <definedName name="SUPL.VG">#REF!</definedName>
    <definedName name="SUPL.VH" localSheetId="8">#REF!</definedName>
    <definedName name="SUPL.VH" localSheetId="6">#REF!</definedName>
    <definedName name="SUPL.VH">#REF!</definedName>
    <definedName name="SUPL.VIII" localSheetId="8">[5]Anl!#REF!</definedName>
    <definedName name="SUPL.VIII" localSheetId="6">[5]Anl!#REF!</definedName>
    <definedName name="SUPL.VIII">[5]Anl!#REF!</definedName>
    <definedName name="TAMPER" localSheetId="8">#REF!</definedName>
    <definedName name="TAMPER" localSheetId="10">#REF!</definedName>
    <definedName name="TAMPER" localSheetId="6">#REF!</definedName>
    <definedName name="TAMPER">#REF!</definedName>
    <definedName name="TANAH" localSheetId="8">#REF!</definedName>
    <definedName name="TANAH" localSheetId="6">#REF!</definedName>
    <definedName name="TANAH">#REF!</definedName>
    <definedName name="TANDEMROLLER" localSheetId="8">#REF!</definedName>
    <definedName name="TANDEMROLLER" localSheetId="6">#REF!</definedName>
    <definedName name="TANDEMROLLER">#REF!</definedName>
    <definedName name="TATIM" localSheetId="8">#REF!</definedName>
    <definedName name="TATIM" localSheetId="6">#REF!</definedName>
    <definedName name="TATIM">#REF!</definedName>
    <definedName name="TempatSabun">'[19]Analisa Harga Satuan'!$G$1847</definedName>
    <definedName name="test" localSheetId="8" hidden="1">'[40]GALIAN MEKANIS'!#REF!</definedName>
    <definedName name="test" localSheetId="6" hidden="1">'[40]GALIAN MEKANIS'!#REF!</definedName>
    <definedName name="test" hidden="1">'[40]GALIAN MEKANIS'!#REF!</definedName>
    <definedName name="tgl" localSheetId="8">#REF!</definedName>
    <definedName name="tgl" localSheetId="6">#REF!</definedName>
    <definedName name="tgl">#REF!</definedName>
    <definedName name="THREEWHEELROLLER" localSheetId="8">#REF!</definedName>
    <definedName name="THREEWHEELROLLER" localSheetId="10">#REF!</definedName>
    <definedName name="THREEWHEELROLLER" localSheetId="6">#REF!</definedName>
    <definedName name="THREEWHEELROLLER">#REF!</definedName>
    <definedName name="TIMSIR" localSheetId="8">#REF!</definedName>
    <definedName name="TIMSIR" localSheetId="6">#REF!</definedName>
    <definedName name="TIMSIR">#REF!</definedName>
    <definedName name="TIMTANAH" localSheetId="8">#REF!</definedName>
    <definedName name="TIMTANAH" localSheetId="6">#REF!</definedName>
    <definedName name="TIMTANAH">#REF!</definedName>
    <definedName name="TIREROLLER" localSheetId="8">#REF!</definedName>
    <definedName name="TIREROLLER" localSheetId="6">#REF!</definedName>
    <definedName name="TIREROLLER">#REF!</definedName>
    <definedName name="tk" localSheetId="8">#REF!</definedName>
    <definedName name="tk" localSheetId="6">#REF!</definedName>
    <definedName name="tk">#REF!</definedName>
    <definedName name="Tk_Batu_T">[32]Upah!$C$11</definedName>
    <definedName name="Tk_Cat_ST">[33]Upah!$D$19</definedName>
    <definedName name="tok" localSheetId="8">#REF!</definedName>
    <definedName name="tok" localSheetId="6">#REF!</definedName>
    <definedName name="tok">#REF!</definedName>
    <definedName name="TRACKLOADER" localSheetId="8">#REF!</definedName>
    <definedName name="TRACKLOADER" localSheetId="6">#REF!</definedName>
    <definedName name="TRACKLOADER">#REF!</definedName>
    <definedName name="TRAILLER" localSheetId="8">#REF!</definedName>
    <definedName name="TRAILLER" localSheetId="6">#REF!</definedName>
    <definedName name="TRAILLER">#REF!</definedName>
    <definedName name="TTPASIEN">#N/A</definedName>
    <definedName name="TUCAH" localSheetId="8">#REF!</definedName>
    <definedName name="TUCAH" localSheetId="6">#REF!</definedName>
    <definedName name="TUCAH">#REF!</definedName>
    <definedName name="TUKANG" localSheetId="8">#REF!</definedName>
    <definedName name="TUKANG" localSheetId="6">#REF!</definedName>
    <definedName name="TUKANG">#REF!</definedName>
    <definedName name="TULI" localSheetId="8">#REF!</definedName>
    <definedName name="TULI" localSheetId="6">#REF!</definedName>
    <definedName name="TULI">#REF!</definedName>
    <definedName name="TUTA" localSheetId="8">#REF!</definedName>
    <definedName name="TUTA" localSheetId="6">#REF!</definedName>
    <definedName name="TUTA">#REF!</definedName>
    <definedName name="TW" localSheetId="8">#REF!</definedName>
    <definedName name="TW" localSheetId="6">#REF!</definedName>
    <definedName name="TW">#REF!</definedName>
    <definedName name="UCAT" localSheetId="8">#REF!</definedName>
    <definedName name="UCAT" localSheetId="6">#REF!</definedName>
    <definedName name="UCAT">#REF!</definedName>
    <definedName name="ukur" localSheetId="8">#REF!</definedName>
    <definedName name="ukur" localSheetId="6">#REF!</definedName>
    <definedName name="ukur">#REF!</definedName>
    <definedName name="UMUR" localSheetId="8">#REF!</definedName>
    <definedName name="UMUR" localSheetId="6">#REF!</definedName>
    <definedName name="UMUR">#REF!</definedName>
    <definedName name="UPAHCAT" localSheetId="8">[5]Anl!#REF!</definedName>
    <definedName name="UPAHCAT" localSheetId="6">[5]Anl!#REF!</definedName>
    <definedName name="UPAHCAT">[5]Anl!#REF!</definedName>
    <definedName name="URAIAN234L" localSheetId="8">#REF!</definedName>
    <definedName name="URAIAN234L" localSheetId="6">#REF!</definedName>
    <definedName name="URAIAN234L">#REF!</definedName>
    <definedName name="Uraian311">'[23]3-DIV3'!$A$1:$J$120</definedName>
    <definedName name="Uraian312">'[23]3-DIV3'!$A$121:$J$240</definedName>
    <definedName name="Uraian313">'[23]3-DIV3'!$A$255:$J$374</definedName>
    <definedName name="Uraian314">'[23]3-DIV3'!$A$375:$J$494</definedName>
    <definedName name="Uraian315">'[23]3-DIV3'!$A$1766:$J$1885</definedName>
    <definedName name="Uraian319">'[23]3-DIV3'!$A$1886:$J$1946</definedName>
    <definedName name="Uraian322">'[23]3-DIV3'!$A$1947:$J$2127</definedName>
    <definedName name="Uraian323">'[23]3-DIV3'!$A$2128:$J$2306</definedName>
    <definedName name="URAIAN323L" localSheetId="8">#REF!</definedName>
    <definedName name="URAIAN323L" localSheetId="6">#REF!</definedName>
    <definedName name="URAIAN323L">#REF!</definedName>
    <definedName name="Uraian324">'[23]3-DIV3'!$A$2307:$J$2428</definedName>
    <definedName name="URAIAN33" localSheetId="8">'[21]G&amp;T'!#REF!</definedName>
    <definedName name="URAIAN33" localSheetId="6">'[21]G&amp;T'!#REF!</definedName>
    <definedName name="URAIAN33">'[21]G&amp;T'!#REF!</definedName>
    <definedName name="Uraian331">'[23]3-DIV3'!$A$2429:$J$2548</definedName>
    <definedName name="Uraian346">'[23]3-DIV3'!$A$2549:$J$2609</definedName>
    <definedName name="URAIAN421">'[24]3-DIV4'!$A$1:$J$179</definedName>
    <definedName name="URAIAN422">'[24]3-DIV4'!$A$180:$J$358</definedName>
    <definedName name="URAIAN423">'[24]3-DIV4'!$A$479:$J$717</definedName>
    <definedName name="URAIAN424">'[24]3-DIV4'!$A$359:$J$478</definedName>
    <definedName name="URAIAN425">'[24]3-DIV4'!$A$718:$J$896</definedName>
    <definedName name="URAIAN426">'[24]3-DIV4'!$A$897:$J$1016</definedName>
    <definedName name="URAIAN427">'[24]3-DIV4'!$A$1017:$J$1136</definedName>
    <definedName name="URAIAN511">'[25]3-DIV5'!$A$1:$J$179</definedName>
    <definedName name="URAIAN512">'[25]3-DIV5'!$A$180:$J$358</definedName>
    <definedName name="URAIAN521">'[25]3-DIV5'!$A$359:$J$537</definedName>
    <definedName name="URAIAN522">'[25]3-DIV5'!$A$3075:$J$3253</definedName>
    <definedName name="URAIAN541">'[25]3-DIV5'!$A$3254:$J$3373</definedName>
    <definedName name="URAIAN542">'[25]3-DIV5'!$A$3374:$J$3612</definedName>
    <definedName name="URAIAN55s" localSheetId="8">[21]Lapis!#REF!</definedName>
    <definedName name="URAIAN55s" localSheetId="6">[21]Lapis!#REF!</definedName>
    <definedName name="URAIAN55s">[21]Lapis!#REF!</definedName>
    <definedName name="URAIAN611" localSheetId="8">#REF!</definedName>
    <definedName name="URAIAN611" localSheetId="6">#REF!</definedName>
    <definedName name="URAIAN611">#REF!</definedName>
    <definedName name="URAIAN612" localSheetId="8">#REF!</definedName>
    <definedName name="URAIAN612" localSheetId="6">#REF!</definedName>
    <definedName name="URAIAN612">#REF!</definedName>
    <definedName name="URAIAN621" localSheetId="8">#REF!</definedName>
    <definedName name="URAIAN621" localSheetId="6">#REF!</definedName>
    <definedName name="URAIAN621">#REF!</definedName>
    <definedName name="URAIAN622" localSheetId="8">#REF!</definedName>
    <definedName name="URAIAN622" localSheetId="6">#REF!</definedName>
    <definedName name="URAIAN622">#REF!</definedName>
    <definedName name="URAIAN623" localSheetId="8">#REF!</definedName>
    <definedName name="URAIAN623" localSheetId="6">#REF!</definedName>
    <definedName name="URAIAN623">#REF!</definedName>
    <definedName name="URAIAN624" localSheetId="8">[26]ATB!#REF!</definedName>
    <definedName name="URAIAN624" localSheetId="6">[26]ATB!#REF!</definedName>
    <definedName name="URAIAN624">[26]ATB!#REF!</definedName>
    <definedName name="URAIAN631" localSheetId="8">#REF!</definedName>
    <definedName name="URAIAN631" localSheetId="6">#REF!</definedName>
    <definedName name="URAIAN631">#REF!</definedName>
    <definedName name="URAIAN632" localSheetId="8">#REF!</definedName>
    <definedName name="URAIAN632" localSheetId="6">#REF!</definedName>
    <definedName name="URAIAN632">#REF!</definedName>
    <definedName name="URAIAN633" localSheetId="8">#REF!</definedName>
    <definedName name="URAIAN633" localSheetId="6">#REF!</definedName>
    <definedName name="URAIAN633">#REF!</definedName>
    <definedName name="URAIAN634" localSheetId="8">#REF!</definedName>
    <definedName name="URAIAN634" localSheetId="6">#REF!</definedName>
    <definedName name="URAIAN634">#REF!</definedName>
    <definedName name="URAIAN635" localSheetId="8">#REF!</definedName>
    <definedName name="URAIAN635" localSheetId="6">#REF!</definedName>
    <definedName name="URAIAN635">#REF!</definedName>
    <definedName name="URAIAN635A" localSheetId="8">#REF!</definedName>
    <definedName name="URAIAN635A" localSheetId="6">#REF!</definedName>
    <definedName name="URAIAN635A">#REF!</definedName>
    <definedName name="URAIAN636" localSheetId="8">#REF!</definedName>
    <definedName name="URAIAN636" localSheetId="6">#REF!</definedName>
    <definedName name="URAIAN636">#REF!</definedName>
    <definedName name="URAIAN641L" localSheetId="8">#REF!</definedName>
    <definedName name="URAIAN641L" localSheetId="6">#REF!</definedName>
    <definedName name="URAIAN641L">#REF!</definedName>
    <definedName name="URAIAN642" localSheetId="8">#REF!</definedName>
    <definedName name="URAIAN642" localSheetId="6">#REF!</definedName>
    <definedName name="URAIAN642">#REF!</definedName>
    <definedName name="URAIAN65" localSheetId="8">#REF!</definedName>
    <definedName name="URAIAN65" localSheetId="6">#REF!</definedName>
    <definedName name="URAIAN65">#REF!</definedName>
    <definedName name="URAIAN651" localSheetId="8">[26]ATB!#REF!</definedName>
    <definedName name="URAIAN651" localSheetId="6">[26]ATB!#REF!</definedName>
    <definedName name="URAIAN651">[26]ATB!#REF!</definedName>
    <definedName name="URAIAN661" localSheetId="8">[26]ATB!#REF!</definedName>
    <definedName name="URAIAN661" localSheetId="6">[26]ATB!#REF!</definedName>
    <definedName name="URAIAN661">[26]ATB!#REF!</definedName>
    <definedName name="URAIAN662" localSheetId="8">[26]ATB!#REF!</definedName>
    <definedName name="URAIAN662" localSheetId="6">[26]ATB!#REF!</definedName>
    <definedName name="URAIAN662">[26]ATB!#REF!</definedName>
    <definedName name="URAIAN66PERATA" localSheetId="8">#REF!</definedName>
    <definedName name="URAIAN66PERATA" localSheetId="6">#REF!</definedName>
    <definedName name="URAIAN66PERATA">#REF!</definedName>
    <definedName name="URAIAN66PERMUKAAN" localSheetId="8">#REF!</definedName>
    <definedName name="URAIAN66PERMUKAAN" localSheetId="6">#REF!</definedName>
    <definedName name="URAIAN66PERMUKAAN">#REF!</definedName>
    <definedName name="URAIAN7101" localSheetId="8">#REF!</definedName>
    <definedName name="URAIAN7101" localSheetId="6">#REF!</definedName>
    <definedName name="URAIAN7101">#REF!</definedName>
    <definedName name="URAIAN7102" localSheetId="8">#REF!</definedName>
    <definedName name="URAIAN7102" localSheetId="6">#REF!</definedName>
    <definedName name="URAIAN7102">#REF!</definedName>
    <definedName name="URAIAN7103" localSheetId="8">#REF!</definedName>
    <definedName name="URAIAN7103" localSheetId="6">#REF!</definedName>
    <definedName name="URAIAN7103">#REF!</definedName>
    <definedName name="URAIAN711" localSheetId="8">#REF!</definedName>
    <definedName name="URAIAN711" localSheetId="6">#REF!</definedName>
    <definedName name="URAIAN711">#REF!</definedName>
    <definedName name="URAIAN712" localSheetId="8">#REF!</definedName>
    <definedName name="URAIAN712" localSheetId="6">#REF!</definedName>
    <definedName name="URAIAN712">#REF!</definedName>
    <definedName name="URAIAN713" localSheetId="8">#REF!</definedName>
    <definedName name="URAIAN713" localSheetId="6">#REF!</definedName>
    <definedName name="URAIAN713">#REF!</definedName>
    <definedName name="URAIAN714" localSheetId="8">#REF!</definedName>
    <definedName name="URAIAN714" localSheetId="6">#REF!</definedName>
    <definedName name="URAIAN714">#REF!</definedName>
    <definedName name="URAIAN715" localSheetId="8">#REF!</definedName>
    <definedName name="URAIAN715" localSheetId="6">#REF!</definedName>
    <definedName name="URAIAN715">#REF!</definedName>
    <definedName name="URAIAN716" localSheetId="8">#REF!</definedName>
    <definedName name="URAIAN716" localSheetId="6">#REF!</definedName>
    <definedName name="URAIAN716">#REF!</definedName>
    <definedName name="URAIAN717" localSheetId="8">#REF!</definedName>
    <definedName name="URAIAN717" localSheetId="6">#REF!</definedName>
    <definedName name="URAIAN717">#REF!</definedName>
    <definedName name="URAIAN718" localSheetId="8">#REF!</definedName>
    <definedName name="URAIAN718" localSheetId="6">#REF!</definedName>
    <definedName name="URAIAN718">#REF!</definedName>
    <definedName name="URAIAN721" localSheetId="8">#REF!</definedName>
    <definedName name="URAIAN721" localSheetId="6">#REF!</definedName>
    <definedName name="URAIAN721">#REF!</definedName>
    <definedName name="URAIAN731" localSheetId="8">#REF!</definedName>
    <definedName name="URAIAN731" localSheetId="6">#REF!</definedName>
    <definedName name="URAIAN731">#REF!</definedName>
    <definedName name="URAIAN732" localSheetId="8">#REF!</definedName>
    <definedName name="URAIAN732" localSheetId="6">#REF!</definedName>
    <definedName name="URAIAN732">#REF!</definedName>
    <definedName name="URAIAN733" localSheetId="8">#REF!</definedName>
    <definedName name="URAIAN733" localSheetId="6">#REF!</definedName>
    <definedName name="URAIAN733">#REF!</definedName>
    <definedName name="URAIAN734" localSheetId="8">#REF!</definedName>
    <definedName name="URAIAN734" localSheetId="6">#REF!</definedName>
    <definedName name="URAIAN734">#REF!</definedName>
    <definedName name="URAIAN735" localSheetId="8">#REF!</definedName>
    <definedName name="URAIAN735" localSheetId="6">#REF!</definedName>
    <definedName name="URAIAN735">#REF!</definedName>
    <definedName name="URAIAN744" localSheetId="8">#REF!</definedName>
    <definedName name="URAIAN744" localSheetId="6">#REF!</definedName>
    <definedName name="URAIAN744">#REF!</definedName>
    <definedName name="URAIAN745" localSheetId="8">#REF!</definedName>
    <definedName name="URAIAN745" localSheetId="6">#REF!</definedName>
    <definedName name="URAIAN745">#REF!</definedName>
    <definedName name="URAIAN751" localSheetId="8">'[27]K.175 - K.225'!#REF!</definedName>
    <definedName name="URAIAN751" localSheetId="6">'[27]K.175 - K.225'!#REF!</definedName>
    <definedName name="URAIAN751">'[27]K.175 - K.225'!#REF!</definedName>
    <definedName name="URAIAN752" localSheetId="8">'[27]K.175 - K.225'!#REF!</definedName>
    <definedName name="URAIAN752" localSheetId="6">'[27]K.175 - K.225'!#REF!</definedName>
    <definedName name="URAIAN752">'[27]K.175 - K.225'!#REF!</definedName>
    <definedName name="URAIAN753" localSheetId="8">'[27]K.175 - K.225'!#REF!</definedName>
    <definedName name="URAIAN753" localSheetId="6">'[27]K.175 - K.225'!#REF!</definedName>
    <definedName name="URAIAN753">'[27]K.175 - K.225'!#REF!</definedName>
    <definedName name="URAIAN7610" localSheetId="8">#REF!</definedName>
    <definedName name="URAIAN7610" localSheetId="6">#REF!</definedName>
    <definedName name="URAIAN7610">#REF!</definedName>
    <definedName name="URAIAN7612a" localSheetId="8">#REF!</definedName>
    <definedName name="URAIAN7612a" localSheetId="6">#REF!</definedName>
    <definedName name="URAIAN7612a">#REF!</definedName>
    <definedName name="URAIAN7612b" localSheetId="8">#REF!</definedName>
    <definedName name="URAIAN7612b" localSheetId="6">#REF!</definedName>
    <definedName name="URAIAN7612b">#REF!</definedName>
    <definedName name="URAIAN7612c" localSheetId="8">#REF!</definedName>
    <definedName name="URAIAN7612c" localSheetId="6">#REF!</definedName>
    <definedName name="URAIAN7612c">#REF!</definedName>
    <definedName name="URAIAN7613a" localSheetId="8">#REF!</definedName>
    <definedName name="URAIAN7613a" localSheetId="6">#REF!</definedName>
    <definedName name="URAIAN7613a">#REF!</definedName>
    <definedName name="URAIAN7613b" localSheetId="8">#REF!</definedName>
    <definedName name="URAIAN7613b" localSheetId="6">#REF!</definedName>
    <definedName name="URAIAN7613b">#REF!</definedName>
    <definedName name="URAIAN7613c" localSheetId="8">#REF!</definedName>
    <definedName name="URAIAN7613c" localSheetId="6">#REF!</definedName>
    <definedName name="URAIAN7613c">#REF!</definedName>
    <definedName name="URAIAN7614a" localSheetId="8">#REF!</definedName>
    <definedName name="URAIAN7614a" localSheetId="6">#REF!</definedName>
    <definedName name="URAIAN7614a">#REF!</definedName>
    <definedName name="URAIAN7614b" localSheetId="8">#REF!</definedName>
    <definedName name="URAIAN7614b" localSheetId="6">#REF!</definedName>
    <definedName name="URAIAN7614b">#REF!</definedName>
    <definedName name="URAIAN7614d" localSheetId="8">#REF!</definedName>
    <definedName name="URAIAN7614d" localSheetId="6">#REF!</definedName>
    <definedName name="URAIAN7614d">#REF!</definedName>
    <definedName name="URAIAN7614e" localSheetId="8">#REF!</definedName>
    <definedName name="URAIAN7614e" localSheetId="6">#REF!</definedName>
    <definedName name="URAIAN7614e">#REF!</definedName>
    <definedName name="URAIAN7618" localSheetId="8">#REF!</definedName>
    <definedName name="URAIAN7618" localSheetId="6">#REF!</definedName>
    <definedName name="URAIAN7618">#REF!</definedName>
    <definedName name="URAIAN7619" localSheetId="8">#REF!</definedName>
    <definedName name="URAIAN7619" localSheetId="6">#REF!</definedName>
    <definedName name="URAIAN7619">#REF!</definedName>
    <definedName name="URAIAN768" localSheetId="8">#REF!</definedName>
    <definedName name="URAIAN768" localSheetId="6">#REF!</definedName>
    <definedName name="URAIAN768">#REF!</definedName>
    <definedName name="URAIAN769" localSheetId="8">#REF!</definedName>
    <definedName name="URAIAN769" localSheetId="6">#REF!</definedName>
    <definedName name="URAIAN769">#REF!</definedName>
    <definedName name="URAIAN76x" localSheetId="8">#REF!</definedName>
    <definedName name="URAIAN76x" localSheetId="6">#REF!</definedName>
    <definedName name="URAIAN76x">#REF!</definedName>
    <definedName name="URAIAN771a" localSheetId="8">#REF!</definedName>
    <definedName name="URAIAN771a" localSheetId="6">#REF!</definedName>
    <definedName name="URAIAN771a">#REF!</definedName>
    <definedName name="URAIAN771b" localSheetId="8">#REF!</definedName>
    <definedName name="URAIAN771b" localSheetId="6">#REF!</definedName>
    <definedName name="URAIAN771b">#REF!</definedName>
    <definedName name="URAIAN771c" localSheetId="8">#REF!</definedName>
    <definedName name="URAIAN771c" localSheetId="6">#REF!</definedName>
    <definedName name="URAIAN771c">#REF!</definedName>
    <definedName name="URAIAN771d" localSheetId="8">#REF!</definedName>
    <definedName name="URAIAN771d" localSheetId="6">#REF!</definedName>
    <definedName name="URAIAN771d">#REF!</definedName>
    <definedName name="URAIAN772a" localSheetId="8">#REF!</definedName>
    <definedName name="URAIAN772a" localSheetId="6">#REF!</definedName>
    <definedName name="URAIAN772a">#REF!</definedName>
    <definedName name="URAIAN772b" localSheetId="8">#REF!</definedName>
    <definedName name="URAIAN772b" localSheetId="6">#REF!</definedName>
    <definedName name="URAIAN772b">#REF!</definedName>
    <definedName name="URAIAN772c" localSheetId="8">#REF!</definedName>
    <definedName name="URAIAN772c" localSheetId="6">#REF!</definedName>
    <definedName name="URAIAN772c">#REF!</definedName>
    <definedName name="URAIAN772d" localSheetId="8">#REF!</definedName>
    <definedName name="URAIAN772d" localSheetId="6">#REF!</definedName>
    <definedName name="URAIAN772d">#REF!</definedName>
    <definedName name="URAIAN79manual" localSheetId="8">#REF!</definedName>
    <definedName name="URAIAN79manual" localSheetId="6">#REF!</definedName>
    <definedName name="URAIAN79manual">#REF!</definedName>
    <definedName name="URAIAN79mekanis" localSheetId="8">#REF!</definedName>
    <definedName name="URAIAN79mekanis" localSheetId="6">#REF!</definedName>
    <definedName name="URAIAN79mekanis">#REF!</definedName>
    <definedName name="URAIAN811" localSheetId="8">#REF!</definedName>
    <definedName name="URAIAN811" localSheetId="6">#REF!</definedName>
    <definedName name="URAIAN811">#REF!</definedName>
    <definedName name="URAIAN812" localSheetId="8">#REF!</definedName>
    <definedName name="URAIAN812" localSheetId="6">#REF!</definedName>
    <definedName name="URAIAN812">#REF!</definedName>
    <definedName name="URAIAN813" localSheetId="8">#REF!</definedName>
    <definedName name="URAIAN813" localSheetId="6">#REF!</definedName>
    <definedName name="URAIAN813">#REF!</definedName>
    <definedName name="URAIAN814" localSheetId="8">#REF!</definedName>
    <definedName name="URAIAN814" localSheetId="6">#REF!</definedName>
    <definedName name="URAIAN814">#REF!</definedName>
    <definedName name="URAIAN815" localSheetId="8">#REF!</definedName>
    <definedName name="URAIAN815" localSheetId="6">#REF!</definedName>
    <definedName name="URAIAN815">#REF!</definedName>
    <definedName name="URAIAN817" localSheetId="8">#REF!</definedName>
    <definedName name="URAIAN817" localSheetId="6">#REF!</definedName>
    <definedName name="URAIAN817">#REF!</definedName>
    <definedName name="URAIAN818" localSheetId="8">#REF!</definedName>
    <definedName name="URAIAN818" localSheetId="6">#REF!</definedName>
    <definedName name="URAIAN818">#REF!</definedName>
    <definedName name="URAIAN819" localSheetId="8">#REF!</definedName>
    <definedName name="URAIAN819" localSheetId="6">#REF!</definedName>
    <definedName name="URAIAN819">#REF!</definedName>
    <definedName name="URAIAN82" localSheetId="8">#REF!</definedName>
    <definedName name="URAIAN82" localSheetId="6">#REF!</definedName>
    <definedName name="URAIAN82">#REF!</definedName>
    <definedName name="Uraian841" localSheetId="8">#REF!</definedName>
    <definedName name="Uraian841" localSheetId="6">#REF!</definedName>
    <definedName name="Uraian841">#REF!</definedName>
    <definedName name="Uraian8410" localSheetId="8">#REF!</definedName>
    <definedName name="Uraian8410" localSheetId="6">#REF!</definedName>
    <definedName name="Uraian8410">#REF!</definedName>
    <definedName name="Uraian842" localSheetId="8">#REF!</definedName>
    <definedName name="Uraian842" localSheetId="6">#REF!</definedName>
    <definedName name="Uraian842">#REF!</definedName>
    <definedName name="Uraian844" localSheetId="8">#REF!</definedName>
    <definedName name="Uraian844" localSheetId="6">#REF!</definedName>
    <definedName name="Uraian844">#REF!</definedName>
    <definedName name="Uraian845" localSheetId="8">#REF!</definedName>
    <definedName name="Uraian845" localSheetId="6">#REF!</definedName>
    <definedName name="Uraian845">#REF!</definedName>
    <definedName name="Uraian846" localSheetId="8">#REF!</definedName>
    <definedName name="Uraian846" localSheetId="6">#REF!</definedName>
    <definedName name="Uraian846">#REF!</definedName>
    <definedName name="Uraian847" localSheetId="8">#REF!</definedName>
    <definedName name="Uraian847" localSheetId="6">#REF!</definedName>
    <definedName name="Uraian847">#REF!</definedName>
    <definedName name="URAIANGEOTEKSTIL" localSheetId="8">#REF!</definedName>
    <definedName name="URAIANGEOTEKSTIL" localSheetId="6">#REF!</definedName>
    <definedName name="URAIANGEOTEKSTIL">#REF!</definedName>
    <definedName name="URINOIR" localSheetId="8">#REF!</definedName>
    <definedName name="URINOIR" localSheetId="10">#REF!</definedName>
    <definedName name="URINOIR" localSheetId="6">#REF!</definedName>
    <definedName name="URINOIR">#REF!</definedName>
    <definedName name="UTAIAN7614c" localSheetId="8">#REF!</definedName>
    <definedName name="UTAIAN7614c" localSheetId="6">#REF!</definedName>
    <definedName name="UTAIAN7614c">#REF!</definedName>
    <definedName name="UTAMA" localSheetId="8">'[7]1_boq'!#REF!</definedName>
    <definedName name="UTAMA" localSheetId="10">'[7]1_boq'!#REF!</definedName>
    <definedName name="UTAMA" localSheetId="6">'[7]1_boq'!#REF!</definedName>
    <definedName name="UTAMA">'[7]1_boq'!#REF!</definedName>
    <definedName name="VALVE" localSheetId="8">#REF!</definedName>
    <definedName name="VALVE" localSheetId="10">#REF!</definedName>
    <definedName name="VALVE" localSheetId="6">#REF!</definedName>
    <definedName name="VALVE">#REF!</definedName>
    <definedName name="VENTKAYU" localSheetId="8">#REF!</definedName>
    <definedName name="VENTKAYU" localSheetId="6">#REF!</definedName>
    <definedName name="VENTKAYU">#REF!</definedName>
    <definedName name="VIBROROLLER" localSheetId="8">#REF!</definedName>
    <definedName name="VIBROROLLER" localSheetId="6">#REF!</definedName>
    <definedName name="VIBROROLLER">#REF!</definedName>
    <definedName name="W" localSheetId="8">#REF!</definedName>
    <definedName name="W" localSheetId="6">#REF!</definedName>
    <definedName name="W">#REF!</definedName>
    <definedName name="W.1" localSheetId="8">#REF!</definedName>
    <definedName name="W.1" localSheetId="6">#REF!</definedName>
    <definedName name="W.1">#REF!</definedName>
    <definedName name="W.1A" localSheetId="8">#REF!</definedName>
    <definedName name="W.1A" localSheetId="6">#REF!</definedName>
    <definedName name="W.1A">#REF!</definedName>
    <definedName name="W.2" localSheetId="8">#REF!</definedName>
    <definedName name="W.2" localSheetId="6">#REF!</definedName>
    <definedName name="W.2">#REF!</definedName>
    <definedName name="W.3" localSheetId="8">#REF!</definedName>
    <definedName name="W.3" localSheetId="6">#REF!</definedName>
    <definedName name="W.3">#REF!</definedName>
    <definedName name="W.3A" localSheetId="8">#REF!</definedName>
    <definedName name="W.3A" localSheetId="6">#REF!</definedName>
    <definedName name="W.3A">#REF!</definedName>
    <definedName name="W.4" localSheetId="8">#REF!</definedName>
    <definedName name="W.4" localSheetId="6">#REF!</definedName>
    <definedName name="W.4">#REF!</definedName>
    <definedName name="W.5" localSheetId="8">#REF!</definedName>
    <definedName name="W.5" localSheetId="6">#REF!</definedName>
    <definedName name="W.5">#REF!</definedName>
    <definedName name="W.5A" localSheetId="8">#REF!</definedName>
    <definedName name="W.5A" localSheetId="6">#REF!</definedName>
    <definedName name="W.5A">#REF!</definedName>
    <definedName name="W.7" localSheetId="8">#REF!</definedName>
    <definedName name="W.7" localSheetId="6">#REF!</definedName>
    <definedName name="W.7">#REF!</definedName>
    <definedName name="W.7A" localSheetId="8">#REF!</definedName>
    <definedName name="W.7A" localSheetId="6">#REF!</definedName>
    <definedName name="W.7A">#REF!</definedName>
    <definedName name="WAFEL" localSheetId="8">#REF!</definedName>
    <definedName name="WAFEL" localSheetId="6">#REF!</definedName>
    <definedName name="WAFEL">#REF!</definedName>
    <definedName name="wages">'[35]HARGA DASAR'!$C$5:$F$13</definedName>
    <definedName name="Wastafel">'[19]Analisa Harga Satuan'!$G$1792</definedName>
    <definedName name="Waterproofliquit">'[19]Analisa Harga Satuan'!$G$2647</definedName>
    <definedName name="WATERPUMP" localSheetId="8">#REF!</definedName>
    <definedName name="WATERPUMP" localSheetId="10">#REF!</definedName>
    <definedName name="WATERPUMP" localSheetId="6">#REF!</definedName>
    <definedName name="WATERPUMP">#REF!</definedName>
    <definedName name="WATERTANKER" localSheetId="8">#REF!</definedName>
    <definedName name="WATERTANKER" localSheetId="6">#REF!</definedName>
    <definedName name="WATERTANKER">#REF!</definedName>
    <definedName name="WATON" localSheetId="8">#REF!</definedName>
    <definedName name="WATON" localSheetId="6">#REF!</definedName>
    <definedName name="WATON">#REF!</definedName>
    <definedName name="WCD" localSheetId="8">#REF!</definedName>
    <definedName name="WCD" localSheetId="6">#REF!</definedName>
    <definedName name="WCD">#REF!</definedName>
    <definedName name="WCJ" localSheetId="8">#REF!</definedName>
    <definedName name="WCJ" localSheetId="6">#REF!</definedName>
    <definedName name="WCJ">#REF!</definedName>
    <definedName name="WHEELLOADER" localSheetId="8">#REF!</definedName>
    <definedName name="WHEELLOADER" localSheetId="6">#REF!</definedName>
    <definedName name="WHEELLOADER">#REF!</definedName>
    <definedName name="X" localSheetId="8">#REF!</definedName>
    <definedName name="X" localSheetId="6">#REF!</definedName>
    <definedName name="X">#REF!</definedName>
    <definedName name="XSXXXXXXXXXXXX" hidden="1">[4]TJ1Q47!$G$7:$G$31</definedName>
    <definedName name="XXXXXXXXXXX" hidden="1">[4]TJ1Q47!$N$7:$N$31</definedName>
    <definedName name="Z_AEFAA9BC_77A3_4DB7_9FE7_A7F47A5E0AF8_.wvu.Rows" hidden="1">'[41]IN OUT'!$A$94:$IV$65536,'[41]IN OUT'!$A$5:$IV$93</definedName>
  </definedNames>
  <calcPr calcId="124519"/>
  <fileRecoveryPr autoRecover="0" repairLoad="1"/>
</workbook>
</file>

<file path=xl/calcChain.xml><?xml version="1.0" encoding="utf-8"?>
<calcChain xmlns="http://schemas.openxmlformats.org/spreadsheetml/2006/main">
  <c r="C4" i="349"/>
  <c r="D4"/>
  <c r="C5"/>
  <c r="D5"/>
  <c r="D6"/>
  <c r="C7"/>
  <c r="D7"/>
  <c r="D3"/>
  <c r="C3"/>
  <c r="A4"/>
  <c r="A5"/>
  <c r="A7"/>
  <c r="A3"/>
  <c r="D7" i="346"/>
  <c r="D6"/>
  <c r="D5"/>
  <c r="D4"/>
  <c r="D3"/>
  <c r="C4"/>
  <c r="C5"/>
  <c r="C7"/>
  <c r="C3"/>
  <c r="A4"/>
  <c r="A5"/>
  <c r="A7"/>
  <c r="A3"/>
  <c r="G31" i="347" l="1"/>
  <c r="H29" i="344" s="1"/>
  <c r="I29" s="1"/>
  <c r="F29"/>
  <c r="I84" i="349"/>
  <c r="F476" i="347" s="1"/>
  <c r="F24"/>
  <c r="F26" s="1"/>
  <c r="F98" i="344"/>
  <c r="I273" i="345"/>
  <c r="F273"/>
  <c r="E273"/>
  <c r="M72" i="349"/>
  <c r="M73" s="1"/>
  <c r="N72" s="1"/>
  <c r="L40" i="346"/>
  <c r="F272" i="345"/>
  <c r="E272"/>
  <c r="E125"/>
  <c r="I39"/>
  <c r="F736" i="347"/>
  <c r="F738"/>
  <c r="F721"/>
  <c r="F705"/>
  <c r="F703"/>
  <c r="F687"/>
  <c r="F672"/>
  <c r="F688" s="1"/>
  <c r="F654"/>
  <c r="F639"/>
  <c r="F575"/>
  <c r="F559"/>
  <c r="F543"/>
  <c r="F527"/>
  <c r="F511"/>
  <c r="F495"/>
  <c r="F494"/>
  <c r="F479"/>
  <c r="F478"/>
  <c r="F477"/>
  <c r="F473"/>
  <c r="F457"/>
  <c r="F475" s="1"/>
  <c r="F458"/>
  <c r="F456"/>
  <c r="F474" s="1"/>
  <c r="F427"/>
  <c r="F412"/>
  <c r="F411"/>
  <c r="F410"/>
  <c r="F395"/>
  <c r="F394"/>
  <c r="F363"/>
  <c r="F362"/>
  <c r="F347"/>
  <c r="F346"/>
  <c r="F345"/>
  <c r="F276"/>
  <c r="F294" s="1"/>
  <c r="G294" s="1"/>
  <c r="F222"/>
  <c r="F330"/>
  <c r="F329"/>
  <c r="F327"/>
  <c r="F309"/>
  <c r="F291"/>
  <c r="F273"/>
  <c r="F206"/>
  <c r="F205"/>
  <c r="F168"/>
  <c r="F167"/>
  <c r="F148"/>
  <c r="F165" s="1"/>
  <c r="F147"/>
  <c r="F164" s="1"/>
  <c r="F146"/>
  <c r="F163" s="1"/>
  <c r="F25" l="1"/>
  <c r="N45" i="349" l="1"/>
  <c r="I45" s="1"/>
  <c r="F93" i="347" s="1"/>
  <c r="F112" s="1"/>
  <c r="F223" s="1"/>
  <c r="F130"/>
  <c r="F257" s="1"/>
  <c r="F94"/>
  <c r="F129"/>
  <c r="F256" s="1"/>
  <c r="F113"/>
  <c r="F224" s="1"/>
  <c r="F111"/>
  <c r="F96"/>
  <c r="F131" s="1"/>
  <c r="F258" s="1"/>
  <c r="F95"/>
  <c r="F78"/>
  <c r="F65" l="1"/>
  <c r="F378" l="1"/>
  <c r="G378" s="1"/>
  <c r="I55" i="349"/>
  <c r="H24" i="344"/>
  <c r="H23"/>
  <c r="G78" i="347"/>
  <c r="G79" s="1"/>
  <c r="F75"/>
  <c r="G75" s="1"/>
  <c r="F74"/>
  <c r="G74" s="1"/>
  <c r="F90"/>
  <c r="G90" s="1"/>
  <c r="F89"/>
  <c r="F20" s="1"/>
  <c r="F88"/>
  <c r="F38"/>
  <c r="F37"/>
  <c r="F753"/>
  <c r="G753" s="1"/>
  <c r="G754" s="1"/>
  <c r="G738"/>
  <c r="G737"/>
  <c r="G736"/>
  <c r="F732"/>
  <c r="F731"/>
  <c r="G731" s="1"/>
  <c r="F730"/>
  <c r="G730" s="1"/>
  <c r="G721"/>
  <c r="G720"/>
  <c r="F716"/>
  <c r="G716" s="1"/>
  <c r="F715"/>
  <c r="G715" s="1"/>
  <c r="F714"/>
  <c r="G714" s="1"/>
  <c r="G705"/>
  <c r="G703"/>
  <c r="F699"/>
  <c r="G699" s="1"/>
  <c r="F698"/>
  <c r="G698" s="1"/>
  <c r="F697"/>
  <c r="G697" s="1"/>
  <c r="G688"/>
  <c r="G687"/>
  <c r="F683"/>
  <c r="G683" s="1"/>
  <c r="F682"/>
  <c r="G682" s="1"/>
  <c r="F681"/>
  <c r="G681" s="1"/>
  <c r="G672"/>
  <c r="F671"/>
  <c r="G671" s="1"/>
  <c r="G670"/>
  <c r="F666"/>
  <c r="G666" s="1"/>
  <c r="F665"/>
  <c r="G665" s="1"/>
  <c r="F664"/>
  <c r="G664" s="1"/>
  <c r="F655"/>
  <c r="G655" s="1"/>
  <c r="G654"/>
  <c r="F650"/>
  <c r="G650" s="1"/>
  <c r="F649"/>
  <c r="G649" s="1"/>
  <c r="F648"/>
  <c r="G648" s="1"/>
  <c r="G639"/>
  <c r="G640" s="1"/>
  <c r="F635"/>
  <c r="G635" s="1"/>
  <c r="F634"/>
  <c r="G634" s="1"/>
  <c r="F633"/>
  <c r="G633" s="1"/>
  <c r="F619"/>
  <c r="G619" s="1"/>
  <c r="F618"/>
  <c r="G618" s="1"/>
  <c r="F617"/>
  <c r="G617" s="1"/>
  <c r="F603"/>
  <c r="G603" s="1"/>
  <c r="F602"/>
  <c r="G602" s="1"/>
  <c r="F601"/>
  <c r="G601" s="1"/>
  <c r="G576"/>
  <c r="G575"/>
  <c r="G560"/>
  <c r="G559"/>
  <c r="G561" s="1"/>
  <c r="G544"/>
  <c r="G543"/>
  <c r="G528"/>
  <c r="G527"/>
  <c r="G512"/>
  <c r="G511"/>
  <c r="G496"/>
  <c r="G495"/>
  <c r="G494"/>
  <c r="G479"/>
  <c r="G478"/>
  <c r="G477"/>
  <c r="G476"/>
  <c r="G475"/>
  <c r="G474"/>
  <c r="G473"/>
  <c r="G458"/>
  <c r="G457"/>
  <c r="G456"/>
  <c r="F441"/>
  <c r="G441" s="1"/>
  <c r="G442" s="1"/>
  <c r="F428"/>
  <c r="G428" s="1"/>
  <c r="G427"/>
  <c r="G412"/>
  <c r="G411"/>
  <c r="G410"/>
  <c r="G395"/>
  <c r="G394"/>
  <c r="F379"/>
  <c r="G379" s="1"/>
  <c r="G363"/>
  <c r="G362"/>
  <c r="G347"/>
  <c r="G346"/>
  <c r="G345"/>
  <c r="G330"/>
  <c r="G329"/>
  <c r="G327"/>
  <c r="G309"/>
  <c r="G291"/>
  <c r="G273"/>
  <c r="G258"/>
  <c r="G257"/>
  <c r="G224"/>
  <c r="F239"/>
  <c r="F255" s="1"/>
  <c r="G222"/>
  <c r="G206"/>
  <c r="G205"/>
  <c r="G168"/>
  <c r="F188"/>
  <c r="G188" s="1"/>
  <c r="G165"/>
  <c r="F185"/>
  <c r="G185" s="1"/>
  <c r="F184"/>
  <c r="F187" s="1"/>
  <c r="G187" s="1"/>
  <c r="G148"/>
  <c r="G147"/>
  <c r="G146"/>
  <c r="G131"/>
  <c r="G130"/>
  <c r="G129"/>
  <c r="G112"/>
  <c r="G111"/>
  <c r="G96"/>
  <c r="G95"/>
  <c r="G94"/>
  <c r="G93"/>
  <c r="G65"/>
  <c r="G66" s="1"/>
  <c r="F50"/>
  <c r="G50" s="1"/>
  <c r="B105" i="349"/>
  <c r="B104"/>
  <c r="I103"/>
  <c r="F704" i="347" s="1"/>
  <c r="G704" s="1"/>
  <c r="B103" i="349"/>
  <c r="B102"/>
  <c r="B101"/>
  <c r="B100"/>
  <c r="B99"/>
  <c r="B98"/>
  <c r="I97"/>
  <c r="F623" i="347" s="1"/>
  <c r="G623" s="1"/>
  <c r="B97" i="349"/>
  <c r="I96"/>
  <c r="F607" i="347" s="1"/>
  <c r="G607" s="1"/>
  <c r="F608" s="1"/>
  <c r="G608" s="1"/>
  <c r="B96" i="349"/>
  <c r="I95"/>
  <c r="F591" i="347" s="1"/>
  <c r="G591" s="1"/>
  <c r="B95" i="349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I66"/>
  <c r="F328" i="347" s="1"/>
  <c r="G328" s="1"/>
  <c r="B66" i="349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K22"/>
  <c r="K21"/>
  <c r="K20"/>
  <c r="K19"/>
  <c r="K18"/>
  <c r="K17"/>
  <c r="K16"/>
  <c r="K15"/>
  <c r="K14"/>
  <c r="G89" i="347" l="1"/>
  <c r="F108"/>
  <c r="F21"/>
  <c r="F61"/>
  <c r="F87" s="1"/>
  <c r="F18" s="1"/>
  <c r="F6"/>
  <c r="F62"/>
  <c r="G62" s="1"/>
  <c r="F7"/>
  <c r="F106"/>
  <c r="F123" s="1"/>
  <c r="F19"/>
  <c r="G37"/>
  <c r="F49"/>
  <c r="G49" s="1"/>
  <c r="G51" s="1"/>
  <c r="G54" s="1"/>
  <c r="G55" s="1"/>
  <c r="G56" s="1"/>
  <c r="H38" i="344" s="1"/>
  <c r="H39" s="1"/>
  <c r="H40" s="1"/>
  <c r="H41" s="1"/>
  <c r="H42" s="1"/>
  <c r="H43" s="1"/>
  <c r="G497" i="347"/>
  <c r="G149"/>
  <c r="G167"/>
  <c r="G223"/>
  <c r="G225" s="1"/>
  <c r="F747"/>
  <c r="G747" s="1"/>
  <c r="G164"/>
  <c r="G380"/>
  <c r="G239"/>
  <c r="G459"/>
  <c r="G545"/>
  <c r="G739"/>
  <c r="G97"/>
  <c r="G577"/>
  <c r="G656"/>
  <c r="G76"/>
  <c r="G80" s="1"/>
  <c r="F312"/>
  <c r="G312" s="1"/>
  <c r="G722"/>
  <c r="G108"/>
  <c r="F125"/>
  <c r="F143" s="1"/>
  <c r="F160" s="1"/>
  <c r="F181" s="1"/>
  <c r="G413"/>
  <c r="G480"/>
  <c r="F240"/>
  <c r="F275" s="1"/>
  <c r="G276"/>
  <c r="G331"/>
  <c r="G673"/>
  <c r="G689"/>
  <c r="G364"/>
  <c r="H35" i="344"/>
  <c r="F274" i="347"/>
  <c r="G255"/>
  <c r="F105"/>
  <c r="G87"/>
  <c r="F186"/>
  <c r="G186" s="1"/>
  <c r="G429"/>
  <c r="F107"/>
  <c r="G396"/>
  <c r="F624"/>
  <c r="G624" s="1"/>
  <c r="G625" s="1"/>
  <c r="G163"/>
  <c r="G207"/>
  <c r="G38"/>
  <c r="G39" s="1"/>
  <c r="G42" s="1"/>
  <c r="G88"/>
  <c r="G113"/>
  <c r="G114" s="1"/>
  <c r="F128"/>
  <c r="G128" s="1"/>
  <c r="G132" s="1"/>
  <c r="F166"/>
  <c r="G166" s="1"/>
  <c r="G184"/>
  <c r="F189"/>
  <c r="G189" s="1"/>
  <c r="G348"/>
  <c r="G513"/>
  <c r="G529"/>
  <c r="F592"/>
  <c r="G592" s="1"/>
  <c r="G593" s="1"/>
  <c r="G609"/>
  <c r="F749"/>
  <c r="G749" s="1"/>
  <c r="G732"/>
  <c r="G706"/>
  <c r="F748"/>
  <c r="G748" s="1"/>
  <c r="G61" l="1"/>
  <c r="G63" s="1"/>
  <c r="G67" s="1"/>
  <c r="G68" s="1"/>
  <c r="G69" s="1"/>
  <c r="H44" i="344" s="1"/>
  <c r="G106" i="347"/>
  <c r="G125"/>
  <c r="G160"/>
  <c r="G143"/>
  <c r="G190"/>
  <c r="G191" s="1"/>
  <c r="G81"/>
  <c r="G82" s="1"/>
  <c r="H70" i="344" s="1"/>
  <c r="H74" s="1"/>
  <c r="G240" i="347"/>
  <c r="G241" s="1"/>
  <c r="G43"/>
  <c r="G44" s="1"/>
  <c r="H30" i="344" s="1"/>
  <c r="H31" s="1"/>
  <c r="H32" s="1"/>
  <c r="H33" s="1"/>
  <c r="H34" s="1"/>
  <c r="F122" i="347"/>
  <c r="G105"/>
  <c r="G123"/>
  <c r="F141"/>
  <c r="F292"/>
  <c r="G274"/>
  <c r="F202"/>
  <c r="G181"/>
  <c r="G169"/>
  <c r="G170" s="1"/>
  <c r="F124"/>
  <c r="G107"/>
  <c r="G91"/>
  <c r="G98" s="1"/>
  <c r="G256" l="1"/>
  <c r="G259" s="1"/>
  <c r="G99"/>
  <c r="G100" s="1"/>
  <c r="H48" i="344" s="1"/>
  <c r="H53" s="1"/>
  <c r="H58" s="1"/>
  <c r="H63" s="1"/>
  <c r="G124" i="347"/>
  <c r="F142"/>
  <c r="G202"/>
  <c r="F219"/>
  <c r="F140"/>
  <c r="G122"/>
  <c r="F310"/>
  <c r="G310" s="1"/>
  <c r="G292"/>
  <c r="F158"/>
  <c r="G141"/>
  <c r="G109"/>
  <c r="G115" s="1"/>
  <c r="F293" l="1"/>
  <c r="G275"/>
  <c r="G277" s="1"/>
  <c r="G116"/>
  <c r="G117" s="1"/>
  <c r="H71" i="344" s="1"/>
  <c r="H75" s="1"/>
  <c r="G140" i="347"/>
  <c r="F157"/>
  <c r="G142"/>
  <c r="F159"/>
  <c r="F236"/>
  <c r="G219"/>
  <c r="G158"/>
  <c r="F179"/>
  <c r="G126"/>
  <c r="G133" s="1"/>
  <c r="F311" l="1"/>
  <c r="G311" s="1"/>
  <c r="G313" s="1"/>
  <c r="G293"/>
  <c r="G295" s="1"/>
  <c r="G144"/>
  <c r="G150" s="1"/>
  <c r="G151" s="1"/>
  <c r="G152" s="1"/>
  <c r="H82" i="344" s="1"/>
  <c r="G179" i="347"/>
  <c r="F200"/>
  <c r="F252"/>
  <c r="G236"/>
  <c r="F178"/>
  <c r="G157"/>
  <c r="G159"/>
  <c r="F180"/>
  <c r="G134"/>
  <c r="G135" s="1"/>
  <c r="H49" i="344" s="1"/>
  <c r="H54" l="1"/>
  <c r="H59" s="1"/>
  <c r="H64" s="1"/>
  <c r="H80"/>
  <c r="H84" s="1"/>
  <c r="H88" s="1"/>
  <c r="H92" s="1"/>
  <c r="H96" s="1"/>
  <c r="F201" i="347"/>
  <c r="G180"/>
  <c r="G178"/>
  <c r="F199"/>
  <c r="G161"/>
  <c r="G171" s="1"/>
  <c r="G252"/>
  <c r="F270"/>
  <c r="F217"/>
  <c r="G200"/>
  <c r="G182" l="1"/>
  <c r="G192" s="1"/>
  <c r="G193" s="1"/>
  <c r="G194" s="1"/>
  <c r="H90" i="344" s="1"/>
  <c r="H94" s="1"/>
  <c r="G270" i="347"/>
  <c r="F288"/>
  <c r="G199"/>
  <c r="F216"/>
  <c r="F218"/>
  <c r="G201"/>
  <c r="F234"/>
  <c r="G217"/>
  <c r="G172"/>
  <c r="G173" s="1"/>
  <c r="H51" i="344" l="1"/>
  <c r="H56" s="1"/>
  <c r="H61" s="1"/>
  <c r="H66" s="1"/>
  <c r="H86"/>
  <c r="F233" i="347"/>
  <c r="G216"/>
  <c r="G234"/>
  <c r="F250"/>
  <c r="G203"/>
  <c r="G208" s="1"/>
  <c r="F235"/>
  <c r="G218"/>
  <c r="G288"/>
  <c r="F306"/>
  <c r="F268" l="1"/>
  <c r="G250"/>
  <c r="F249"/>
  <c r="G233"/>
  <c r="F324"/>
  <c r="G306"/>
  <c r="F251"/>
  <c r="G235"/>
  <c r="G209"/>
  <c r="G210" s="1"/>
  <c r="G211" s="1"/>
  <c r="H50" i="344" s="1"/>
  <c r="G220" i="347"/>
  <c r="G226" s="1"/>
  <c r="H55" i="344" l="1"/>
  <c r="H60" s="1"/>
  <c r="H65" s="1"/>
  <c r="H81"/>
  <c r="H85" s="1"/>
  <c r="H89" s="1"/>
  <c r="G237" i="347"/>
  <c r="G242" s="1"/>
  <c r="G243" s="1"/>
  <c r="G244" s="1"/>
  <c r="G251"/>
  <c r="F269"/>
  <c r="F286"/>
  <c r="G268"/>
  <c r="G249"/>
  <c r="F267"/>
  <c r="G227"/>
  <c r="G228" s="1"/>
  <c r="H101" i="344" s="1"/>
  <c r="H102" s="1"/>
  <c r="F342" i="347"/>
  <c r="G324"/>
  <c r="H103" i="344" l="1"/>
  <c r="H104" s="1"/>
  <c r="H72"/>
  <c r="H76" s="1"/>
  <c r="H93"/>
  <c r="H97"/>
  <c r="G253" i="347"/>
  <c r="G260" s="1"/>
  <c r="G261" s="1"/>
  <c r="G262" s="1"/>
  <c r="G342"/>
  <c r="F359"/>
  <c r="G267"/>
  <c r="F285"/>
  <c r="F304"/>
  <c r="G286"/>
  <c r="G269"/>
  <c r="F287"/>
  <c r="F375" l="1"/>
  <c r="G359"/>
  <c r="F303"/>
  <c r="G285"/>
  <c r="G287"/>
  <c r="F305"/>
  <c r="F322"/>
  <c r="G304"/>
  <c r="G271"/>
  <c r="G278" s="1"/>
  <c r="G289" l="1"/>
  <c r="G296" s="1"/>
  <c r="G297" s="1"/>
  <c r="G298" s="1"/>
  <c r="F340"/>
  <c r="G322"/>
  <c r="G303"/>
  <c r="F321"/>
  <c r="F391"/>
  <c r="G375"/>
  <c r="G279"/>
  <c r="G280" s="1"/>
  <c r="G305"/>
  <c r="F323"/>
  <c r="G307" l="1"/>
  <c r="G314" s="1"/>
  <c r="G315" s="1"/>
  <c r="G316" s="1"/>
  <c r="G391"/>
  <c r="F407"/>
  <c r="F339"/>
  <c r="G321"/>
  <c r="F357"/>
  <c r="G340"/>
  <c r="G323"/>
  <c r="F341"/>
  <c r="F358" l="1"/>
  <c r="G341"/>
  <c r="F373"/>
  <c r="G357"/>
  <c r="F424"/>
  <c r="G407"/>
  <c r="G325"/>
  <c r="G332" s="1"/>
  <c r="F356"/>
  <c r="G339"/>
  <c r="G343" l="1"/>
  <c r="G349" s="1"/>
  <c r="G350" s="1"/>
  <c r="G351" s="1"/>
  <c r="H113" i="344" s="1"/>
  <c r="G333" i="347"/>
  <c r="G334" s="1"/>
  <c r="H111" i="344" s="1"/>
  <c r="G358" i="347"/>
  <c r="F374"/>
  <c r="G373"/>
  <c r="F389"/>
  <c r="F372"/>
  <c r="G356"/>
  <c r="F453"/>
  <c r="F438"/>
  <c r="G438" s="1"/>
  <c r="G424"/>
  <c r="G360" l="1"/>
  <c r="G365" s="1"/>
  <c r="G366" s="1"/>
  <c r="G367" s="1"/>
  <c r="H114" i="344" s="1"/>
  <c r="F390" i="347"/>
  <c r="G374"/>
  <c r="F388"/>
  <c r="G372"/>
  <c r="F470"/>
  <c r="G453"/>
  <c r="F405"/>
  <c r="G389"/>
  <c r="F422" l="1"/>
  <c r="G405"/>
  <c r="G470"/>
  <c r="F491"/>
  <c r="G376"/>
  <c r="G381" s="1"/>
  <c r="F406"/>
  <c r="G390"/>
  <c r="G388"/>
  <c r="F404"/>
  <c r="G491" l="1"/>
  <c r="F508"/>
  <c r="G422"/>
  <c r="F451"/>
  <c r="G404"/>
  <c r="F421"/>
  <c r="F423"/>
  <c r="G406"/>
  <c r="G392"/>
  <c r="G397" s="1"/>
  <c r="G382"/>
  <c r="G383" s="1"/>
  <c r="H112" i="344" s="1"/>
  <c r="F452" i="347" l="1"/>
  <c r="G423"/>
  <c r="G451"/>
  <c r="F468"/>
  <c r="G398"/>
  <c r="G399" s="1"/>
  <c r="F450"/>
  <c r="G421"/>
  <c r="F437"/>
  <c r="G437" s="1"/>
  <c r="G439" s="1"/>
  <c r="G443" s="1"/>
  <c r="G408"/>
  <c r="G414" s="1"/>
  <c r="F524"/>
  <c r="G508"/>
  <c r="G425" l="1"/>
  <c r="G430" s="1"/>
  <c r="G431" s="1"/>
  <c r="G432" s="1"/>
  <c r="G444"/>
  <c r="G445" s="1"/>
  <c r="G415"/>
  <c r="G416" s="1"/>
  <c r="F467"/>
  <c r="G450"/>
  <c r="G468"/>
  <c r="F489"/>
  <c r="F469"/>
  <c r="G452"/>
  <c r="F540"/>
  <c r="G524"/>
  <c r="F490" l="1"/>
  <c r="G469"/>
  <c r="G454"/>
  <c r="G460" s="1"/>
  <c r="F556"/>
  <c r="G540"/>
  <c r="F506"/>
  <c r="G489"/>
  <c r="G467"/>
  <c r="G471" s="1"/>
  <c r="G481" s="1"/>
  <c r="F488"/>
  <c r="G461" l="1"/>
  <c r="G462" s="1"/>
  <c r="H117" i="344" s="1"/>
  <c r="H118" s="1"/>
  <c r="F572" i="347"/>
  <c r="G556"/>
  <c r="F507"/>
  <c r="G490"/>
  <c r="G488"/>
  <c r="F505"/>
  <c r="G506"/>
  <c r="F522"/>
  <c r="G482"/>
  <c r="G483" s="1"/>
  <c r="H119" i="344" s="1"/>
  <c r="H120" s="1"/>
  <c r="G492" i="347" l="1"/>
  <c r="G498" s="1"/>
  <c r="G499" s="1"/>
  <c r="G500" s="1"/>
  <c r="H123" i="344" s="1"/>
  <c r="F538" i="347"/>
  <c r="G522"/>
  <c r="F588"/>
  <c r="G572"/>
  <c r="F521"/>
  <c r="G505"/>
  <c r="G507"/>
  <c r="F523"/>
  <c r="F554" l="1"/>
  <c r="G538"/>
  <c r="G523"/>
  <c r="F539"/>
  <c r="G521"/>
  <c r="F537"/>
  <c r="G509"/>
  <c r="G514" s="1"/>
  <c r="F604"/>
  <c r="G588"/>
  <c r="G515" l="1"/>
  <c r="G516" s="1"/>
  <c r="H124" i="344" s="1"/>
  <c r="F555" i="347"/>
  <c r="G539"/>
  <c r="G554"/>
  <c r="F570"/>
  <c r="G537"/>
  <c r="F553"/>
  <c r="F620"/>
  <c r="G604"/>
  <c r="G605" s="1"/>
  <c r="G610" s="1"/>
  <c r="G525"/>
  <c r="G530" s="1"/>
  <c r="G541" l="1"/>
  <c r="G546" s="1"/>
  <c r="G611"/>
  <c r="G612" s="1"/>
  <c r="G620"/>
  <c r="G621" s="1"/>
  <c r="G626" s="1"/>
  <c r="F636"/>
  <c r="F586"/>
  <c r="G586" s="1"/>
  <c r="G570"/>
  <c r="F571"/>
  <c r="G555"/>
  <c r="G547"/>
  <c r="G548" s="1"/>
  <c r="H125" i="344" s="1"/>
  <c r="G531" i="347"/>
  <c r="G532" s="1"/>
  <c r="F569"/>
  <c r="G553"/>
  <c r="G557" l="1"/>
  <c r="G562" s="1"/>
  <c r="G563" s="1"/>
  <c r="G564" s="1"/>
  <c r="H126" i="344" s="1"/>
  <c r="F585" i="347"/>
  <c r="G585" s="1"/>
  <c r="G569"/>
  <c r="G627"/>
  <c r="G628" s="1"/>
  <c r="F587"/>
  <c r="G587" s="1"/>
  <c r="G571"/>
  <c r="F651"/>
  <c r="G636"/>
  <c r="G637" s="1"/>
  <c r="G641" s="1"/>
  <c r="G589" l="1"/>
  <c r="G594" s="1"/>
  <c r="G595" s="1"/>
  <c r="G596" s="1"/>
  <c r="F667"/>
  <c r="G651"/>
  <c r="G652" s="1"/>
  <c r="G657" s="1"/>
  <c r="G642"/>
  <c r="G643" s="1"/>
  <c r="G573"/>
  <c r="G578" s="1"/>
  <c r="G579" l="1"/>
  <c r="G580" s="1"/>
  <c r="H127" i="344" s="1"/>
  <c r="F684" i="347"/>
  <c r="G667"/>
  <c r="G668" s="1"/>
  <c r="G674" s="1"/>
  <c r="G658"/>
  <c r="G659" s="1"/>
  <c r="F700" l="1"/>
  <c r="G684"/>
  <c r="G685" s="1"/>
  <c r="G690" s="1"/>
  <c r="G675"/>
  <c r="G676" s="1"/>
  <c r="G691" l="1"/>
  <c r="G692" s="1"/>
  <c r="G700"/>
  <c r="G701" s="1"/>
  <c r="G707" s="1"/>
  <c r="F717"/>
  <c r="G708" l="1"/>
  <c r="G709" s="1"/>
  <c r="F733"/>
  <c r="G717"/>
  <c r="G718" s="1"/>
  <c r="G723" s="1"/>
  <c r="G724" l="1"/>
  <c r="G725" s="1"/>
  <c r="F750"/>
  <c r="G750" s="1"/>
  <c r="G751" s="1"/>
  <c r="G755" s="1"/>
  <c r="G733"/>
  <c r="G734" s="1"/>
  <c r="G740" s="1"/>
  <c r="G756" l="1"/>
  <c r="G757" s="1"/>
  <c r="G741"/>
  <c r="G742" s="1"/>
  <c r="H98" i="344" l="1"/>
  <c r="I98" s="1"/>
  <c r="M40" i="346"/>
  <c r="B12"/>
  <c r="B11"/>
  <c r="B13" i="344"/>
  <c r="A13"/>
  <c r="A12" i="346" s="1"/>
  <c r="B12" i="344"/>
  <c r="A12"/>
  <c r="G130"/>
  <c r="F130"/>
  <c r="I130" s="1"/>
  <c r="I131" s="1"/>
  <c r="G37" i="346" s="1"/>
  <c r="G127" i="344"/>
  <c r="G126"/>
  <c r="G125"/>
  <c r="G124"/>
  <c r="G123"/>
  <c r="F127"/>
  <c r="I127" s="1"/>
  <c r="F126"/>
  <c r="I126" s="1"/>
  <c r="F125"/>
  <c r="I125" s="1"/>
  <c r="F124"/>
  <c r="I124" s="1"/>
  <c r="F123"/>
  <c r="I123" s="1"/>
  <c r="G120"/>
  <c r="G119"/>
  <c r="G118"/>
  <c r="G117"/>
  <c r="F120"/>
  <c r="I120" s="1"/>
  <c r="F119"/>
  <c r="I119" s="1"/>
  <c r="F118"/>
  <c r="I118" s="1"/>
  <c r="F117"/>
  <c r="I117" s="1"/>
  <c r="G114"/>
  <c r="G113"/>
  <c r="G112"/>
  <c r="G111"/>
  <c r="G108"/>
  <c r="G107"/>
  <c r="F114"/>
  <c r="I114" s="1"/>
  <c r="F113"/>
  <c r="I113" s="1"/>
  <c r="F112"/>
  <c r="I112" s="1"/>
  <c r="F111"/>
  <c r="I111" s="1"/>
  <c r="F108"/>
  <c r="I108" s="1"/>
  <c r="F107"/>
  <c r="I107" s="1"/>
  <c r="G104"/>
  <c r="G103"/>
  <c r="G102"/>
  <c r="G101"/>
  <c r="F104"/>
  <c r="I104" s="1"/>
  <c r="F103"/>
  <c r="I103" s="1"/>
  <c r="F102"/>
  <c r="I102" s="1"/>
  <c r="F101"/>
  <c r="I101" s="1"/>
  <c r="G97"/>
  <c r="G96"/>
  <c r="G94"/>
  <c r="G93"/>
  <c r="G92"/>
  <c r="G90"/>
  <c r="G89"/>
  <c r="G88"/>
  <c r="G86"/>
  <c r="G85"/>
  <c r="G84"/>
  <c r="G82"/>
  <c r="G81"/>
  <c r="G80"/>
  <c r="F94"/>
  <c r="I94" s="1"/>
  <c r="F93"/>
  <c r="I93" s="1"/>
  <c r="F92"/>
  <c r="I92" s="1"/>
  <c r="F90"/>
  <c r="I90" s="1"/>
  <c r="F89"/>
  <c r="I89" s="1"/>
  <c r="F88"/>
  <c r="I88" s="1"/>
  <c r="F86"/>
  <c r="I86" s="1"/>
  <c r="F85"/>
  <c r="I85" s="1"/>
  <c r="F84"/>
  <c r="I84" s="1"/>
  <c r="F82"/>
  <c r="I82" s="1"/>
  <c r="F81"/>
  <c r="I81" s="1"/>
  <c r="F80"/>
  <c r="I80" s="1"/>
  <c r="G76"/>
  <c r="G75"/>
  <c r="G74"/>
  <c r="G72"/>
  <c r="G71"/>
  <c r="G70"/>
  <c r="F76"/>
  <c r="I76" s="1"/>
  <c r="F75"/>
  <c r="I75" s="1"/>
  <c r="F74"/>
  <c r="I74" s="1"/>
  <c r="F70"/>
  <c r="I70" s="1"/>
  <c r="G66"/>
  <c r="G65"/>
  <c r="G64"/>
  <c r="G63"/>
  <c r="F66"/>
  <c r="I66" s="1"/>
  <c r="F65"/>
  <c r="I65" s="1"/>
  <c r="F64"/>
  <c r="I64" s="1"/>
  <c r="F63"/>
  <c r="I63" s="1"/>
  <c r="G61"/>
  <c r="G60"/>
  <c r="G59"/>
  <c r="G58"/>
  <c r="F61"/>
  <c r="I61" s="1"/>
  <c r="F60"/>
  <c r="I60" s="1"/>
  <c r="F59"/>
  <c r="I59" s="1"/>
  <c r="F58"/>
  <c r="I58" s="1"/>
  <c r="G56"/>
  <c r="G55"/>
  <c r="G54"/>
  <c r="G53"/>
  <c r="F56"/>
  <c r="I56" s="1"/>
  <c r="F55"/>
  <c r="I55" s="1"/>
  <c r="F54"/>
  <c r="I54" s="1"/>
  <c r="F53"/>
  <c r="I53" s="1"/>
  <c r="G51"/>
  <c r="G50"/>
  <c r="G49"/>
  <c r="G48"/>
  <c r="F51"/>
  <c r="I51" s="1"/>
  <c r="F50"/>
  <c r="I50" s="1"/>
  <c r="F49"/>
  <c r="I49" s="1"/>
  <c r="F48"/>
  <c r="I48" s="1"/>
  <c r="G44"/>
  <c r="G43"/>
  <c r="G42"/>
  <c r="G41"/>
  <c r="G40"/>
  <c r="G39"/>
  <c r="G38"/>
  <c r="F44"/>
  <c r="I44" s="1"/>
  <c r="F43"/>
  <c r="I43" s="1"/>
  <c r="F42"/>
  <c r="I42" s="1"/>
  <c r="F41"/>
  <c r="I41" s="1"/>
  <c r="F40"/>
  <c r="I40" s="1"/>
  <c r="F39"/>
  <c r="I39" s="1"/>
  <c r="F38"/>
  <c r="I38" s="1"/>
  <c r="G35"/>
  <c r="G34"/>
  <c r="G33"/>
  <c r="G32"/>
  <c r="F35"/>
  <c r="I35" s="1"/>
  <c r="F34"/>
  <c r="I34" s="1"/>
  <c r="F33"/>
  <c r="I33" s="1"/>
  <c r="F32"/>
  <c r="I32" s="1"/>
  <c r="G31"/>
  <c r="F31"/>
  <c r="I31" s="1"/>
  <c r="G30"/>
  <c r="F30"/>
  <c r="I30" s="1"/>
  <c r="G25"/>
  <c r="G24"/>
  <c r="G23"/>
  <c r="F25"/>
  <c r="I25" s="1"/>
  <c r="F24"/>
  <c r="I24" s="1"/>
  <c r="F23"/>
  <c r="I23" s="1"/>
  <c r="F343" i="345"/>
  <c r="I343" s="1"/>
  <c r="I342"/>
  <c r="F342"/>
  <c r="F341"/>
  <c r="I341" s="1"/>
  <c r="I344" s="1"/>
  <c r="I346" s="1"/>
  <c r="F335"/>
  <c r="I335" s="1"/>
  <c r="F334"/>
  <c r="I334" s="1"/>
  <c r="F333"/>
  <c r="I333" s="1"/>
  <c r="I336" s="1"/>
  <c r="I338" s="1"/>
  <c r="I325"/>
  <c r="I324"/>
  <c r="I326" s="1"/>
  <c r="I321"/>
  <c r="I320"/>
  <c r="I314"/>
  <c r="I313"/>
  <c r="E311"/>
  <c r="I311" s="1"/>
  <c r="I304"/>
  <c r="I303"/>
  <c r="I289"/>
  <c r="I288"/>
  <c r="F285"/>
  <c r="I285" s="1"/>
  <c r="F284"/>
  <c r="I284" s="1"/>
  <c r="I281"/>
  <c r="I280"/>
  <c r="I279"/>
  <c r="I278"/>
  <c r="E274"/>
  <c r="I274" s="1"/>
  <c r="I275" s="1"/>
  <c r="F97" i="344" s="1"/>
  <c r="I97" s="1"/>
  <c r="I272" i="345"/>
  <c r="F96" i="344" s="1"/>
  <c r="I96" s="1"/>
  <c r="F265" i="345"/>
  <c r="I265" s="1"/>
  <c r="F264"/>
  <c r="I264" s="1"/>
  <c r="F263"/>
  <c r="I263" s="1"/>
  <c r="F262"/>
  <c r="I262" s="1"/>
  <c r="F261"/>
  <c r="I261" s="1"/>
  <c r="F260"/>
  <c r="I260" s="1"/>
  <c r="H253"/>
  <c r="H254"/>
  <c r="E253"/>
  <c r="H250"/>
  <c r="H251"/>
  <c r="E250"/>
  <c r="H247"/>
  <c r="H248"/>
  <c r="E247"/>
  <c r="H244"/>
  <c r="H245"/>
  <c r="E244"/>
  <c r="H241"/>
  <c r="H242"/>
  <c r="E241"/>
  <c r="H238"/>
  <c r="E238"/>
  <c r="H239"/>
  <c r="H218"/>
  <c r="H233"/>
  <c r="E233"/>
  <c r="H234"/>
  <c r="H230"/>
  <c r="E230"/>
  <c r="H231"/>
  <c r="H227"/>
  <c r="E227"/>
  <c r="H228"/>
  <c r="H224"/>
  <c r="E224"/>
  <c r="H225"/>
  <c r="H221"/>
  <c r="E221"/>
  <c r="E218"/>
  <c r="I218" s="1"/>
  <c r="H222"/>
  <c r="H219"/>
  <c r="I215"/>
  <c r="I214"/>
  <c r="I213"/>
  <c r="I212"/>
  <c r="I211"/>
  <c r="I210"/>
  <c r="F206"/>
  <c r="I206" s="1"/>
  <c r="F205"/>
  <c r="I205" s="1"/>
  <c r="H195"/>
  <c r="H198"/>
  <c r="E198"/>
  <c r="E195"/>
  <c r="H199"/>
  <c r="H196"/>
  <c r="I195"/>
  <c r="H191"/>
  <c r="H190"/>
  <c r="E190"/>
  <c r="H188"/>
  <c r="H187"/>
  <c r="E187"/>
  <c r="I184"/>
  <c r="I183"/>
  <c r="F180"/>
  <c r="E180"/>
  <c r="E175"/>
  <c r="H176"/>
  <c r="H172"/>
  <c r="H180" s="1"/>
  <c r="E172"/>
  <c r="H173"/>
  <c r="I170"/>
  <c r="I36" i="344" l="1"/>
  <c r="G17" i="346" s="1"/>
  <c r="I99" i="344"/>
  <c r="G25" i="346" s="1"/>
  <c r="I26" i="344"/>
  <c r="G14" i="346" s="1"/>
  <c r="I128" i="344"/>
  <c r="G35" i="346" s="1"/>
  <c r="I115" i="344"/>
  <c r="G31" i="346" s="1"/>
  <c r="I105" i="344"/>
  <c r="G27" i="346" s="1"/>
  <c r="I45" i="344"/>
  <c r="G19" i="346" s="1"/>
  <c r="I121" i="344"/>
  <c r="G33" i="346" s="1"/>
  <c r="I109" i="344"/>
  <c r="G29" i="346" s="1"/>
  <c r="I67" i="344"/>
  <c r="G21" i="346" s="1"/>
  <c r="I305" i="345"/>
  <c r="I307" s="1"/>
  <c r="I290"/>
  <c r="I322"/>
  <c r="I328" s="1"/>
  <c r="E315"/>
  <c r="I221"/>
  <c r="I286"/>
  <c r="I282"/>
  <c r="I295" s="1"/>
  <c r="I222"/>
  <c r="I172"/>
  <c r="I173" s="1"/>
  <c r="I216"/>
  <c r="I219"/>
  <c r="I238"/>
  <c r="I239" s="1"/>
  <c r="I241"/>
  <c r="I242" s="1"/>
  <c r="I244"/>
  <c r="I245" s="1"/>
  <c r="I266"/>
  <c r="I253"/>
  <c r="I254" s="1"/>
  <c r="I250"/>
  <c r="I251" s="1"/>
  <c r="I247"/>
  <c r="I248" s="1"/>
  <c r="I233"/>
  <c r="I234" s="1"/>
  <c r="I230"/>
  <c r="I231" s="1"/>
  <c r="I227"/>
  <c r="I228" s="1"/>
  <c r="I224"/>
  <c r="I225" s="1"/>
  <c r="I187"/>
  <c r="I196"/>
  <c r="I207"/>
  <c r="I188"/>
  <c r="H175"/>
  <c r="I175" s="1"/>
  <c r="I176" s="1"/>
  <c r="I178" s="1"/>
  <c r="I190"/>
  <c r="I191" s="1"/>
  <c r="I198"/>
  <c r="I199" s="1"/>
  <c r="I185"/>
  <c r="I180"/>
  <c r="F166"/>
  <c r="I166" s="1"/>
  <c r="F165"/>
  <c r="I165" s="1"/>
  <c r="H158"/>
  <c r="H159"/>
  <c r="E158"/>
  <c r="H155"/>
  <c r="E155"/>
  <c r="H156"/>
  <c r="H150"/>
  <c r="H151"/>
  <c r="E150"/>
  <c r="H148"/>
  <c r="H147"/>
  <c r="E147"/>
  <c r="I144"/>
  <c r="I143"/>
  <c r="F137"/>
  <c r="H134"/>
  <c r="H137" s="1"/>
  <c r="H139" s="1"/>
  <c r="E134"/>
  <c r="F134"/>
  <c r="F129"/>
  <c r="F139" s="1"/>
  <c r="F125"/>
  <c r="F126"/>
  <c r="F122"/>
  <c r="E122"/>
  <c r="F121"/>
  <c r="H113"/>
  <c r="E112"/>
  <c r="H110"/>
  <c r="E108"/>
  <c r="E107"/>
  <c r="H101"/>
  <c r="I101" s="1"/>
  <c r="E93"/>
  <c r="H94"/>
  <c r="H91"/>
  <c r="E89"/>
  <c r="E88"/>
  <c r="H82"/>
  <c r="I82" s="1"/>
  <c r="H79"/>
  <c r="I79" s="1"/>
  <c r="H75"/>
  <c r="H74"/>
  <c r="E74"/>
  <c r="H72"/>
  <c r="H70"/>
  <c r="E70"/>
  <c r="H69"/>
  <c r="E69"/>
  <c r="H51"/>
  <c r="H50"/>
  <c r="H66"/>
  <c r="I66" s="1"/>
  <c r="H65"/>
  <c r="I65" s="1"/>
  <c r="I63"/>
  <c r="H60"/>
  <c r="I60" s="1"/>
  <c r="H56"/>
  <c r="H55"/>
  <c r="E55"/>
  <c r="I292" l="1"/>
  <c r="I296" s="1"/>
  <c r="I331" s="1"/>
  <c r="I315"/>
  <c r="E316"/>
  <c r="I316" s="1"/>
  <c r="I256"/>
  <c r="I236"/>
  <c r="I155"/>
  <c r="I156" s="1"/>
  <c r="I201"/>
  <c r="I150"/>
  <c r="I151" s="1"/>
  <c r="I193"/>
  <c r="I147"/>
  <c r="I148" s="1"/>
  <c r="I134"/>
  <c r="I135" s="1"/>
  <c r="I145"/>
  <c r="I158"/>
  <c r="I159" s="1"/>
  <c r="I167"/>
  <c r="F130"/>
  <c r="E137"/>
  <c r="E139" s="1"/>
  <c r="I139" s="1"/>
  <c r="H117"/>
  <c r="I117" s="1"/>
  <c r="H107"/>
  <c r="I107" s="1"/>
  <c r="I122"/>
  <c r="H108"/>
  <c r="I108" s="1"/>
  <c r="E126"/>
  <c r="H112"/>
  <c r="I112" s="1"/>
  <c r="I113" s="1"/>
  <c r="H103"/>
  <c r="I103" s="1"/>
  <c r="H85"/>
  <c r="I85" s="1"/>
  <c r="H89"/>
  <c r="H104"/>
  <c r="I104" s="1"/>
  <c r="H98"/>
  <c r="I98" s="1"/>
  <c r="I69"/>
  <c r="H93"/>
  <c r="I93" s="1"/>
  <c r="I94" s="1"/>
  <c r="H88"/>
  <c r="I88" s="1"/>
  <c r="I89"/>
  <c r="H84"/>
  <c r="I84" s="1"/>
  <c r="I70"/>
  <c r="I74"/>
  <c r="I75" s="1"/>
  <c r="I55"/>
  <c r="I56" s="1"/>
  <c r="I67"/>
  <c r="I317" l="1"/>
  <c r="I161"/>
  <c r="I258"/>
  <c r="I203"/>
  <c r="I137"/>
  <c r="I153"/>
  <c r="I126"/>
  <c r="E130"/>
  <c r="I130" s="1"/>
  <c r="I109"/>
  <c r="I110" s="1"/>
  <c r="I115" s="1"/>
  <c r="I86"/>
  <c r="I105"/>
  <c r="I71"/>
  <c r="I72" s="1"/>
  <c r="I77" s="1"/>
  <c r="I90"/>
  <c r="I91" s="1"/>
  <c r="I96" s="1"/>
  <c r="I163" l="1"/>
  <c r="H53"/>
  <c r="E51"/>
  <c r="E50"/>
  <c r="I47"/>
  <c r="I46"/>
  <c r="I44"/>
  <c r="G39"/>
  <c r="F29"/>
  <c r="I29" s="1"/>
  <c r="I37" s="1"/>
  <c r="F26"/>
  <c r="I26" s="1"/>
  <c r="F25"/>
  <c r="E25"/>
  <c r="E121" s="1"/>
  <c r="F23"/>
  <c r="E23"/>
  <c r="E21"/>
  <c r="F21"/>
  <c r="F19"/>
  <c r="E19"/>
  <c r="F17"/>
  <c r="E17"/>
  <c r="B130" i="344"/>
  <c r="A130"/>
  <c r="B129"/>
  <c r="B37" i="346" s="1"/>
  <c r="A129" i="344"/>
  <c r="A37" i="346" s="1"/>
  <c r="B127" i="344"/>
  <c r="B126"/>
  <c r="B125"/>
  <c r="B124"/>
  <c r="B123"/>
  <c r="A123"/>
  <c r="B122"/>
  <c r="B35" i="346" s="1"/>
  <c r="A122" i="344"/>
  <c r="A35" i="346" s="1"/>
  <c r="B120" i="344"/>
  <c r="B119"/>
  <c r="B118"/>
  <c r="B117"/>
  <c r="A117"/>
  <c r="B116"/>
  <c r="B33" i="346" s="1"/>
  <c r="A116" i="344"/>
  <c r="A33" i="346" s="1"/>
  <c r="B114" i="344"/>
  <c r="B113"/>
  <c r="B112"/>
  <c r="B111"/>
  <c r="A111"/>
  <c r="B110"/>
  <c r="B31" i="346" s="1"/>
  <c r="A110" i="344"/>
  <c r="A31" i="346" s="1"/>
  <c r="B108" i="344"/>
  <c r="B107"/>
  <c r="A107"/>
  <c r="B106"/>
  <c r="B29" i="346" s="1"/>
  <c r="A106" i="344"/>
  <c r="A29" i="346" s="1"/>
  <c r="B104" i="344"/>
  <c r="B103"/>
  <c r="B102"/>
  <c r="B101"/>
  <c r="A101"/>
  <c r="B100"/>
  <c r="B27" i="346" s="1"/>
  <c r="A100" i="344"/>
  <c r="A27" i="346" s="1"/>
  <c r="B97" i="344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A79"/>
  <c r="B78"/>
  <c r="B25" i="346" s="1"/>
  <c r="A78" i="344"/>
  <c r="A25" i="346" s="1"/>
  <c r="B76" i="344"/>
  <c r="B75"/>
  <c r="B74"/>
  <c r="B73"/>
  <c r="A73"/>
  <c r="B72"/>
  <c r="B71"/>
  <c r="B70"/>
  <c r="B69"/>
  <c r="A69"/>
  <c r="B68"/>
  <c r="B23" i="346" s="1"/>
  <c r="A68" i="344"/>
  <c r="A23" i="346" s="1"/>
  <c r="B66" i="344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A47"/>
  <c r="B46"/>
  <c r="B21" i="346" s="1"/>
  <c r="A46" i="344"/>
  <c r="A21" i="346" s="1"/>
  <c r="B44" i="344"/>
  <c r="B43"/>
  <c r="B42"/>
  <c r="B41"/>
  <c r="B40"/>
  <c r="B39"/>
  <c r="B38"/>
  <c r="A38"/>
  <c r="B37"/>
  <c r="B19" i="346" s="1"/>
  <c r="A37" i="344"/>
  <c r="A19" i="346" s="1"/>
  <c r="B35" i="344"/>
  <c r="B34"/>
  <c r="B33"/>
  <c r="B32"/>
  <c r="B31"/>
  <c r="B30"/>
  <c r="B28"/>
  <c r="B17" i="346" s="1"/>
  <c r="A28" i="344"/>
  <c r="A17" i="346" s="1"/>
  <c r="B27" i="344"/>
  <c r="B16" i="346" s="1"/>
  <c r="A27" i="344"/>
  <c r="A16" i="346" s="1"/>
  <c r="B25" i="344"/>
  <c r="B24"/>
  <c r="B23"/>
  <c r="A23"/>
  <c r="A350" i="345"/>
  <c r="A124" i="344" s="1"/>
  <c r="A331" i="345"/>
  <c r="A333" s="1"/>
  <c r="A307"/>
  <c r="A311" s="1"/>
  <c r="A113" i="344" s="1"/>
  <c r="A300" i="345"/>
  <c r="A284"/>
  <c r="A295" s="1"/>
  <c r="A296" s="1"/>
  <c r="A104" i="344" s="1"/>
  <c r="I121" i="345" l="1"/>
  <c r="I123" s="1"/>
  <c r="I48"/>
  <c r="I50"/>
  <c r="I51"/>
  <c r="I25"/>
  <c r="I27" s="1"/>
  <c r="I36" s="1"/>
  <c r="I21"/>
  <c r="I34" s="1"/>
  <c r="I23"/>
  <c r="I35" s="1"/>
  <c r="I19"/>
  <c r="I33" s="1"/>
  <c r="A313"/>
  <c r="A114" i="344" s="1"/>
  <c r="I17" i="345"/>
  <c r="I32" s="1"/>
  <c r="A108" i="344"/>
  <c r="A118"/>
  <c r="A341" i="345"/>
  <c r="A120" i="344" s="1"/>
  <c r="A119"/>
  <c r="A351" i="345"/>
  <c r="A103" i="344"/>
  <c r="A102"/>
  <c r="A112"/>
  <c r="A169" i="345"/>
  <c r="A62"/>
  <c r="A19"/>
  <c r="A11"/>
  <c r="I77" i="340"/>
  <c r="I125" i="345" l="1"/>
  <c r="I127" s="1"/>
  <c r="F71" i="344" s="1"/>
  <c r="I71" s="1"/>
  <c r="E129" i="345"/>
  <c r="I129" s="1"/>
  <c r="I131" s="1"/>
  <c r="F72" i="344" s="1"/>
  <c r="I72" s="1"/>
  <c r="I52" i="345"/>
  <c r="I53" s="1"/>
  <c r="I58" s="1"/>
  <c r="A12"/>
  <c r="A25" i="344" s="1"/>
  <c r="A24"/>
  <c r="A21" i="345"/>
  <c r="A352"/>
  <c r="A125" i="344"/>
  <c r="A81" i="345"/>
  <c r="A52" i="344"/>
  <c r="A182" i="345"/>
  <c r="A83" i="344"/>
  <c r="I11" i="345"/>
  <c r="I77" i="344" l="1"/>
  <c r="G23" i="346" s="1"/>
  <c r="A13" i="345"/>
  <c r="A209"/>
  <c r="A87" i="344"/>
  <c r="A23" i="345"/>
  <c r="A126" i="344"/>
  <c r="A353" i="345"/>
  <c r="A127" i="344" s="1"/>
  <c r="A100" i="345"/>
  <c r="A62" i="344" s="1"/>
  <c r="A57"/>
  <c r="A25" i="345" l="1"/>
  <c r="A271"/>
  <c r="A95" i="344" s="1"/>
  <c r="A91"/>
  <c r="I10" i="345"/>
  <c r="A6"/>
  <c r="A29" l="1"/>
  <c r="A7"/>
  <c r="A20" i="344" s="1"/>
  <c r="A15"/>
  <c r="A33" i="345" l="1"/>
  <c r="A34" l="1"/>
  <c r="A39" i="344"/>
  <c r="A35" i="345" l="1"/>
  <c r="A40" i="344"/>
  <c r="A36" i="345" l="1"/>
  <c r="A41" i="344"/>
  <c r="A37" i="345" l="1"/>
  <c r="A42" i="344"/>
  <c r="A39" i="345" l="1"/>
  <c r="A44" i="344" s="1"/>
  <c r="A43"/>
  <c r="I20"/>
  <c r="I14"/>
  <c r="B22"/>
  <c r="B14" i="346" s="1"/>
  <c r="A22" i="344"/>
  <c r="A14" i="346" s="1"/>
  <c r="B20" i="344"/>
  <c r="B14"/>
  <c r="A14"/>
  <c r="A11" i="346"/>
  <c r="I21" i="344" l="1"/>
  <c r="G12" i="346" s="1"/>
  <c r="G40" s="1"/>
  <c r="F3971" i="16" l="1"/>
  <c r="G3971" s="1"/>
  <c r="F3973"/>
  <c r="G3973" s="1"/>
  <c r="F3972"/>
  <c r="G3972" s="1"/>
  <c r="F3968"/>
  <c r="G3968" s="1"/>
  <c r="F3967"/>
  <c r="G3967" s="1"/>
  <c r="F3966"/>
  <c r="G3966" s="1"/>
  <c r="F3965"/>
  <c r="G3965" s="1"/>
  <c r="E3775"/>
  <c r="E3758"/>
  <c r="G3969" l="1"/>
  <c r="G3975" s="1"/>
  <c r="G3976" s="1"/>
  <c r="G3977" s="1"/>
  <c r="G3974"/>
  <c r="E3777"/>
  <c r="F3777"/>
  <c r="F3776"/>
  <c r="E3776"/>
  <c r="F3772"/>
  <c r="G3772" s="1"/>
  <c r="F3771"/>
  <c r="G3771" s="1"/>
  <c r="F3770"/>
  <c r="G3770" s="1"/>
  <c r="F3769"/>
  <c r="G3769" s="1"/>
  <c r="F3759"/>
  <c r="G3759" s="1"/>
  <c r="F3760"/>
  <c r="G3760" s="1"/>
  <c r="F3755"/>
  <c r="G3755" s="1"/>
  <c r="F3754"/>
  <c r="G3754" s="1"/>
  <c r="F3753"/>
  <c r="G3753" s="1"/>
  <c r="F3752"/>
  <c r="G3752" s="1"/>
  <c r="I75" i="340"/>
  <c r="I72"/>
  <c r="I70"/>
  <c r="I57"/>
  <c r="I55"/>
  <c r="G3756" i="16" l="1"/>
  <c r="G3777"/>
  <c r="G3773"/>
  <c r="G3776"/>
  <c r="K341" i="340" l="1"/>
  <c r="K340"/>
  <c r="K339"/>
  <c r="C182" i="339" l="1"/>
  <c r="B182"/>
  <c r="F4874" i="16" l="1"/>
  <c r="F4873"/>
  <c r="F4872"/>
  <c r="F4871"/>
  <c r="F3703"/>
  <c r="F106" l="1"/>
  <c r="G41" i="346" l="1"/>
  <c r="F8144" i="16"/>
  <c r="F8143"/>
  <c r="F8142"/>
  <c r="F8141"/>
  <c r="F8126"/>
  <c r="F8125"/>
  <c r="F8124"/>
  <c r="F8123"/>
  <c r="F8108"/>
  <c r="F8107"/>
  <c r="F8106"/>
  <c r="F8105"/>
  <c r="F8090"/>
  <c r="F8089"/>
  <c r="F8088"/>
  <c r="F8087"/>
  <c r="F8069"/>
  <c r="F8068"/>
  <c r="F8067"/>
  <c r="F8066"/>
  <c r="F8048"/>
  <c r="F8047"/>
  <c r="F8046"/>
  <c r="F8045"/>
  <c r="F8033"/>
  <c r="F8014"/>
  <c r="F8013"/>
  <c r="F8012"/>
  <c r="F8011"/>
  <c r="F7993"/>
  <c r="F7992"/>
  <c r="C77" i="339" l="1"/>
  <c r="B77"/>
  <c r="C75"/>
  <c r="B75"/>
  <c r="F1140" i="16"/>
  <c r="G1140" s="1"/>
  <c r="F1139"/>
  <c r="G1139" s="1"/>
  <c r="F1137"/>
  <c r="G1137" s="1"/>
  <c r="F1136"/>
  <c r="G1136" s="1"/>
  <c r="F1135"/>
  <c r="G1135" s="1"/>
  <c r="F1132"/>
  <c r="G1132" s="1"/>
  <c r="F1131"/>
  <c r="G1131" s="1"/>
  <c r="F1130"/>
  <c r="G1130" s="1"/>
  <c r="F1129"/>
  <c r="G1129" s="1"/>
  <c r="F1099"/>
  <c r="G1099" s="1"/>
  <c r="F1098"/>
  <c r="G1098" s="1"/>
  <c r="F1096"/>
  <c r="G1096" s="1"/>
  <c r="F1095"/>
  <c r="G1095" s="1"/>
  <c r="F1094"/>
  <c r="G1094" s="1"/>
  <c r="F1091"/>
  <c r="G1091" s="1"/>
  <c r="F1090"/>
  <c r="G1090" s="1"/>
  <c r="F1089"/>
  <c r="G1089" s="1"/>
  <c r="F1088"/>
  <c r="G1088" s="1"/>
  <c r="G1133" l="1"/>
  <c r="G1092"/>
  <c r="C73" i="339" l="1"/>
  <c r="B73"/>
  <c r="F1058" i="16"/>
  <c r="G1058" s="1"/>
  <c r="F1057"/>
  <c r="G1057" s="1"/>
  <c r="F1055"/>
  <c r="G1055" s="1"/>
  <c r="F1054"/>
  <c r="G1054" s="1"/>
  <c r="F1053"/>
  <c r="G1053" s="1"/>
  <c r="F1050"/>
  <c r="G1050" s="1"/>
  <c r="F1049"/>
  <c r="G1049" s="1"/>
  <c r="F1048"/>
  <c r="G1048" s="1"/>
  <c r="F1047"/>
  <c r="G1047" s="1"/>
  <c r="C71" i="339"/>
  <c r="B71"/>
  <c r="F1017" i="16"/>
  <c r="G1017" s="1"/>
  <c r="F1016"/>
  <c r="G1016" s="1"/>
  <c r="F1015"/>
  <c r="G1015" s="1"/>
  <c r="F1012"/>
  <c r="G1012" s="1"/>
  <c r="F1011"/>
  <c r="G1011" s="1"/>
  <c r="F1010"/>
  <c r="G1010" s="1"/>
  <c r="F1009"/>
  <c r="G1009" s="1"/>
  <c r="C69" i="339"/>
  <c r="B69"/>
  <c r="F982" i="16"/>
  <c r="G982" s="1"/>
  <c r="F981"/>
  <c r="G981" s="1"/>
  <c r="F980"/>
  <c r="G980" s="1"/>
  <c r="F977"/>
  <c r="G977" s="1"/>
  <c r="F976"/>
  <c r="G976" s="1"/>
  <c r="F975"/>
  <c r="G975" s="1"/>
  <c r="F974"/>
  <c r="G974" s="1"/>
  <c r="C548" i="339"/>
  <c r="G1051" i="16" l="1"/>
  <c r="G1013"/>
  <c r="G1018"/>
  <c r="G983"/>
  <c r="G984" s="1"/>
  <c r="G978"/>
  <c r="H838" i="340"/>
  <c r="C557" i="339" s="1"/>
  <c r="H837" i="340"/>
  <c r="C556" i="339" s="1"/>
  <c r="H836" i="340"/>
  <c r="C555" i="339" s="1"/>
  <c r="H826" i="340"/>
  <c r="C547" i="339" s="1"/>
  <c r="H825" i="340"/>
  <c r="C546" i="339" s="1"/>
  <c r="H824" i="340"/>
  <c r="C545" i="339" s="1"/>
  <c r="C522"/>
  <c r="B522"/>
  <c r="F8399" i="16"/>
  <c r="G8399" s="1"/>
  <c r="G8401"/>
  <c r="F8400"/>
  <c r="G8400" s="1"/>
  <c r="C528" i="339"/>
  <c r="B528"/>
  <c r="C527"/>
  <c r="B527"/>
  <c r="F8501" i="16"/>
  <c r="G8503"/>
  <c r="F8502"/>
  <c r="G8502" s="1"/>
  <c r="E8501"/>
  <c r="F8484"/>
  <c r="E8484"/>
  <c r="G8486"/>
  <c r="F8485"/>
  <c r="G8485" s="1"/>
  <c r="C526" i="339"/>
  <c r="B526"/>
  <c r="F8467" i="16"/>
  <c r="G8469"/>
  <c r="F8468"/>
  <c r="G8468" s="1"/>
  <c r="E8467"/>
  <c r="C525" i="339"/>
  <c r="B525"/>
  <c r="F8450" i="16"/>
  <c r="E8450"/>
  <c r="G8452"/>
  <c r="F8451"/>
  <c r="G8451" s="1"/>
  <c r="F8433"/>
  <c r="F8416"/>
  <c r="F8382"/>
  <c r="F3627"/>
  <c r="G3627" s="1"/>
  <c r="G3628" s="1"/>
  <c r="C479" i="339"/>
  <c r="B479"/>
  <c r="C478"/>
  <c r="B478"/>
  <c r="E7661" i="16"/>
  <c r="E7658"/>
  <c r="E7656"/>
  <c r="E7657" s="1"/>
  <c r="E7653"/>
  <c r="E7600"/>
  <c r="E7599"/>
  <c r="E7650"/>
  <c r="E7649"/>
  <c r="E7646"/>
  <c r="E7662"/>
  <c r="B7661"/>
  <c r="E7659"/>
  <c r="B7658"/>
  <c r="B7657"/>
  <c r="B7656"/>
  <c r="E7654"/>
  <c r="B7653"/>
  <c r="E7651"/>
  <c r="E7647"/>
  <c r="B7646"/>
  <c r="E7636"/>
  <c r="E7633"/>
  <c r="E7631"/>
  <c r="E7632" s="1"/>
  <c r="E7603"/>
  <c r="E7628"/>
  <c r="E7625"/>
  <c r="E7624"/>
  <c r="E7621"/>
  <c r="E7637"/>
  <c r="B7636"/>
  <c r="E7634"/>
  <c r="B7633"/>
  <c r="B7632"/>
  <c r="B7631"/>
  <c r="E7629"/>
  <c r="B7628"/>
  <c r="E7626"/>
  <c r="E7622"/>
  <c r="B7621"/>
  <c r="F7671"/>
  <c r="G7671" s="1"/>
  <c r="F7672"/>
  <c r="G7672" s="1"/>
  <c r="F7673"/>
  <c r="G7673" s="1"/>
  <c r="B7676"/>
  <c r="F7676"/>
  <c r="G7676" s="1"/>
  <c r="G7677" s="1"/>
  <c r="G7679"/>
  <c r="G7680" s="1"/>
  <c r="B7688"/>
  <c r="C7688"/>
  <c r="E7688"/>
  <c r="E7689"/>
  <c r="E7691"/>
  <c r="E7692"/>
  <c r="E7693"/>
  <c r="B7695"/>
  <c r="C7695"/>
  <c r="E7695"/>
  <c r="E7696"/>
  <c r="B7698"/>
  <c r="C7698"/>
  <c r="E7698"/>
  <c r="E7699" s="1"/>
  <c r="B7699"/>
  <c r="C7699"/>
  <c r="B7700"/>
  <c r="C7700"/>
  <c r="E7700"/>
  <c r="E7701"/>
  <c r="B7703"/>
  <c r="C7703"/>
  <c r="E7703"/>
  <c r="E7704"/>
  <c r="B7712"/>
  <c r="C7712"/>
  <c r="E7712"/>
  <c r="E7713"/>
  <c r="E7715"/>
  <c r="E7716"/>
  <c r="E7717"/>
  <c r="B7719"/>
  <c r="C7719"/>
  <c r="E7719"/>
  <c r="E7720"/>
  <c r="B7722"/>
  <c r="C7722"/>
  <c r="E7722"/>
  <c r="E7723" s="1"/>
  <c r="B7723"/>
  <c r="C7723"/>
  <c r="B7724"/>
  <c r="C7724"/>
  <c r="E7724"/>
  <c r="E7725"/>
  <c r="B7727"/>
  <c r="C7727"/>
  <c r="E7727"/>
  <c r="E7728"/>
  <c r="F6934"/>
  <c r="F6915"/>
  <c r="F6896"/>
  <c r="F6877"/>
  <c r="F6858"/>
  <c r="F6839"/>
  <c r="F6820"/>
  <c r="F6801"/>
  <c r="F6782"/>
  <c r="F6763"/>
  <c r="F6744"/>
  <c r="F6705"/>
  <c r="F6687"/>
  <c r="F6672"/>
  <c r="F6655"/>
  <c r="F6638"/>
  <c r="F6519"/>
  <c r="F6536"/>
  <c r="F6484"/>
  <c r="F6468"/>
  <c r="F6452"/>
  <c r="F6420"/>
  <c r="F6404"/>
  <c r="F6388"/>
  <c r="F6372"/>
  <c r="F6356"/>
  <c r="F6340"/>
  <c r="F6324"/>
  <c r="F6308"/>
  <c r="F6292"/>
  <c r="F6276"/>
  <c r="I121" i="340"/>
  <c r="G8467" i="16" l="1"/>
  <c r="G8470" s="1"/>
  <c r="G985"/>
  <c r="G986" s="1"/>
  <c r="G987" s="1"/>
  <c r="E69" i="339" s="1"/>
  <c r="G1019" i="16"/>
  <c r="G1020" s="1"/>
  <c r="G1021" s="1"/>
  <c r="G1022" s="1"/>
  <c r="E71" i="339" s="1"/>
  <c r="G8402" i="16"/>
  <c r="G8484"/>
  <c r="G8487" s="1"/>
  <c r="G8501"/>
  <c r="G8504" s="1"/>
  <c r="G8450"/>
  <c r="G8453" s="1"/>
  <c r="G7674"/>
  <c r="G7681" s="1"/>
  <c r="G7682" s="1"/>
  <c r="C397" i="339"/>
  <c r="B397"/>
  <c r="C396"/>
  <c r="B396"/>
  <c r="F6228" i="16"/>
  <c r="G6228" s="1"/>
  <c r="F6229"/>
  <c r="G6229" s="1"/>
  <c r="F6225"/>
  <c r="G6225" s="1"/>
  <c r="F6224"/>
  <c r="G6224" s="1"/>
  <c r="F6223"/>
  <c r="G6223" s="1"/>
  <c r="F6222"/>
  <c r="G6222" s="1"/>
  <c r="F6212"/>
  <c r="G6212" s="1"/>
  <c r="F6213"/>
  <c r="G6213" s="1"/>
  <c r="F6209"/>
  <c r="G6209" s="1"/>
  <c r="F6208"/>
  <c r="G6208" s="1"/>
  <c r="F6207"/>
  <c r="G6207" s="1"/>
  <c r="F6206"/>
  <c r="G6206" s="1"/>
  <c r="C398" i="339"/>
  <c r="B398"/>
  <c r="F6244" i="16"/>
  <c r="G6244" s="1"/>
  <c r="F6260"/>
  <c r="F6241"/>
  <c r="G6241" s="1"/>
  <c r="F6240"/>
  <c r="G6240" s="1"/>
  <c r="F6239"/>
  <c r="G6239" s="1"/>
  <c r="F6238"/>
  <c r="G6238" s="1"/>
  <c r="F5908"/>
  <c r="F5892"/>
  <c r="F5891"/>
  <c r="F5876"/>
  <c r="F5874"/>
  <c r="F5873"/>
  <c r="F5872"/>
  <c r="F5857"/>
  <c r="F5855"/>
  <c r="F5840"/>
  <c r="F5839"/>
  <c r="F5838"/>
  <c r="F5837"/>
  <c r="F5836"/>
  <c r="F5821"/>
  <c r="F5802"/>
  <c r="F5801"/>
  <c r="F5785"/>
  <c r="F5784"/>
  <c r="F5752"/>
  <c r="F5750"/>
  <c r="F5702"/>
  <c r="F5656"/>
  <c r="F5654"/>
  <c r="F5638"/>
  <c r="F5637"/>
  <c r="F5622"/>
  <c r="F5621"/>
  <c r="F5620"/>
  <c r="F5604"/>
  <c r="F5603"/>
  <c r="F5588"/>
  <c r="F5574"/>
  <c r="F5573"/>
  <c r="F5558"/>
  <c r="F5501"/>
  <c r="F5488"/>
  <c r="F5475"/>
  <c r="F5461"/>
  <c r="F5446"/>
  <c r="F5430"/>
  <c r="F5414"/>
  <c r="F5398"/>
  <c r="F5383"/>
  <c r="F5382"/>
  <c r="F5367"/>
  <c r="F5352"/>
  <c r="C332" i="339"/>
  <c r="B332"/>
  <c r="F5232" i="16"/>
  <c r="G5232" s="1"/>
  <c r="G5233" s="1"/>
  <c r="B5232"/>
  <c r="F5229"/>
  <c r="G5229" s="1"/>
  <c r="F5228"/>
  <c r="G5228" s="1"/>
  <c r="F5227"/>
  <c r="G5227" s="1"/>
  <c r="F5226"/>
  <c r="G5226" s="1"/>
  <c r="F5337"/>
  <c r="F5322"/>
  <c r="F5307"/>
  <c r="F5292"/>
  <c r="F5277"/>
  <c r="F5262"/>
  <c r="F5247"/>
  <c r="F5187"/>
  <c r="F5172"/>
  <c r="F5157"/>
  <c r="F5142"/>
  <c r="F5127"/>
  <c r="F5095"/>
  <c r="F5094"/>
  <c r="F5093"/>
  <c r="F5092"/>
  <c r="F5077"/>
  <c r="F5076"/>
  <c r="F5061"/>
  <c r="F5059"/>
  <c r="F5043"/>
  <c r="F5025"/>
  <c r="F4957"/>
  <c r="F4941"/>
  <c r="F4925"/>
  <c r="F4910"/>
  <c r="F4893"/>
  <c r="F4878"/>
  <c r="F4877"/>
  <c r="F4861"/>
  <c r="B4861"/>
  <c r="F4845"/>
  <c r="F4797"/>
  <c r="F4781"/>
  <c r="F4765"/>
  <c r="F4749"/>
  <c r="F4700"/>
  <c r="F4683"/>
  <c r="F4682"/>
  <c r="F4681"/>
  <c r="F4615"/>
  <c r="F4614"/>
  <c r="F4613"/>
  <c r="F4611"/>
  <c r="F4596"/>
  <c r="F4593"/>
  <c r="F4461"/>
  <c r="F4444"/>
  <c r="F4427"/>
  <c r="F4411"/>
  <c r="F4396"/>
  <c r="F4395"/>
  <c r="F4380"/>
  <c r="F4379"/>
  <c r="F4364"/>
  <c r="F4363"/>
  <c r="F4348"/>
  <c r="F4314"/>
  <c r="F4299"/>
  <c r="F4315"/>
  <c r="F4298"/>
  <c r="F4283"/>
  <c r="F4282"/>
  <c r="F4267"/>
  <c r="F4266"/>
  <c r="F4265"/>
  <c r="F4264"/>
  <c r="F4263"/>
  <c r="F4248"/>
  <c r="F4247"/>
  <c r="F4231"/>
  <c r="F4216"/>
  <c r="F4232"/>
  <c r="F4215"/>
  <c r="F4199"/>
  <c r="F4184"/>
  <c r="F4183"/>
  <c r="F4182"/>
  <c r="F4181"/>
  <c r="F4166"/>
  <c r="F4165"/>
  <c r="F4150"/>
  <c r="F4149"/>
  <c r="F4134"/>
  <c r="F4133"/>
  <c r="F4118"/>
  <c r="F4117"/>
  <c r="F4102"/>
  <c r="F4101"/>
  <c r="F4085"/>
  <c r="F3956"/>
  <c r="F3955"/>
  <c r="F3954"/>
  <c r="F3953"/>
  <c r="F3890"/>
  <c r="F3889"/>
  <c r="F3873"/>
  <c r="F3857"/>
  <c r="F3841"/>
  <c r="F3826"/>
  <c r="F3825"/>
  <c r="F3810"/>
  <c r="F3809"/>
  <c r="F3794"/>
  <c r="F3793"/>
  <c r="F3742"/>
  <c r="G3742" s="1"/>
  <c r="E3741"/>
  <c r="F3741"/>
  <c r="G7683" l="1"/>
  <c r="E480" i="339" s="1"/>
  <c r="G6230" i="16"/>
  <c r="G6226"/>
  <c r="G6214"/>
  <c r="G6210"/>
  <c r="G6242"/>
  <c r="F6245"/>
  <c r="G6245" s="1"/>
  <c r="G6246" s="1"/>
  <c r="G5230"/>
  <c r="G5234" s="1"/>
  <c r="C236" i="339"/>
  <c r="B236"/>
  <c r="G3741" i="16"/>
  <c r="F3738"/>
  <c r="G3738" s="1"/>
  <c r="F3737"/>
  <c r="G3737" s="1"/>
  <c r="F3736"/>
  <c r="G3736" s="1"/>
  <c r="F3735"/>
  <c r="G3735" s="1"/>
  <c r="F3707"/>
  <c r="F3706"/>
  <c r="F3705"/>
  <c r="F3704"/>
  <c r="F3691"/>
  <c r="F3690"/>
  <c r="F3675"/>
  <c r="F3674"/>
  <c r="F3659"/>
  <c r="F3658"/>
  <c r="F3643"/>
  <c r="F3642"/>
  <c r="F3576"/>
  <c r="F3559"/>
  <c r="F3542"/>
  <c r="F3527"/>
  <c r="F3524"/>
  <c r="F3506"/>
  <c r="F3505"/>
  <c r="F3487"/>
  <c r="F3469"/>
  <c r="F3451"/>
  <c r="F3433"/>
  <c r="F3415"/>
  <c r="F3397"/>
  <c r="F3394"/>
  <c r="F3378"/>
  <c r="F3330"/>
  <c r="F3743" l="1"/>
  <c r="G6231"/>
  <c r="G6232" s="1"/>
  <c r="G6233" s="1"/>
  <c r="E397" i="339" s="1"/>
  <c r="G6215" i="16"/>
  <c r="G6216" s="1"/>
  <c r="G6217" s="1"/>
  <c r="E396" i="339" s="1"/>
  <c r="G6247" i="16"/>
  <c r="G6248" s="1"/>
  <c r="G6249" s="1"/>
  <c r="E398" i="339" s="1"/>
  <c r="G5235" i="16"/>
  <c r="G5236" s="1"/>
  <c r="E332" i="339" s="1"/>
  <c r="G3739" i="16"/>
  <c r="C210" i="339"/>
  <c r="B210"/>
  <c r="C209"/>
  <c r="C208"/>
  <c r="C207"/>
  <c r="C206"/>
  <c r="B209"/>
  <c r="B208"/>
  <c r="B207"/>
  <c r="B206"/>
  <c r="C205"/>
  <c r="B205"/>
  <c r="F3294" i="16"/>
  <c r="G3294" s="1"/>
  <c r="F3293"/>
  <c r="G3293" s="1"/>
  <c r="F3292"/>
  <c r="G3292" s="1"/>
  <c r="F3291"/>
  <c r="G3291" s="1"/>
  <c r="F3288"/>
  <c r="G3288" s="1"/>
  <c r="F3287"/>
  <c r="G3287" s="1"/>
  <c r="F3286"/>
  <c r="G3286" s="1"/>
  <c r="F3285"/>
  <c r="G3285" s="1"/>
  <c r="F3204"/>
  <c r="G3204" s="1"/>
  <c r="F3203"/>
  <c r="G3203" s="1"/>
  <c r="F3202"/>
  <c r="G3202" s="1"/>
  <c r="F3201"/>
  <c r="G3201" s="1"/>
  <c r="F3198"/>
  <c r="G3198" s="1"/>
  <c r="F3197"/>
  <c r="G3197" s="1"/>
  <c r="F3196"/>
  <c r="G3196" s="1"/>
  <c r="F3195"/>
  <c r="G3195" s="1"/>
  <c r="F3219"/>
  <c r="F3183"/>
  <c r="F3165"/>
  <c r="F3147"/>
  <c r="F3129"/>
  <c r="C199" i="339"/>
  <c r="B199"/>
  <c r="F3111" i="16"/>
  <c r="F3093"/>
  <c r="G3093" s="1"/>
  <c r="F3096"/>
  <c r="G3096" s="1"/>
  <c r="F3095"/>
  <c r="G3095" s="1"/>
  <c r="F3094"/>
  <c r="G3094" s="1"/>
  <c r="F3090"/>
  <c r="G3090" s="1"/>
  <c r="F3089"/>
  <c r="G3089" s="1"/>
  <c r="F3088"/>
  <c r="G3088" s="1"/>
  <c r="F3087"/>
  <c r="G3087" s="1"/>
  <c r="F3075"/>
  <c r="F3057"/>
  <c r="F3039"/>
  <c r="F3021"/>
  <c r="F3003"/>
  <c r="F2985"/>
  <c r="F2967"/>
  <c r="F2950"/>
  <c r="F2949"/>
  <c r="F2931"/>
  <c r="F2913"/>
  <c r="F2895"/>
  <c r="F2878"/>
  <c r="F2861"/>
  <c r="F2844"/>
  <c r="F2828"/>
  <c r="F2827"/>
  <c r="F2477"/>
  <c r="F2442"/>
  <c r="F2424"/>
  <c r="F2406"/>
  <c r="F2388"/>
  <c r="F2095"/>
  <c r="F2079"/>
  <c r="F2064"/>
  <c r="F2047"/>
  <c r="F2030"/>
  <c r="F2029"/>
  <c r="F2028"/>
  <c r="F2013"/>
  <c r="F2011"/>
  <c r="F1980"/>
  <c r="F1965"/>
  <c r="F1933"/>
  <c r="F1849"/>
  <c r="F1834"/>
  <c r="F1819"/>
  <c r="F1804"/>
  <c r="F1788"/>
  <c r="F1787"/>
  <c r="F1770"/>
  <c r="F1767"/>
  <c r="F1766"/>
  <c r="F1765"/>
  <c r="F1749"/>
  <c r="F1748"/>
  <c r="F1733"/>
  <c r="F1732"/>
  <c r="F1717"/>
  <c r="F1702"/>
  <c r="F1641"/>
  <c r="F1672"/>
  <c r="F1671"/>
  <c r="F1670"/>
  <c r="F1353"/>
  <c r="F1337"/>
  <c r="F1319"/>
  <c r="C78" i="339"/>
  <c r="B78"/>
  <c r="F1160" i="16"/>
  <c r="G1160" s="1"/>
  <c r="F1159"/>
  <c r="J178" i="340"/>
  <c r="J177"/>
  <c r="G3743" i="16" l="1"/>
  <c r="G3744" s="1"/>
  <c r="G3745" s="1"/>
  <c r="G3746" s="1"/>
  <c r="G3747" s="1"/>
  <c r="F1750"/>
  <c r="G3289"/>
  <c r="G3295"/>
  <c r="G3199"/>
  <c r="G3205"/>
  <c r="G3097"/>
  <c r="G3091"/>
  <c r="F1161"/>
  <c r="G1161" s="1"/>
  <c r="G1159"/>
  <c r="F1157"/>
  <c r="G1157" s="1"/>
  <c r="F1156"/>
  <c r="F1153"/>
  <c r="G1153" s="1"/>
  <c r="F1152"/>
  <c r="G1152" s="1"/>
  <c r="F1151"/>
  <c r="G1151" s="1"/>
  <c r="F1150"/>
  <c r="G1150" s="1"/>
  <c r="F947"/>
  <c r="F897"/>
  <c r="F882"/>
  <c r="F867"/>
  <c r="F475"/>
  <c r="F419"/>
  <c r="F285"/>
  <c r="F284"/>
  <c r="F283"/>
  <c r="F281"/>
  <c r="F266"/>
  <c r="F197"/>
  <c r="F196"/>
  <c r="F168"/>
  <c r="F167"/>
  <c r="F166"/>
  <c r="F58"/>
  <c r="F57"/>
  <c r="F41"/>
  <c r="M821" i="340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E236" i="339" l="1"/>
  <c r="G3206" i="16"/>
  <c r="G3207" s="1"/>
  <c r="G3208" s="1"/>
  <c r="E205" i="339" s="1"/>
  <c r="G3296" i="16"/>
  <c r="G3297" s="1"/>
  <c r="G3298" s="1"/>
  <c r="E210" i="339" s="1"/>
  <c r="G3098" i="16"/>
  <c r="G3099" s="1"/>
  <c r="G3100" s="1"/>
  <c r="G1156"/>
  <c r="F1158"/>
  <c r="G1154"/>
  <c r="I534" i="340"/>
  <c r="F6621" i="16" s="1"/>
  <c r="I533" i="340"/>
  <c r="F6604" i="16" s="1"/>
  <c r="I532" i="340"/>
  <c r="F6587" i="16" s="1"/>
  <c r="I531" i="340"/>
  <c r="F6570" i="16" s="1"/>
  <c r="I530" i="340"/>
  <c r="F6553" i="16" s="1"/>
  <c r="I527" i="340"/>
  <c r="F6502" i="16" s="1"/>
  <c r="F3502"/>
  <c r="G2102"/>
  <c r="I173" i="340"/>
  <c r="I172"/>
  <c r="F3775" i="16" l="1"/>
  <c r="G3775" s="1"/>
  <c r="G3778" s="1"/>
  <c r="G3779" s="1"/>
  <c r="G3780" s="1"/>
  <c r="G3781" s="1"/>
  <c r="F3758"/>
  <c r="G3758" s="1"/>
  <c r="G3761" s="1"/>
  <c r="G3762" s="1"/>
  <c r="G3763" s="1"/>
  <c r="G3764" s="1"/>
  <c r="E199" i="339"/>
  <c r="F4909" i="16"/>
  <c r="F2112"/>
  <c r="F3509"/>
  <c r="G3509" s="1"/>
  <c r="G3510" s="1"/>
  <c r="F3315"/>
  <c r="G3315" s="1"/>
  <c r="G3316" s="1"/>
  <c r="F282"/>
  <c r="F1300" l="1"/>
  <c r="F1336"/>
  <c r="F1318"/>
  <c r="C255" i="339"/>
  <c r="B255"/>
  <c r="C254"/>
  <c r="B254"/>
  <c r="C253"/>
  <c r="B253"/>
  <c r="C252"/>
  <c r="B252"/>
  <c r="C251"/>
  <c r="B251"/>
  <c r="F4068" i="16"/>
  <c r="G4068" s="1"/>
  <c r="G4069"/>
  <c r="F4065"/>
  <c r="G4065" s="1"/>
  <c r="F4064"/>
  <c r="G4064" s="1"/>
  <c r="F4063"/>
  <c r="G4063" s="1"/>
  <c r="F4062"/>
  <c r="G4062" s="1"/>
  <c r="F4052"/>
  <c r="G4052" s="1"/>
  <c r="F4053"/>
  <c r="G4053" s="1"/>
  <c r="F4049"/>
  <c r="G4049" s="1"/>
  <c r="F4048"/>
  <c r="G4048" s="1"/>
  <c r="F4047"/>
  <c r="G4047" s="1"/>
  <c r="F4046"/>
  <c r="G4046" s="1"/>
  <c r="F4036"/>
  <c r="G4036" s="1"/>
  <c r="F4037"/>
  <c r="G4037" s="1"/>
  <c r="F4033"/>
  <c r="G4033" s="1"/>
  <c r="F4032"/>
  <c r="G4032" s="1"/>
  <c r="F4031"/>
  <c r="G4031" s="1"/>
  <c r="F4030"/>
  <c r="G4030" s="1"/>
  <c r="F4004"/>
  <c r="G4004" s="1"/>
  <c r="F4021"/>
  <c r="G4021" s="1"/>
  <c r="F4020"/>
  <c r="G4020" s="1"/>
  <c r="F4017"/>
  <c r="G4017" s="1"/>
  <c r="F4016"/>
  <c r="G4016" s="1"/>
  <c r="F4015"/>
  <c r="G4015" s="1"/>
  <c r="F4014"/>
  <c r="G4014" s="1"/>
  <c r="F4005"/>
  <c r="G4005" s="1"/>
  <c r="F3988"/>
  <c r="F4001"/>
  <c r="G4001" s="1"/>
  <c r="F4000"/>
  <c r="G4000" s="1"/>
  <c r="F3999"/>
  <c r="G3999" s="1"/>
  <c r="F3998"/>
  <c r="G3998" s="1"/>
  <c r="C248" i="339"/>
  <c r="B248"/>
  <c r="C247"/>
  <c r="B247"/>
  <c r="F3938" i="16"/>
  <c r="G3938" s="1"/>
  <c r="F3937"/>
  <c r="G3937" s="1"/>
  <c r="F3934"/>
  <c r="G3934" s="1"/>
  <c r="F3933"/>
  <c r="G3933" s="1"/>
  <c r="F3932"/>
  <c r="G3932" s="1"/>
  <c r="F3931"/>
  <c r="G3931" s="1"/>
  <c r="F3922"/>
  <c r="G3922" s="1"/>
  <c r="F3921"/>
  <c r="G3921" s="1"/>
  <c r="F3906"/>
  <c r="F3905"/>
  <c r="F3918"/>
  <c r="G3918" s="1"/>
  <c r="F3917"/>
  <c r="G3917" s="1"/>
  <c r="F3916"/>
  <c r="G3916" s="1"/>
  <c r="F3915"/>
  <c r="G3915" s="1"/>
  <c r="G4054" l="1"/>
  <c r="G4038"/>
  <c r="G4050"/>
  <c r="G4066"/>
  <c r="G4070"/>
  <c r="G4034"/>
  <c r="G4022"/>
  <c r="G4018"/>
  <c r="G4002"/>
  <c r="G4006"/>
  <c r="G3935"/>
  <c r="G3939"/>
  <c r="G3919"/>
  <c r="G3923"/>
  <c r="G4055" l="1"/>
  <c r="G4056" s="1"/>
  <c r="G4057" s="1"/>
  <c r="E254" i="339" s="1"/>
  <c r="G4071" i="16"/>
  <c r="G4072" s="1"/>
  <c r="G4073" s="1"/>
  <c r="E255" i="339" s="1"/>
  <c r="G4039" i="16"/>
  <c r="G4040" s="1"/>
  <c r="G4041" s="1"/>
  <c r="E253" i="339" s="1"/>
  <c r="G4023" i="16"/>
  <c r="G4024" s="1"/>
  <c r="G4025" s="1"/>
  <c r="E252" i="339" s="1"/>
  <c r="G4007" i="16"/>
  <c r="G4008" s="1"/>
  <c r="G4009" s="1"/>
  <c r="E251" i="339" s="1"/>
  <c r="G3940" i="16"/>
  <c r="G3941" s="1"/>
  <c r="G3942" s="1"/>
  <c r="E248" i="339" s="1"/>
  <c r="G3924" i="16"/>
  <c r="G3925" l="1"/>
  <c r="G3926" s="1"/>
  <c r="E247" i="339" s="1"/>
  <c r="F5217" i="16" l="1"/>
  <c r="G5217" s="1"/>
  <c r="G5218" s="1"/>
  <c r="F3726"/>
  <c r="F3725"/>
  <c r="F3484"/>
  <c r="F3466"/>
  <c r="F3430"/>
  <c r="G2828"/>
  <c r="G2827"/>
  <c r="F2824"/>
  <c r="G2824" s="1"/>
  <c r="F2823"/>
  <c r="G2823" s="1"/>
  <c r="F2822"/>
  <c r="G2822" s="1"/>
  <c r="F2821"/>
  <c r="G2821" s="1"/>
  <c r="F2460"/>
  <c r="C331" i="339"/>
  <c r="B331"/>
  <c r="F5214" i="16"/>
  <c r="G5214" s="1"/>
  <c r="F5213"/>
  <c r="G5213" s="1"/>
  <c r="F5212"/>
  <c r="G5212" s="1"/>
  <c r="F5211"/>
  <c r="G5211" s="1"/>
  <c r="F5202"/>
  <c r="G2829" l="1"/>
  <c r="G2825"/>
  <c r="G5215"/>
  <c r="G5219" s="1"/>
  <c r="U258" i="340"/>
  <c r="U367"/>
  <c r="U366"/>
  <c r="M545"/>
  <c r="M544"/>
  <c r="M543"/>
  <c r="M542"/>
  <c r="M541"/>
  <c r="M540"/>
  <c r="M539"/>
  <c r="M538"/>
  <c r="M518"/>
  <c r="M514"/>
  <c r="M504"/>
  <c r="M503"/>
  <c r="M502"/>
  <c r="M499"/>
  <c r="M496"/>
  <c r="M495"/>
  <c r="M491"/>
  <c r="M490"/>
  <c r="M489"/>
  <c r="M488"/>
  <c r="M485"/>
  <c r="M484"/>
  <c r="M482"/>
  <c r="M481"/>
  <c r="M440"/>
  <c r="M439"/>
  <c r="M435"/>
  <c r="M434"/>
  <c r="M433"/>
  <c r="M427"/>
  <c r="M416"/>
  <c r="M415"/>
  <c r="M414"/>
  <c r="M412"/>
  <c r="M407"/>
  <c r="M405"/>
  <c r="M403"/>
  <c r="M402"/>
  <c r="M401"/>
  <c r="M400"/>
  <c r="M399"/>
  <c r="M398"/>
  <c r="M397"/>
  <c r="M396"/>
  <c r="M393"/>
  <c r="M391"/>
  <c r="M390"/>
  <c r="M383"/>
  <c r="M380"/>
  <c r="M379"/>
  <c r="M378"/>
  <c r="M376"/>
  <c r="M374"/>
  <c r="M373"/>
  <c r="M372"/>
  <c r="M371"/>
  <c r="M370"/>
  <c r="M368"/>
  <c r="M367"/>
  <c r="M366"/>
  <c r="M365"/>
  <c r="M364"/>
  <c r="M361"/>
  <c r="M357"/>
  <c r="M356"/>
  <c r="M350"/>
  <c r="M346"/>
  <c r="M345"/>
  <c r="M344"/>
  <c r="M343"/>
  <c r="M341"/>
  <c r="M340"/>
  <c r="M339"/>
  <c r="M338"/>
  <c r="M320"/>
  <c r="M319"/>
  <c r="M316"/>
  <c r="M315"/>
  <c r="M314"/>
  <c r="M313"/>
  <c r="M312"/>
  <c r="M310"/>
  <c r="M307"/>
  <c r="M306"/>
  <c r="M305"/>
  <c r="M304"/>
  <c r="M303"/>
  <c r="M302"/>
  <c r="M300"/>
  <c r="M299"/>
  <c r="M296"/>
  <c r="M295"/>
  <c r="M294"/>
  <c r="M293"/>
  <c r="M292"/>
  <c r="M291"/>
  <c r="M290"/>
  <c r="M289"/>
  <c r="M288"/>
  <c r="M273"/>
  <c r="M272"/>
  <c r="M262"/>
  <c r="M261"/>
  <c r="M260"/>
  <c r="M259"/>
  <c r="M258"/>
  <c r="M257"/>
  <c r="M256"/>
  <c r="M255"/>
  <c r="M254"/>
  <c r="M252"/>
  <c r="M251"/>
  <c r="M249"/>
  <c r="M245"/>
  <c r="M173"/>
  <c r="M172"/>
  <c r="M171"/>
  <c r="M166"/>
  <c r="M157"/>
  <c r="M153"/>
  <c r="M152"/>
  <c r="M151"/>
  <c r="M150"/>
  <c r="M143"/>
  <c r="M142"/>
  <c r="M141"/>
  <c r="M139"/>
  <c r="M136"/>
  <c r="M135"/>
  <c r="M131"/>
  <c r="M130"/>
  <c r="M125"/>
  <c r="M124"/>
  <c r="M123"/>
  <c r="M119"/>
  <c r="M116"/>
  <c r="M115"/>
  <c r="M114"/>
  <c r="M113"/>
  <c r="M112"/>
  <c r="M111"/>
  <c r="M108"/>
  <c r="M106"/>
  <c r="M105"/>
  <c r="M104"/>
  <c r="M103"/>
  <c r="M102"/>
  <c r="M101"/>
  <c r="M98"/>
  <c r="M97"/>
  <c r="M96"/>
  <c r="M91"/>
  <c r="M90"/>
  <c r="M81"/>
  <c r="M80"/>
  <c r="M77"/>
  <c r="M76"/>
  <c r="M75"/>
  <c r="M74"/>
  <c r="M73"/>
  <c r="M71"/>
  <c r="M69"/>
  <c r="M63"/>
  <c r="M62"/>
  <c r="M61"/>
  <c r="M59"/>
  <c r="M58"/>
  <c r="M54"/>
  <c r="M52"/>
  <c r="M51"/>
  <c r="M50"/>
  <c r="C228" i="339"/>
  <c r="B228"/>
  <c r="F3608" i="16"/>
  <c r="G3608" s="1"/>
  <c r="F3592"/>
  <c r="F3609"/>
  <c r="G3609" s="1"/>
  <c r="F3605"/>
  <c r="G3605" s="1"/>
  <c r="F3604"/>
  <c r="G3604" s="1"/>
  <c r="F3603"/>
  <c r="G3603" s="1"/>
  <c r="F3602"/>
  <c r="G3602" s="1"/>
  <c r="C221" i="339"/>
  <c r="B221"/>
  <c r="C220"/>
  <c r="B220"/>
  <c r="C219"/>
  <c r="B219"/>
  <c r="G3487" i="16"/>
  <c r="F3486"/>
  <c r="G3486" s="1"/>
  <c r="G3484"/>
  <c r="F3481"/>
  <c r="G3481" s="1"/>
  <c r="F3480"/>
  <c r="G3480" s="1"/>
  <c r="F3479"/>
  <c r="G3479" s="1"/>
  <c r="F3478"/>
  <c r="G3478" s="1"/>
  <c r="G3469"/>
  <c r="F3468"/>
  <c r="G3468" s="1"/>
  <c r="G3466"/>
  <c r="F3463"/>
  <c r="G3463" s="1"/>
  <c r="F3462"/>
  <c r="G3462" s="1"/>
  <c r="F3461"/>
  <c r="G3461" s="1"/>
  <c r="F3460"/>
  <c r="G3460" s="1"/>
  <c r="G2830" l="1"/>
  <c r="G2831" s="1"/>
  <c r="G2832" s="1"/>
  <c r="E182" i="339" s="1"/>
  <c r="G5220" i="16"/>
  <c r="G5221" s="1"/>
  <c r="E331" i="339" s="1"/>
  <c r="G3606" i="16"/>
  <c r="G3610"/>
  <c r="G3482"/>
  <c r="G3464"/>
  <c r="C138" i="339"/>
  <c r="B138"/>
  <c r="C137"/>
  <c r="B137"/>
  <c r="C136"/>
  <c r="B136"/>
  <c r="F2165" i="16"/>
  <c r="G2165" s="1"/>
  <c r="F2164"/>
  <c r="G2164" s="1"/>
  <c r="F2163"/>
  <c r="G2163" s="1"/>
  <c r="F2160"/>
  <c r="G2160" s="1"/>
  <c r="F2159"/>
  <c r="G2159" s="1"/>
  <c r="F2158"/>
  <c r="G2158" s="1"/>
  <c r="F2157"/>
  <c r="G2157" s="1"/>
  <c r="F2148"/>
  <c r="G2148" s="1"/>
  <c r="F2147"/>
  <c r="G2147" s="1"/>
  <c r="F2146"/>
  <c r="G2146" s="1"/>
  <c r="F2143"/>
  <c r="G2143" s="1"/>
  <c r="F2142"/>
  <c r="G2142" s="1"/>
  <c r="F2141"/>
  <c r="G2141" s="1"/>
  <c r="F2140"/>
  <c r="G2140" s="1"/>
  <c r="F2131"/>
  <c r="G2131" s="1"/>
  <c r="F2130"/>
  <c r="G2130" s="1"/>
  <c r="F2129"/>
  <c r="G2129" s="1"/>
  <c r="F2126"/>
  <c r="G2126" s="1"/>
  <c r="F2125"/>
  <c r="G2125" s="1"/>
  <c r="F2124"/>
  <c r="G2124" s="1"/>
  <c r="F2123"/>
  <c r="G2123" s="1"/>
  <c r="F2114"/>
  <c r="G2114" s="1"/>
  <c r="F2113"/>
  <c r="G2113" s="1"/>
  <c r="C542" i="339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4"/>
  <c r="B524"/>
  <c r="C523"/>
  <c r="B523"/>
  <c r="C521"/>
  <c r="B521"/>
  <c r="C517"/>
  <c r="B517"/>
  <c r="C518"/>
  <c r="B518"/>
  <c r="C258"/>
  <c r="F8737" i="16"/>
  <c r="G8737" s="1"/>
  <c r="F8736"/>
  <c r="G8736" s="1"/>
  <c r="F8735"/>
  <c r="G8735" s="1"/>
  <c r="F8734"/>
  <c r="F8733"/>
  <c r="G8733" s="1"/>
  <c r="F8732"/>
  <c r="G8732" s="1"/>
  <c r="F8731"/>
  <c r="G8731" s="1"/>
  <c r="F8730"/>
  <c r="G8730" s="1"/>
  <c r="F8729"/>
  <c r="G8729" s="1"/>
  <c r="F8707"/>
  <c r="G8707" s="1"/>
  <c r="F8706"/>
  <c r="G8706" s="1"/>
  <c r="F8705"/>
  <c r="G8705" s="1"/>
  <c r="F8704"/>
  <c r="G8704" s="1"/>
  <c r="F8703"/>
  <c r="G8703" s="1"/>
  <c r="F8702"/>
  <c r="G8702" s="1"/>
  <c r="F8701"/>
  <c r="G8701" s="1"/>
  <c r="F8700"/>
  <c r="G8700" s="1"/>
  <c r="F8699"/>
  <c r="G8699" s="1"/>
  <c r="E8738"/>
  <c r="G8734"/>
  <c r="E8727"/>
  <c r="F8726"/>
  <c r="G8726" s="1"/>
  <c r="F8725"/>
  <c r="G8725" s="1"/>
  <c r="G8722"/>
  <c r="G8721"/>
  <c r="G8720"/>
  <c r="G8719"/>
  <c r="G8716"/>
  <c r="G8717" s="1"/>
  <c r="E8708"/>
  <c r="E8697"/>
  <c r="G8686"/>
  <c r="G8687" s="1"/>
  <c r="F8696"/>
  <c r="G8696" s="1"/>
  <c r="F8695"/>
  <c r="G8695" s="1"/>
  <c r="G8692"/>
  <c r="G8691"/>
  <c r="G8690"/>
  <c r="G8689"/>
  <c r="G8677"/>
  <c r="G8676"/>
  <c r="G8675"/>
  <c r="G8674"/>
  <c r="G8665"/>
  <c r="G8666" s="1"/>
  <c r="G8667" s="1"/>
  <c r="G8656"/>
  <c r="G8657" s="1"/>
  <c r="G8658" s="1"/>
  <c r="F8646"/>
  <c r="G8646" s="1"/>
  <c r="G8647"/>
  <c r="F8630"/>
  <c r="G8630" s="1"/>
  <c r="G8631"/>
  <c r="F8614"/>
  <c r="G8614" s="1"/>
  <c r="G8615"/>
  <c r="F8598"/>
  <c r="G8598" s="1"/>
  <c r="G8599"/>
  <c r="F8582"/>
  <c r="G8582" s="1"/>
  <c r="G8583"/>
  <c r="F8566"/>
  <c r="G8566" s="1"/>
  <c r="G8567"/>
  <c r="F8550"/>
  <c r="G8550" s="1"/>
  <c r="G8551"/>
  <c r="F8534"/>
  <c r="G8534" s="1"/>
  <c r="G8535"/>
  <c r="F8518"/>
  <c r="G8518" s="1"/>
  <c r="G8519"/>
  <c r="G8416"/>
  <c r="G8435"/>
  <c r="F8434"/>
  <c r="G8434" s="1"/>
  <c r="G8433"/>
  <c r="G8418"/>
  <c r="F8417"/>
  <c r="G8417" s="1"/>
  <c r="F8383"/>
  <c r="G8383" s="1"/>
  <c r="G8382"/>
  <c r="G8384"/>
  <c r="F8366"/>
  <c r="G8366" s="1"/>
  <c r="F8365"/>
  <c r="G8365" s="1"/>
  <c r="F8364"/>
  <c r="G8364" s="1"/>
  <c r="F8363"/>
  <c r="G8363" s="1"/>
  <c r="F8362"/>
  <c r="G8362" s="1"/>
  <c r="F8361"/>
  <c r="G8361" s="1"/>
  <c r="F8360"/>
  <c r="G8360" s="1"/>
  <c r="F8359"/>
  <c r="G8359" s="1"/>
  <c r="G8356"/>
  <c r="E7773"/>
  <c r="E7781"/>
  <c r="E7778"/>
  <c r="E7770"/>
  <c r="E7766"/>
  <c r="E7757"/>
  <c r="E7752"/>
  <c r="E7749"/>
  <c r="E7744"/>
  <c r="E7741"/>
  <c r="E7737"/>
  <c r="E7612"/>
  <c r="E7609"/>
  <c r="E7604"/>
  <c r="E7601"/>
  <c r="E7597"/>
  <c r="G3611" l="1"/>
  <c r="G3612" s="1"/>
  <c r="G3613" s="1"/>
  <c r="E228" i="339" s="1"/>
  <c r="G2161" i="16"/>
  <c r="G2166"/>
  <c r="G2149"/>
  <c r="G2144"/>
  <c r="G2127"/>
  <c r="G2132"/>
  <c r="G8727"/>
  <c r="G8723"/>
  <c r="G8738"/>
  <c r="G8708"/>
  <c r="G8678"/>
  <c r="G8679" s="1"/>
  <c r="G8680" s="1"/>
  <c r="G8681" s="1"/>
  <c r="E540" i="339" s="1"/>
  <c r="G8536" i="16"/>
  <c r="G8568"/>
  <c r="G8632"/>
  <c r="G8693"/>
  <c r="G8697"/>
  <c r="G8584"/>
  <c r="G8616"/>
  <c r="G8600"/>
  <c r="G8668"/>
  <c r="G8669" s="1"/>
  <c r="E539" i="339" s="1"/>
  <c r="G8648" i="16"/>
  <c r="G8552"/>
  <c r="G8419"/>
  <c r="G8520"/>
  <c r="G8436"/>
  <c r="G8367"/>
  <c r="G8385"/>
  <c r="G8357"/>
  <c r="F5974"/>
  <c r="G2150" l="1"/>
  <c r="G2151" s="1"/>
  <c r="G2152" s="1"/>
  <c r="E137" i="339" s="1"/>
  <c r="G2167" i="16"/>
  <c r="G2133"/>
  <c r="G2134" s="1"/>
  <c r="G2135" s="1"/>
  <c r="E136" i="339" s="1"/>
  <c r="G8739" i="16"/>
  <c r="G8740" s="1"/>
  <c r="G8741" s="1"/>
  <c r="E542" i="339" s="1"/>
  <c r="G8709" i="16"/>
  <c r="G8710" s="1"/>
  <c r="G8711" s="1"/>
  <c r="E541" i="339" s="1"/>
  <c r="G8659" i="16"/>
  <c r="G8660" s="1"/>
  <c r="E538" i="339" s="1"/>
  <c r="G8368" i="16"/>
  <c r="G8369" s="1"/>
  <c r="G8370" s="1"/>
  <c r="G8371" s="1"/>
  <c r="E518" i="339" s="1"/>
  <c r="F3722" i="16"/>
  <c r="G3722" s="1"/>
  <c r="F3721"/>
  <c r="G3721" s="1"/>
  <c r="F3720"/>
  <c r="G3720" s="1"/>
  <c r="F3719"/>
  <c r="G3719" s="1"/>
  <c r="G3700"/>
  <c r="G3701" s="1"/>
  <c r="G2168" l="1"/>
  <c r="G2169" s="1"/>
  <c r="E138" i="339" s="1"/>
  <c r="G3723" i="16"/>
  <c r="F147"/>
  <c r="F145"/>
  <c r="F144"/>
  <c r="F140"/>
  <c r="F105"/>
  <c r="F104"/>
  <c r="F103"/>
  <c r="F102"/>
  <c r="F100"/>
  <c r="H520" i="339" l="1"/>
  <c r="H519"/>
  <c r="H517"/>
  <c r="H516"/>
  <c r="H509"/>
  <c r="H508"/>
  <c r="H497"/>
  <c r="H496"/>
  <c r="H489"/>
  <c r="H488"/>
  <c r="H474"/>
  <c r="H473"/>
  <c r="H446"/>
  <c r="H445"/>
  <c r="H428"/>
  <c r="H427"/>
  <c r="H377"/>
  <c r="H376"/>
  <c r="H349"/>
  <c r="H348"/>
  <c r="H324"/>
  <c r="H323"/>
  <c r="H280"/>
  <c r="H279"/>
  <c r="H257"/>
  <c r="H256"/>
  <c r="H238"/>
  <c r="H237"/>
  <c r="H184"/>
  <c r="H161"/>
  <c r="H160"/>
  <c r="H140"/>
  <c r="H109"/>
  <c r="H84"/>
  <c r="H48"/>
  <c r="H47"/>
  <c r="H38"/>
  <c r="H37"/>
  <c r="H21"/>
  <c r="H20"/>
  <c r="F1950" i="16"/>
  <c r="G1950" s="1"/>
  <c r="F1949"/>
  <c r="G1949" s="1"/>
  <c r="F1948"/>
  <c r="G1948" s="1"/>
  <c r="E2030"/>
  <c r="C295" i="339"/>
  <c r="B295"/>
  <c r="C294"/>
  <c r="B294"/>
  <c r="F4664" i="16"/>
  <c r="G4664" s="1"/>
  <c r="F4666"/>
  <c r="G4666" s="1"/>
  <c r="F4661"/>
  <c r="G4661" s="1"/>
  <c r="F4660"/>
  <c r="G4660" s="1"/>
  <c r="F4659"/>
  <c r="G4659" s="1"/>
  <c r="F4658"/>
  <c r="G4658" s="1"/>
  <c r="F4647"/>
  <c r="G4647" s="1"/>
  <c r="F4649"/>
  <c r="G4649" s="1"/>
  <c r="F4632"/>
  <c r="G4632" s="1"/>
  <c r="F4630"/>
  <c r="G4630" s="1"/>
  <c r="F4644"/>
  <c r="G4644" s="1"/>
  <c r="F4643"/>
  <c r="G4643" s="1"/>
  <c r="F4642"/>
  <c r="G4642" s="1"/>
  <c r="F4641"/>
  <c r="G4641" s="1"/>
  <c r="F1932"/>
  <c r="G1932" s="1"/>
  <c r="C123" i="339"/>
  <c r="B123"/>
  <c r="C122"/>
  <c r="B122"/>
  <c r="C121"/>
  <c r="B121"/>
  <c r="F1915" i="16"/>
  <c r="G1915" s="1"/>
  <c r="F1917"/>
  <c r="G1917" s="1"/>
  <c r="F1916"/>
  <c r="G1916" s="1"/>
  <c r="F1912"/>
  <c r="G1912" s="1"/>
  <c r="F1911"/>
  <c r="G1911" s="1"/>
  <c r="F1910"/>
  <c r="G1910" s="1"/>
  <c r="F1909"/>
  <c r="G1909" s="1"/>
  <c r="F1898"/>
  <c r="G1898" s="1"/>
  <c r="F1900"/>
  <c r="G1900" s="1"/>
  <c r="F1899"/>
  <c r="G1899" s="1"/>
  <c r="F1895"/>
  <c r="G1895" s="1"/>
  <c r="F1894"/>
  <c r="G1894" s="1"/>
  <c r="F1893"/>
  <c r="G1893" s="1"/>
  <c r="F1892"/>
  <c r="G1892" s="1"/>
  <c r="F1883"/>
  <c r="G1883" s="1"/>
  <c r="F1882"/>
  <c r="G1882" s="1"/>
  <c r="F1866"/>
  <c r="G1866" s="1"/>
  <c r="F1865"/>
  <c r="G1865" s="1"/>
  <c r="F1881"/>
  <c r="G1881" s="1"/>
  <c r="F1878"/>
  <c r="G1878" s="1"/>
  <c r="F1877"/>
  <c r="G1877" s="1"/>
  <c r="F1876"/>
  <c r="G1876" s="1"/>
  <c r="F1875"/>
  <c r="G1875" s="1"/>
  <c r="F1864"/>
  <c r="G1864" s="1"/>
  <c r="F946"/>
  <c r="G946" s="1"/>
  <c r="C33" i="339"/>
  <c r="B33"/>
  <c r="F429" i="16"/>
  <c r="G429" s="1"/>
  <c r="F428"/>
  <c r="G428" s="1"/>
  <c r="H3412"/>
  <c r="H3394"/>
  <c r="H3448"/>
  <c r="H3430"/>
  <c r="F3448"/>
  <c r="G3448" s="1"/>
  <c r="G3451"/>
  <c r="F3450"/>
  <c r="G3450" s="1"/>
  <c r="F3445"/>
  <c r="G3445" s="1"/>
  <c r="F3444"/>
  <c r="G3444" s="1"/>
  <c r="F3443"/>
  <c r="G3443" s="1"/>
  <c r="F3442"/>
  <c r="G3442" s="1"/>
  <c r="G3165"/>
  <c r="C203" i="339"/>
  <c r="B203"/>
  <c r="F3168" i="16"/>
  <c r="G3168" s="1"/>
  <c r="F3167"/>
  <c r="G3167" s="1"/>
  <c r="F3162"/>
  <c r="G3162" s="1"/>
  <c r="F3161"/>
  <c r="G3161" s="1"/>
  <c r="F3160"/>
  <c r="G3160" s="1"/>
  <c r="F3159"/>
  <c r="G3159" s="1"/>
  <c r="C316" i="339"/>
  <c r="B316"/>
  <c r="C315"/>
  <c r="B315"/>
  <c r="C217"/>
  <c r="B217"/>
  <c r="F5006" i="16"/>
  <c r="F5007" s="1"/>
  <c r="G5007" s="1"/>
  <c r="F5003"/>
  <c r="E5003"/>
  <c r="F5002"/>
  <c r="E5002"/>
  <c r="F5001"/>
  <c r="E5001"/>
  <c r="F5000"/>
  <c r="E5000"/>
  <c r="E4986"/>
  <c r="E4985"/>
  <c r="E4984"/>
  <c r="E4983"/>
  <c r="F4989"/>
  <c r="G4989" s="1"/>
  <c r="F4986"/>
  <c r="F4985"/>
  <c r="F4984"/>
  <c r="F4983"/>
  <c r="F4200"/>
  <c r="G4216" s="1"/>
  <c r="F3412"/>
  <c r="G3412" s="1"/>
  <c r="G3415"/>
  <c r="F3414"/>
  <c r="G3414" s="1"/>
  <c r="F3409"/>
  <c r="G3409" s="1"/>
  <c r="F3408"/>
  <c r="G3408" s="1"/>
  <c r="F3407"/>
  <c r="G3407" s="1"/>
  <c r="F3406"/>
  <c r="G3406" s="1"/>
  <c r="F3346"/>
  <c r="G3346" s="1"/>
  <c r="F651"/>
  <c r="G651" s="1"/>
  <c r="F707"/>
  <c r="G707" s="1"/>
  <c r="C515" i="339"/>
  <c r="B515"/>
  <c r="C514"/>
  <c r="B514"/>
  <c r="C513"/>
  <c r="B513"/>
  <c r="C512"/>
  <c r="B512"/>
  <c r="C511"/>
  <c r="B511"/>
  <c r="C510"/>
  <c r="B510"/>
  <c r="C509"/>
  <c r="B509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5"/>
  <c r="B495"/>
  <c r="C494"/>
  <c r="B494"/>
  <c r="C493"/>
  <c r="B493"/>
  <c r="C492"/>
  <c r="B492"/>
  <c r="C491"/>
  <c r="B491"/>
  <c r="C490"/>
  <c r="B490"/>
  <c r="C489"/>
  <c r="B489"/>
  <c r="C487"/>
  <c r="B487"/>
  <c r="C486"/>
  <c r="B486"/>
  <c r="C485"/>
  <c r="B485"/>
  <c r="C484"/>
  <c r="B484"/>
  <c r="C483"/>
  <c r="B483"/>
  <c r="C482"/>
  <c r="B482"/>
  <c r="C481"/>
  <c r="B481"/>
  <c r="C480"/>
  <c r="B480"/>
  <c r="C477"/>
  <c r="B477"/>
  <c r="C476"/>
  <c r="B476"/>
  <c r="C475"/>
  <c r="B475"/>
  <c r="C474"/>
  <c r="B474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322"/>
  <c r="B322"/>
  <c r="F7755" i="16"/>
  <c r="G7755" s="1"/>
  <c r="F7754"/>
  <c r="G7754" s="1"/>
  <c r="F8219"/>
  <c r="G8219" s="1"/>
  <c r="E5106"/>
  <c r="E5105"/>
  <c r="E5104"/>
  <c r="F5111"/>
  <c r="G5111" s="1"/>
  <c r="G5112" s="1"/>
  <c r="G5093"/>
  <c r="G5094"/>
  <c r="G5095"/>
  <c r="F5107"/>
  <c r="F5106"/>
  <c r="G5106" s="1"/>
  <c r="F5105"/>
  <c r="F5104"/>
  <c r="G5104" s="1"/>
  <c r="F7901"/>
  <c r="G7901" s="1"/>
  <c r="G7902" s="1"/>
  <c r="F7881"/>
  <c r="G7881" s="1"/>
  <c r="G7882" s="1"/>
  <c r="F8288"/>
  <c r="G8288" s="1"/>
  <c r="F8346"/>
  <c r="G8346" s="1"/>
  <c r="F8345"/>
  <c r="G8345" s="1"/>
  <c r="F8344"/>
  <c r="F8343"/>
  <c r="F8342"/>
  <c r="F8341"/>
  <c r="G8341" s="1"/>
  <c r="F8340"/>
  <c r="G8340" s="1"/>
  <c r="F8339"/>
  <c r="G8339" s="1"/>
  <c r="F8338"/>
  <c r="G8338" s="1"/>
  <c r="F8337"/>
  <c r="F8336"/>
  <c r="G8336" s="1"/>
  <c r="F8335"/>
  <c r="G8335" s="1"/>
  <c r="F8334"/>
  <c r="G8334" s="1"/>
  <c r="F8322"/>
  <c r="G8322" s="1"/>
  <c r="F8321"/>
  <c r="G8321" s="1"/>
  <c r="F8320"/>
  <c r="F8319"/>
  <c r="F8318"/>
  <c r="F8317"/>
  <c r="G8317" s="1"/>
  <c r="F8316"/>
  <c r="G8316" s="1"/>
  <c r="F8315"/>
  <c r="G8315" s="1"/>
  <c r="F8314"/>
  <c r="G8314" s="1"/>
  <c r="F8313"/>
  <c r="F8312"/>
  <c r="G8312" s="1"/>
  <c r="F8311"/>
  <c r="G8311" s="1"/>
  <c r="F8310"/>
  <c r="G8310" s="1"/>
  <c r="F8298"/>
  <c r="G8298" s="1"/>
  <c r="F8297"/>
  <c r="G8297" s="1"/>
  <c r="F8296"/>
  <c r="F8295"/>
  <c r="G8295" s="1"/>
  <c r="F8294"/>
  <c r="F8293"/>
  <c r="F8292"/>
  <c r="F8291"/>
  <c r="F8290"/>
  <c r="G8290" s="1"/>
  <c r="F8289"/>
  <c r="G8289" s="1"/>
  <c r="F8287"/>
  <c r="F8286"/>
  <c r="G8286" s="1"/>
  <c r="F8285"/>
  <c r="G8285" s="1"/>
  <c r="F8284"/>
  <c r="G8284" s="1"/>
  <c r="F8283"/>
  <c r="F8282"/>
  <c r="G8282" s="1"/>
  <c r="F8281"/>
  <c r="G8281" s="1"/>
  <c r="F8280"/>
  <c r="G8280" s="1"/>
  <c r="F8279"/>
  <c r="F8278"/>
  <c r="F8277"/>
  <c r="F8263"/>
  <c r="G8263" s="1"/>
  <c r="F8262"/>
  <c r="G8262" s="1"/>
  <c r="F8261"/>
  <c r="F8260"/>
  <c r="G8260" s="1"/>
  <c r="F8259"/>
  <c r="F8258"/>
  <c r="F8257"/>
  <c r="F8256"/>
  <c r="F8255"/>
  <c r="G8255" s="1"/>
  <c r="F8254"/>
  <c r="G8254" s="1"/>
  <c r="F8253"/>
  <c r="G8253" s="1"/>
  <c r="F8252"/>
  <c r="F8251"/>
  <c r="G8251" s="1"/>
  <c r="F8250"/>
  <c r="G8250" s="1"/>
  <c r="F8249"/>
  <c r="G8249" s="1"/>
  <c r="F8248"/>
  <c r="F8247"/>
  <c r="G8247" s="1"/>
  <c r="F8246"/>
  <c r="G8246" s="1"/>
  <c r="F8245"/>
  <c r="G8245" s="1"/>
  <c r="F8244"/>
  <c r="F8243"/>
  <c r="F8242"/>
  <c r="F8204"/>
  <c r="G8204" s="1"/>
  <c r="F8203"/>
  <c r="G8203" s="1"/>
  <c r="F8202"/>
  <c r="G8202" s="1"/>
  <c r="F8201"/>
  <c r="G8201" s="1"/>
  <c r="F8200"/>
  <c r="G8200" s="1"/>
  <c r="F8199"/>
  <c r="G8199" s="1"/>
  <c r="F8187"/>
  <c r="G8187" s="1"/>
  <c r="F8186"/>
  <c r="G8186" s="1"/>
  <c r="F8185"/>
  <c r="F8224" s="1"/>
  <c r="G8224" s="1"/>
  <c r="F8184"/>
  <c r="F8223" s="1"/>
  <c r="G8223" s="1"/>
  <c r="F8183"/>
  <c r="F8222" s="1"/>
  <c r="G8222" s="1"/>
  <c r="F8182"/>
  <c r="F8221" s="1"/>
  <c r="G8221" s="1"/>
  <c r="F8181"/>
  <c r="G8181" s="1"/>
  <c r="F8180"/>
  <c r="G8180" s="1"/>
  <c r="F8179"/>
  <c r="F8218" s="1"/>
  <c r="G8218" s="1"/>
  <c r="F8178"/>
  <c r="F8217" s="1"/>
  <c r="G8217" s="1"/>
  <c r="F8177"/>
  <c r="G8177" s="1"/>
  <c r="F8176"/>
  <c r="F8215" s="1"/>
  <c r="G8215" s="1"/>
  <c r="F8175"/>
  <c r="F8214" s="1"/>
  <c r="G8214" s="1"/>
  <c r="F8174"/>
  <c r="G8174" s="1"/>
  <c r="F8173"/>
  <c r="F8212" s="1"/>
  <c r="G8212" s="1"/>
  <c r="F8172"/>
  <c r="F8211" s="1"/>
  <c r="G8211" s="1"/>
  <c r="F8171"/>
  <c r="G8171" s="1"/>
  <c r="F8170"/>
  <c r="F8209" s="1"/>
  <c r="G8209" s="1"/>
  <c r="F8169"/>
  <c r="G8169" s="1"/>
  <c r="F8168"/>
  <c r="F8207" s="1"/>
  <c r="G8207" s="1"/>
  <c r="F8163"/>
  <c r="G8163" s="1"/>
  <c r="F8164"/>
  <c r="G8164" s="1"/>
  <c r="F8162"/>
  <c r="G8162" s="1"/>
  <c r="F8161"/>
  <c r="G8161" s="1"/>
  <c r="F8160"/>
  <c r="G8160" s="1"/>
  <c r="F8147"/>
  <c r="F8129"/>
  <c r="F8111"/>
  <c r="F8093"/>
  <c r="G8106"/>
  <c r="G8105"/>
  <c r="G8088"/>
  <c r="G8087"/>
  <c r="F8075"/>
  <c r="G8075" s="1"/>
  <c r="F8074"/>
  <c r="G8074" s="1"/>
  <c r="F8073"/>
  <c r="G8073" s="1"/>
  <c r="F8072"/>
  <c r="G8072" s="1"/>
  <c r="F8020"/>
  <c r="G8020" s="1"/>
  <c r="F8019"/>
  <c r="G8019" s="1"/>
  <c r="F8018"/>
  <c r="G8018" s="1"/>
  <c r="F8017"/>
  <c r="G8017" s="1"/>
  <c r="G8021" s="1"/>
  <c r="G8067"/>
  <c r="G8066"/>
  <c r="F8054"/>
  <c r="G8054" s="1"/>
  <c r="F7999"/>
  <c r="G7999" s="1"/>
  <c r="G8046"/>
  <c r="G8045"/>
  <c r="F8032"/>
  <c r="G8032" s="1"/>
  <c r="G8012"/>
  <c r="G8011"/>
  <c r="F8002"/>
  <c r="F8023" s="1"/>
  <c r="F8036" s="1"/>
  <c r="F7991"/>
  <c r="G7991" s="1"/>
  <c r="F7990"/>
  <c r="G7990" s="1"/>
  <c r="F7977"/>
  <c r="G7977" s="1"/>
  <c r="F7961"/>
  <c r="G7961" s="1"/>
  <c r="G7962" s="1"/>
  <c r="F7941"/>
  <c r="G7941" s="1"/>
  <c r="G7942" s="1"/>
  <c r="F7921"/>
  <c r="G7921" s="1"/>
  <c r="G7922" s="1"/>
  <c r="F7887"/>
  <c r="G7887" s="1"/>
  <c r="F7884"/>
  <c r="F7904" s="1"/>
  <c r="G7904" s="1"/>
  <c r="F7957"/>
  <c r="G7957" s="1"/>
  <c r="F7956"/>
  <c r="F7937"/>
  <c r="G7937" s="1"/>
  <c r="F7936"/>
  <c r="F7917"/>
  <c r="G7917" s="1"/>
  <c r="F7916"/>
  <c r="F7897"/>
  <c r="G7897" s="1"/>
  <c r="F7896"/>
  <c r="F7877"/>
  <c r="G7877" s="1"/>
  <c r="F7876"/>
  <c r="F7866"/>
  <c r="F7886" s="1"/>
  <c r="G7886" s="1"/>
  <c r="F7865"/>
  <c r="G7865" s="1"/>
  <c r="F7861"/>
  <c r="G7861" s="1"/>
  <c r="G7862" s="1"/>
  <c r="F7857"/>
  <c r="G7857" s="1"/>
  <c r="F7856"/>
  <c r="F7834"/>
  <c r="G7834" s="1"/>
  <c r="F7833"/>
  <c r="G7833" s="1"/>
  <c r="F7812"/>
  <c r="G7812" s="1"/>
  <c r="F7811"/>
  <c r="G7811" s="1"/>
  <c r="F7798"/>
  <c r="G7798" s="1"/>
  <c r="F7797"/>
  <c r="F7819" s="1"/>
  <c r="G7819" s="1"/>
  <c r="F7796"/>
  <c r="F7818" s="1"/>
  <c r="F7840" s="1"/>
  <c r="G7840" s="1"/>
  <c r="F7795"/>
  <c r="G7795" s="1"/>
  <c r="F7790"/>
  <c r="G7790" s="1"/>
  <c r="F7789"/>
  <c r="G7789" s="1"/>
  <c r="F7756"/>
  <c r="G7756" s="1"/>
  <c r="F7578"/>
  <c r="G7578" s="1"/>
  <c r="F7577"/>
  <c r="G7577" s="1"/>
  <c r="F7559"/>
  <c r="G7559" s="1"/>
  <c r="F7558"/>
  <c r="G7558" s="1"/>
  <c r="F742"/>
  <c r="G742" s="1"/>
  <c r="K15" i="340"/>
  <c r="F8052" i="16"/>
  <c r="G8052" s="1"/>
  <c r="F7583"/>
  <c r="G7583" s="1"/>
  <c r="E7579"/>
  <c r="F7565"/>
  <c r="G7565" s="1"/>
  <c r="F7564"/>
  <c r="G7564" s="1"/>
  <c r="E7189"/>
  <c r="F7532"/>
  <c r="G7532" s="1"/>
  <c r="F7498"/>
  <c r="G7498" s="1"/>
  <c r="F7464"/>
  <c r="G7464" s="1"/>
  <c r="F7443"/>
  <c r="G7443" s="1"/>
  <c r="F7442"/>
  <c r="G7442" s="1"/>
  <c r="F7441"/>
  <c r="G7441" s="1"/>
  <c r="F7440"/>
  <c r="G7440" s="1"/>
  <c r="F7439"/>
  <c r="G7439" s="1"/>
  <c r="F7438"/>
  <c r="F7472" s="1"/>
  <c r="F7506" s="1"/>
  <c r="F7437"/>
  <c r="G7437" s="1"/>
  <c r="F7436"/>
  <c r="F7470" s="1"/>
  <c r="G7470" s="1"/>
  <c r="F7435"/>
  <c r="F7469" s="1"/>
  <c r="G7469" s="1"/>
  <c r="F7434"/>
  <c r="F7468" s="1"/>
  <c r="G7468" s="1"/>
  <c r="F7433"/>
  <c r="F7467" s="1"/>
  <c r="G7467" s="1"/>
  <c r="F7432"/>
  <c r="G7432" s="1"/>
  <c r="F7431"/>
  <c r="F7465" s="1"/>
  <c r="F7499" s="1"/>
  <c r="F7430"/>
  <c r="G7430" s="1"/>
  <c r="F7429"/>
  <c r="G7429" s="1"/>
  <c r="F7428"/>
  <c r="F7462" s="1"/>
  <c r="F7427"/>
  <c r="G7427" s="1"/>
  <c r="F7409"/>
  <c r="G7409" s="1"/>
  <c r="G7410" s="1"/>
  <c r="F7391"/>
  <c r="G7391" s="1"/>
  <c r="G7392" s="1"/>
  <c r="F7373"/>
  <c r="G7373" s="1"/>
  <c r="G7374" s="1"/>
  <c r="F7355"/>
  <c r="G7355" s="1"/>
  <c r="G7356" s="1"/>
  <c r="F7337"/>
  <c r="G7337" s="1"/>
  <c r="G7338" s="1"/>
  <c r="F7319"/>
  <c r="G7319" s="1"/>
  <c r="G7320" s="1"/>
  <c r="F7301"/>
  <c r="G7301" s="1"/>
  <c r="G7302" s="1"/>
  <c r="F7283"/>
  <c r="G7283" s="1"/>
  <c r="G7284" s="1"/>
  <c r="F7265"/>
  <c r="G7265" s="1"/>
  <c r="G7266" s="1"/>
  <c r="F7247"/>
  <c r="G7247" s="1"/>
  <c r="G7248" s="1"/>
  <c r="F7229"/>
  <c r="G7229" s="1"/>
  <c r="G7230" s="1"/>
  <c r="F7211"/>
  <c r="G7211" s="1"/>
  <c r="G7212" s="1"/>
  <c r="F7193"/>
  <c r="G7193" s="1"/>
  <c r="G7194" s="1"/>
  <c r="F7175"/>
  <c r="G7175" s="1"/>
  <c r="G7176" s="1"/>
  <c r="F7157"/>
  <c r="G7157" s="1"/>
  <c r="G7158" s="1"/>
  <c r="F7139"/>
  <c r="G7139" s="1"/>
  <c r="G7140" s="1"/>
  <c r="F7121"/>
  <c r="G7121" s="1"/>
  <c r="F7120"/>
  <c r="G7120" s="1"/>
  <c r="F7102"/>
  <c r="G7102" s="1"/>
  <c r="F7101"/>
  <c r="G7101" s="1"/>
  <c r="F7083"/>
  <c r="G7083" s="1"/>
  <c r="F7082"/>
  <c r="G7082" s="1"/>
  <c r="F7064"/>
  <c r="G7064" s="1"/>
  <c r="F7063"/>
  <c r="G7063" s="1"/>
  <c r="F7045"/>
  <c r="G7045" s="1"/>
  <c r="F7044"/>
  <c r="G7044" s="1"/>
  <c r="F7026"/>
  <c r="G7026" s="1"/>
  <c r="F7025"/>
  <c r="G7025" s="1"/>
  <c r="F7006"/>
  <c r="G7006" s="1"/>
  <c r="G7007" s="1"/>
  <c r="F6988"/>
  <c r="G6988" s="1"/>
  <c r="G6989" s="1"/>
  <c r="F6970"/>
  <c r="G6970" s="1"/>
  <c r="G6971" s="1"/>
  <c r="F6952"/>
  <c r="G6952" s="1"/>
  <c r="G6953" s="1"/>
  <c r="F6933"/>
  <c r="G6933" s="1"/>
  <c r="F6914"/>
  <c r="G6914" s="1"/>
  <c r="F6895"/>
  <c r="G6895" s="1"/>
  <c r="F6876"/>
  <c r="G6876" s="1"/>
  <c r="G6861"/>
  <c r="G6862" s="1"/>
  <c r="F6857"/>
  <c r="G6857" s="1"/>
  <c r="F6838"/>
  <c r="G6838" s="1"/>
  <c r="F6819"/>
  <c r="G6819" s="1"/>
  <c r="F6800"/>
  <c r="G6800" s="1"/>
  <c r="F6781"/>
  <c r="G6781" s="1"/>
  <c r="G6766"/>
  <c r="G6767" s="1"/>
  <c r="F6762"/>
  <c r="G6762" s="1"/>
  <c r="F6743"/>
  <c r="G6743" s="1"/>
  <c r="F6725"/>
  <c r="G6744" s="1"/>
  <c r="F6724"/>
  <c r="G6724" s="1"/>
  <c r="E8344"/>
  <c r="E8343"/>
  <c r="E8342"/>
  <c r="E8337"/>
  <c r="G8331"/>
  <c r="G8332" s="1"/>
  <c r="E8320"/>
  <c r="E8319"/>
  <c r="E8318"/>
  <c r="E8313"/>
  <c r="G8307"/>
  <c r="G8308" s="1"/>
  <c r="E8296"/>
  <c r="E8294"/>
  <c r="E8293"/>
  <c r="E8292"/>
  <c r="E8291"/>
  <c r="E8287"/>
  <c r="E8283"/>
  <c r="E8279"/>
  <c r="E8278"/>
  <c r="E8277"/>
  <c r="G8274"/>
  <c r="C8273"/>
  <c r="B8273"/>
  <c r="C8272"/>
  <c r="B8272"/>
  <c r="E8261"/>
  <c r="E8259"/>
  <c r="E8258"/>
  <c r="E8257"/>
  <c r="E8256"/>
  <c r="E8252"/>
  <c r="E8248"/>
  <c r="E8244"/>
  <c r="E8243"/>
  <c r="E8242"/>
  <c r="G8239"/>
  <c r="C8238"/>
  <c r="B8238"/>
  <c r="C8237"/>
  <c r="B8237"/>
  <c r="G8150"/>
  <c r="G8151" s="1"/>
  <c r="E8147"/>
  <c r="G8132"/>
  <c r="G8133" s="1"/>
  <c r="E8129"/>
  <c r="E8126"/>
  <c r="E8124"/>
  <c r="E8123"/>
  <c r="G8114"/>
  <c r="G8115" s="1"/>
  <c r="E8111"/>
  <c r="G8096"/>
  <c r="G8097" s="1"/>
  <c r="E8093"/>
  <c r="E8078"/>
  <c r="E8057"/>
  <c r="E8036"/>
  <c r="E8023"/>
  <c r="E8002"/>
  <c r="E7981"/>
  <c r="G7981" s="1"/>
  <c r="G7982" s="1"/>
  <c r="E7956"/>
  <c r="E7936"/>
  <c r="E7916"/>
  <c r="E7896"/>
  <c r="E7876"/>
  <c r="G7867"/>
  <c r="G7864"/>
  <c r="E7856"/>
  <c r="B7846"/>
  <c r="B7824"/>
  <c r="G7802"/>
  <c r="G7803" s="1"/>
  <c r="E7780"/>
  <c r="C7780"/>
  <c r="B7780"/>
  <c r="E7777"/>
  <c r="C7777"/>
  <c r="B7777"/>
  <c r="C7776"/>
  <c r="B7776"/>
  <c r="E7775"/>
  <c r="E7776" s="1"/>
  <c r="C7775"/>
  <c r="B7775"/>
  <c r="E7772"/>
  <c r="C7772"/>
  <c r="B7772"/>
  <c r="E7769"/>
  <c r="E7768"/>
  <c r="E7765"/>
  <c r="C7765"/>
  <c r="B7765"/>
  <c r="E7751"/>
  <c r="C7751"/>
  <c r="B7751"/>
  <c r="E7748"/>
  <c r="C7748"/>
  <c r="B7748"/>
  <c r="C7747"/>
  <c r="B7747"/>
  <c r="E7746"/>
  <c r="E7747" s="1"/>
  <c r="C7746"/>
  <c r="B7746"/>
  <c r="E7743"/>
  <c r="C7743"/>
  <c r="B7743"/>
  <c r="E7740"/>
  <c r="E7739"/>
  <c r="E7736"/>
  <c r="C7736"/>
  <c r="B7736"/>
  <c r="E7611"/>
  <c r="B7611"/>
  <c r="E7608"/>
  <c r="B7608"/>
  <c r="B7607"/>
  <c r="E7606"/>
  <c r="E7607" s="1"/>
  <c r="B7606"/>
  <c r="B7603"/>
  <c r="E7596"/>
  <c r="B7596"/>
  <c r="G7587"/>
  <c r="G7588" s="1"/>
  <c r="G7568"/>
  <c r="G7569" s="1"/>
  <c r="G7548"/>
  <c r="G7549" s="1"/>
  <c r="E7526"/>
  <c r="E7524"/>
  <c r="E7523"/>
  <c r="G7514"/>
  <c r="G7515" s="1"/>
  <c r="E7492"/>
  <c r="E7490"/>
  <c r="E7489"/>
  <c r="G7480"/>
  <c r="G7481" s="1"/>
  <c r="E7458"/>
  <c r="E7456"/>
  <c r="E7455"/>
  <c r="G7446"/>
  <c r="G7447" s="1"/>
  <c r="E7424"/>
  <c r="E7422"/>
  <c r="E7421"/>
  <c r="G7412"/>
  <c r="G7413" s="1"/>
  <c r="E7406"/>
  <c r="E7404"/>
  <c r="E7403"/>
  <c r="G7394"/>
  <c r="G7395" s="1"/>
  <c r="G7376"/>
  <c r="G7377" s="1"/>
  <c r="G7358"/>
  <c r="G7359" s="1"/>
  <c r="G7340"/>
  <c r="G7341" s="1"/>
  <c r="E7334"/>
  <c r="E7332"/>
  <c r="E7331"/>
  <c r="G7322"/>
  <c r="G7323" s="1"/>
  <c r="G7304"/>
  <c r="G7305" s="1"/>
  <c r="G7286"/>
  <c r="G7287" s="1"/>
  <c r="G7268"/>
  <c r="G7269" s="1"/>
  <c r="G7250"/>
  <c r="G7251" s="1"/>
  <c r="G7232"/>
  <c r="G7233" s="1"/>
  <c r="G7214"/>
  <c r="G7215" s="1"/>
  <c r="G7196"/>
  <c r="G7197" s="1"/>
  <c r="G7178"/>
  <c r="G7179" s="1"/>
  <c r="G7160"/>
  <c r="G7161" s="1"/>
  <c r="G7142"/>
  <c r="G7143" s="1"/>
  <c r="G7124"/>
  <c r="G7125" s="1"/>
  <c r="G7105"/>
  <c r="G7106" s="1"/>
  <c r="G7086"/>
  <c r="G7087" s="1"/>
  <c r="G7067"/>
  <c r="G7068" s="1"/>
  <c r="G7048"/>
  <c r="G7049" s="1"/>
  <c r="G7029"/>
  <c r="G7030" s="1"/>
  <c r="G7009"/>
  <c r="G7010" s="1"/>
  <c r="G6991"/>
  <c r="G6992" s="1"/>
  <c r="G6973"/>
  <c r="G6974" s="1"/>
  <c r="G6955"/>
  <c r="G6956" s="1"/>
  <c r="G6937"/>
  <c r="G6938" s="1"/>
  <c r="G6918"/>
  <c r="G6919" s="1"/>
  <c r="G6899"/>
  <c r="G6900" s="1"/>
  <c r="G6880"/>
  <c r="G6881" s="1"/>
  <c r="G6842"/>
  <c r="G6843" s="1"/>
  <c r="G6823"/>
  <c r="G6824" s="1"/>
  <c r="G6804"/>
  <c r="G6805" s="1"/>
  <c r="G6785"/>
  <c r="G6786" s="1"/>
  <c r="G6747"/>
  <c r="G6748" s="1"/>
  <c r="G6728"/>
  <c r="G6729" s="1"/>
  <c r="G3075"/>
  <c r="C198" i="339"/>
  <c r="B198"/>
  <c r="F3078" i="16"/>
  <c r="G3078" s="1"/>
  <c r="F3077"/>
  <c r="G3077" s="1"/>
  <c r="F3072"/>
  <c r="G3072" s="1"/>
  <c r="F3071"/>
  <c r="G3071" s="1"/>
  <c r="F3070"/>
  <c r="G3070" s="1"/>
  <c r="F3069"/>
  <c r="G3069" s="1"/>
  <c r="C310" i="339"/>
  <c r="B310"/>
  <c r="G4910" i="16"/>
  <c r="G4909"/>
  <c r="F4906"/>
  <c r="G4906" s="1"/>
  <c r="F4905"/>
  <c r="G4905" s="1"/>
  <c r="F4904"/>
  <c r="G4904" s="1"/>
  <c r="F4903"/>
  <c r="G4903" s="1"/>
  <c r="C300" i="339"/>
  <c r="B300"/>
  <c r="G4749" i="16"/>
  <c r="F4750"/>
  <c r="G4750" s="1"/>
  <c r="F4746"/>
  <c r="G4746" s="1"/>
  <c r="F4745"/>
  <c r="G4745" s="1"/>
  <c r="F4744"/>
  <c r="G4744" s="1"/>
  <c r="F4743"/>
  <c r="G4743" s="1"/>
  <c r="C308" i="339"/>
  <c r="B308"/>
  <c r="G4878" i="16"/>
  <c r="G4877"/>
  <c r="C307" i="339"/>
  <c r="B307"/>
  <c r="C306"/>
  <c r="B306"/>
  <c r="G4845" i="16"/>
  <c r="G4874"/>
  <c r="G4873"/>
  <c r="G4872"/>
  <c r="G4871"/>
  <c r="F4862"/>
  <c r="G4862" s="1"/>
  <c r="G4861"/>
  <c r="F4858"/>
  <c r="G4858" s="1"/>
  <c r="F4857"/>
  <c r="G4857" s="1"/>
  <c r="F4856"/>
  <c r="G4856" s="1"/>
  <c r="F4855"/>
  <c r="G4855" s="1"/>
  <c r="F4846"/>
  <c r="G4846" s="1"/>
  <c r="F4842"/>
  <c r="G4842" s="1"/>
  <c r="F4841"/>
  <c r="G4841" s="1"/>
  <c r="F4840"/>
  <c r="G4840" s="1"/>
  <c r="F4839"/>
  <c r="G4839" s="1"/>
  <c r="C314" i="339"/>
  <c r="B314"/>
  <c r="F4973" i="16"/>
  <c r="G4973" s="1"/>
  <c r="C313" i="339"/>
  <c r="B313"/>
  <c r="G4957" i="16"/>
  <c r="C312" i="339"/>
  <c r="B312"/>
  <c r="F4974" i="16"/>
  <c r="G4974" s="1"/>
  <c r="F4958"/>
  <c r="G4958" s="1"/>
  <c r="F4942"/>
  <c r="G4942" s="1"/>
  <c r="G4941"/>
  <c r="F4926"/>
  <c r="G4926" s="1"/>
  <c r="C311" i="339"/>
  <c r="B311"/>
  <c r="G4925" i="16"/>
  <c r="F4970"/>
  <c r="G4970" s="1"/>
  <c r="F4969"/>
  <c r="G4969" s="1"/>
  <c r="F4968"/>
  <c r="G4968" s="1"/>
  <c r="F4967"/>
  <c r="G4967" s="1"/>
  <c r="F4954"/>
  <c r="G4954" s="1"/>
  <c r="F4953"/>
  <c r="G4953" s="1"/>
  <c r="F4952"/>
  <c r="G4952" s="1"/>
  <c r="F4951"/>
  <c r="G4951" s="1"/>
  <c r="F4938"/>
  <c r="G4938" s="1"/>
  <c r="F4937"/>
  <c r="G4937" s="1"/>
  <c r="F4936"/>
  <c r="G4936" s="1"/>
  <c r="F4935"/>
  <c r="G4935" s="1"/>
  <c r="F4922"/>
  <c r="G4922" s="1"/>
  <c r="F4921"/>
  <c r="G4921" s="1"/>
  <c r="F4920"/>
  <c r="G4920" s="1"/>
  <c r="F4919"/>
  <c r="G4919" s="1"/>
  <c r="C272" i="339"/>
  <c r="B272"/>
  <c r="G4314" i="16"/>
  <c r="G4315"/>
  <c r="F4311"/>
  <c r="G4311" s="1"/>
  <c r="F4310"/>
  <c r="G4310" s="1"/>
  <c r="F4309"/>
  <c r="G4309" s="1"/>
  <c r="F4308"/>
  <c r="G4308" s="1"/>
  <c r="C267" i="339"/>
  <c r="B267"/>
  <c r="G4231" i="16"/>
  <c r="G4232"/>
  <c r="F4228"/>
  <c r="G4228" s="1"/>
  <c r="F4227"/>
  <c r="G4227" s="1"/>
  <c r="F4226"/>
  <c r="G4226" s="1"/>
  <c r="F4225"/>
  <c r="G4225" s="1"/>
  <c r="F6180"/>
  <c r="G6180" s="1"/>
  <c r="G3906"/>
  <c r="G167"/>
  <c r="G166"/>
  <c r="G147"/>
  <c r="G145"/>
  <c r="G144"/>
  <c r="F52" i="343"/>
  <c r="G52" s="1"/>
  <c r="F31"/>
  <c r="G31" s="1"/>
  <c r="G4364" i="16"/>
  <c r="G4348"/>
  <c r="F4347"/>
  <c r="G4347" s="1"/>
  <c r="G5654"/>
  <c r="F136" i="343"/>
  <c r="G136" s="1"/>
  <c r="F115"/>
  <c r="G115" s="1"/>
  <c r="F94"/>
  <c r="G94" s="1"/>
  <c r="F73"/>
  <c r="G73" s="1"/>
  <c r="F135"/>
  <c r="G135" s="1"/>
  <c r="F256"/>
  <c r="G256" s="1"/>
  <c r="F255"/>
  <c r="G255" s="1"/>
  <c r="F252"/>
  <c r="G252" s="1"/>
  <c r="F251"/>
  <c r="G251" s="1"/>
  <c r="F250"/>
  <c r="G250" s="1"/>
  <c r="F249"/>
  <c r="G249" s="1"/>
  <c r="F233"/>
  <c r="G233" s="1"/>
  <c r="F236"/>
  <c r="G236" s="1"/>
  <c r="F235"/>
  <c r="G235" s="1"/>
  <c r="F230"/>
  <c r="G230" s="1"/>
  <c r="F229"/>
  <c r="G229" s="1"/>
  <c r="F228"/>
  <c r="G228" s="1"/>
  <c r="F227"/>
  <c r="G227" s="1"/>
  <c r="F214"/>
  <c r="G214" s="1"/>
  <c r="F215"/>
  <c r="G215" s="1"/>
  <c r="F211"/>
  <c r="G211" s="1"/>
  <c r="F210"/>
  <c r="G210" s="1"/>
  <c r="F209"/>
  <c r="G209" s="1"/>
  <c r="F208"/>
  <c r="G208" s="1"/>
  <c r="H2816" i="16"/>
  <c r="F132" i="343"/>
  <c r="G132" s="1"/>
  <c r="F131"/>
  <c r="G131" s="1"/>
  <c r="F130"/>
  <c r="G130" s="1"/>
  <c r="F129"/>
  <c r="G129" s="1"/>
  <c r="F196"/>
  <c r="G196" s="1"/>
  <c r="F195"/>
  <c r="G195" s="1"/>
  <c r="F192"/>
  <c r="G192" s="1"/>
  <c r="F191"/>
  <c r="G191" s="1"/>
  <c r="F190"/>
  <c r="G190" s="1"/>
  <c r="F189"/>
  <c r="G189" s="1"/>
  <c r="F177"/>
  <c r="G177" s="1"/>
  <c r="G178" s="1"/>
  <c r="G176"/>
  <c r="F173"/>
  <c r="G173" s="1"/>
  <c r="F172"/>
  <c r="G172" s="1"/>
  <c r="F171"/>
  <c r="G171" s="1"/>
  <c r="F170"/>
  <c r="G170" s="1"/>
  <c r="F114"/>
  <c r="G114" s="1"/>
  <c r="F93"/>
  <c r="G93" s="1"/>
  <c r="C66" i="339"/>
  <c r="B66"/>
  <c r="F929" i="16"/>
  <c r="G929" s="1"/>
  <c r="F930"/>
  <c r="G930" s="1"/>
  <c r="F926"/>
  <c r="G926" s="1"/>
  <c r="F925"/>
  <c r="G925" s="1"/>
  <c r="F924"/>
  <c r="G924" s="1"/>
  <c r="F923"/>
  <c r="G923" s="1"/>
  <c r="F157" i="343"/>
  <c r="G157" s="1"/>
  <c r="F72"/>
  <c r="G72" s="1"/>
  <c r="F51"/>
  <c r="G51" s="1"/>
  <c r="F30"/>
  <c r="G30" s="1"/>
  <c r="F156"/>
  <c r="G156" s="1"/>
  <c r="F153"/>
  <c r="G153" s="1"/>
  <c r="F152"/>
  <c r="G152" s="1"/>
  <c r="F151"/>
  <c r="G151" s="1"/>
  <c r="F150"/>
  <c r="G150" s="1"/>
  <c r="F111"/>
  <c r="G111" s="1"/>
  <c r="F110"/>
  <c r="G110" s="1"/>
  <c r="F109"/>
  <c r="G109" s="1"/>
  <c r="F108"/>
  <c r="G108" s="1"/>
  <c r="F90"/>
  <c r="G90" s="1"/>
  <c r="F89"/>
  <c r="G89" s="1"/>
  <c r="F88"/>
  <c r="G88" s="1"/>
  <c r="F87"/>
  <c r="G87" s="1"/>
  <c r="F69"/>
  <c r="G69" s="1"/>
  <c r="F68"/>
  <c r="G68" s="1"/>
  <c r="F67"/>
  <c r="G67" s="1"/>
  <c r="F66"/>
  <c r="G66" s="1"/>
  <c r="F5041" i="16"/>
  <c r="G5041" s="1"/>
  <c r="F5023"/>
  <c r="G5023" s="1"/>
  <c r="F48" i="343"/>
  <c r="G48" s="1"/>
  <c r="F47"/>
  <c r="G47" s="1"/>
  <c r="F46"/>
  <c r="G46" s="1"/>
  <c r="F45"/>
  <c r="G45" s="1"/>
  <c r="F27"/>
  <c r="G27" s="1"/>
  <c r="F26"/>
  <c r="G26" s="1"/>
  <c r="F25"/>
  <c r="G25" s="1"/>
  <c r="F24"/>
  <c r="G24" s="1"/>
  <c r="F8"/>
  <c r="G8" s="1"/>
  <c r="F7"/>
  <c r="G7" s="1"/>
  <c r="G3857" i="16"/>
  <c r="G6452"/>
  <c r="F6453" s="1"/>
  <c r="G6453" s="1"/>
  <c r="G6454" s="1"/>
  <c r="E276" i="343"/>
  <c r="E275"/>
  <c r="E274"/>
  <c r="E269"/>
  <c r="E268"/>
  <c r="E267"/>
  <c r="E266"/>
  <c r="E270"/>
  <c r="E265"/>
  <c r="H539" i="339"/>
  <c r="G2477" i="16"/>
  <c r="A353" i="340"/>
  <c r="A355"/>
  <c r="A357"/>
  <c r="A359"/>
  <c r="A361"/>
  <c r="C235" i="339"/>
  <c r="B235"/>
  <c r="C234"/>
  <c r="B234"/>
  <c r="C233"/>
  <c r="B233"/>
  <c r="G3691" i="16"/>
  <c r="G3690"/>
  <c r="F3687"/>
  <c r="G3687" s="1"/>
  <c r="F3686"/>
  <c r="G3686" s="1"/>
  <c r="F3685"/>
  <c r="G3685" s="1"/>
  <c r="F3684"/>
  <c r="G3684" s="1"/>
  <c r="C232" i="339"/>
  <c r="B232"/>
  <c r="G3675" i="16"/>
  <c r="G3674"/>
  <c r="F3671"/>
  <c r="G3671" s="1"/>
  <c r="F3670"/>
  <c r="G3670" s="1"/>
  <c r="F3669"/>
  <c r="G3669" s="1"/>
  <c r="F3668"/>
  <c r="G3668" s="1"/>
  <c r="F2494"/>
  <c r="G2494" s="1"/>
  <c r="F2493"/>
  <c r="G2493" s="1"/>
  <c r="F2478"/>
  <c r="G2478" s="1"/>
  <c r="C159" i="339"/>
  <c r="B159"/>
  <c r="F2490" i="16"/>
  <c r="G2490" s="1"/>
  <c r="F2489"/>
  <c r="G2489" s="1"/>
  <c r="F2488"/>
  <c r="G2488" s="1"/>
  <c r="F2487"/>
  <c r="G2487" s="1"/>
  <c r="B21" i="339"/>
  <c r="C21"/>
  <c r="G1788" i="16"/>
  <c r="G1787"/>
  <c r="F1629"/>
  <c r="G1629" s="1"/>
  <c r="F1630"/>
  <c r="G1630" s="1"/>
  <c r="F1642"/>
  <c r="G1642" s="1"/>
  <c r="F1628"/>
  <c r="G1628" s="1"/>
  <c r="F6045"/>
  <c r="G6045" s="1"/>
  <c r="F6046" s="1"/>
  <c r="G6046" s="1"/>
  <c r="G5752"/>
  <c r="G5750"/>
  <c r="G5558"/>
  <c r="G5559" s="1"/>
  <c r="G4247"/>
  <c r="G2967"/>
  <c r="G2949"/>
  <c r="G2931"/>
  <c r="G2913"/>
  <c r="G2895"/>
  <c r="G2878"/>
  <c r="G2861"/>
  <c r="G2844"/>
  <c r="C265" i="339"/>
  <c r="B265"/>
  <c r="C246"/>
  <c r="B246"/>
  <c r="C218"/>
  <c r="B218"/>
  <c r="C202"/>
  <c r="B202"/>
  <c r="C201"/>
  <c r="B201"/>
  <c r="H3531" i="16"/>
  <c r="G6356"/>
  <c r="F6357" s="1"/>
  <c r="G6357" s="1"/>
  <c r="G6358" s="1"/>
  <c r="H6120"/>
  <c r="H6114"/>
  <c r="G2095"/>
  <c r="F1335"/>
  <c r="G1335" s="1"/>
  <c r="F796"/>
  <c r="G796" s="1"/>
  <c r="F724"/>
  <c r="G724" s="1"/>
  <c r="F650"/>
  <c r="G650" s="1"/>
  <c r="L283"/>
  <c r="L278"/>
  <c r="H283"/>
  <c r="H284"/>
  <c r="L277"/>
  <c r="C425" i="339"/>
  <c r="G6705" i="16"/>
  <c r="G6687"/>
  <c r="G6324"/>
  <c r="F6325" s="1"/>
  <c r="G6325" s="1"/>
  <c r="G6326" s="1"/>
  <c r="G6308"/>
  <c r="F6309" s="1"/>
  <c r="G6309" s="1"/>
  <c r="F6148"/>
  <c r="G6148" s="1"/>
  <c r="F6132"/>
  <c r="G6132" s="1"/>
  <c r="F6113"/>
  <c r="G6113" s="1"/>
  <c r="F6080"/>
  <c r="F6115" s="1"/>
  <c r="G6115" s="1"/>
  <c r="C381" i="339"/>
  <c r="C382"/>
  <c r="B382"/>
  <c r="G5974" i="16"/>
  <c r="F5976"/>
  <c r="G5976" s="1"/>
  <c r="F5971"/>
  <c r="G5971" s="1"/>
  <c r="F5970"/>
  <c r="G5970" s="1"/>
  <c r="F5969"/>
  <c r="G5969" s="1"/>
  <c r="F5968"/>
  <c r="G5968" s="1"/>
  <c r="C361" i="339"/>
  <c r="B361"/>
  <c r="G5656" i="16"/>
  <c r="F5655"/>
  <c r="G5655" s="1"/>
  <c r="F5651"/>
  <c r="G5651" s="1"/>
  <c r="F5650"/>
  <c r="G5650" s="1"/>
  <c r="F5649"/>
  <c r="G5649" s="1"/>
  <c r="F5648"/>
  <c r="G5648" s="1"/>
  <c r="G5574"/>
  <c r="G5573"/>
  <c r="G5821"/>
  <c r="C370" i="339"/>
  <c r="B370"/>
  <c r="C369"/>
  <c r="B369"/>
  <c r="C366"/>
  <c r="B366"/>
  <c r="C365"/>
  <c r="B365"/>
  <c r="C364"/>
  <c r="B364"/>
  <c r="C363"/>
  <c r="B363"/>
  <c r="G5802" i="16"/>
  <c r="G5801"/>
  <c r="F5803"/>
  <c r="G5803" s="1"/>
  <c r="F5798"/>
  <c r="G5798" s="1"/>
  <c r="F5797"/>
  <c r="G5797" s="1"/>
  <c r="F5796"/>
  <c r="G5796" s="1"/>
  <c r="F5795"/>
  <c r="G5795" s="1"/>
  <c r="G5785"/>
  <c r="G5784"/>
  <c r="F5786"/>
  <c r="G5786" s="1"/>
  <c r="F5781"/>
  <c r="G5781" s="1"/>
  <c r="F5780"/>
  <c r="G5780" s="1"/>
  <c r="F5779"/>
  <c r="G5779" s="1"/>
  <c r="F5778"/>
  <c r="G5778" s="1"/>
  <c r="F5735"/>
  <c r="G5735" s="1"/>
  <c r="F5732"/>
  <c r="G5732" s="1"/>
  <c r="F5731"/>
  <c r="G5731" s="1"/>
  <c r="F5730"/>
  <c r="G5730" s="1"/>
  <c r="F5729"/>
  <c r="G5729" s="1"/>
  <c r="F5720"/>
  <c r="G5720" s="1"/>
  <c r="F5719"/>
  <c r="G5719" s="1"/>
  <c r="F5716"/>
  <c r="G5716" s="1"/>
  <c r="F5715"/>
  <c r="G5715" s="1"/>
  <c r="F5714"/>
  <c r="G5714" s="1"/>
  <c r="F5713"/>
  <c r="G5713" s="1"/>
  <c r="G5702"/>
  <c r="F5704"/>
  <c r="G5704" s="1"/>
  <c r="F5703"/>
  <c r="G5703" s="1"/>
  <c r="F5699"/>
  <c r="G5699" s="1"/>
  <c r="F5698"/>
  <c r="G5698" s="1"/>
  <c r="F5697"/>
  <c r="G5697" s="1"/>
  <c r="F5696"/>
  <c r="G5696" s="1"/>
  <c r="F5687"/>
  <c r="G5687" s="1"/>
  <c r="F5684"/>
  <c r="G5684" s="1"/>
  <c r="F5683"/>
  <c r="G5683" s="1"/>
  <c r="F5682"/>
  <c r="G5682" s="1"/>
  <c r="F5681"/>
  <c r="G5681" s="1"/>
  <c r="C359" i="339"/>
  <c r="B359"/>
  <c r="G5622" i="16"/>
  <c r="G5621"/>
  <c r="G5620"/>
  <c r="F5617"/>
  <c r="G5617" s="1"/>
  <c r="F5616"/>
  <c r="G5616" s="1"/>
  <c r="F5615"/>
  <c r="G5615" s="1"/>
  <c r="F5614"/>
  <c r="G5614" s="1"/>
  <c r="C424" i="339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G6672" i="16"/>
  <c r="F6671"/>
  <c r="G6671" s="1"/>
  <c r="F6670"/>
  <c r="G6670" s="1"/>
  <c r="F6667"/>
  <c r="F6721" s="1"/>
  <c r="G6721" s="1"/>
  <c r="F6666"/>
  <c r="F7059" s="1"/>
  <c r="G7059" s="1"/>
  <c r="F6665"/>
  <c r="G6665" s="1"/>
  <c r="F6664"/>
  <c r="G6664" s="1"/>
  <c r="G6655"/>
  <c r="F6654"/>
  <c r="G6654" s="1"/>
  <c r="F6653"/>
  <c r="G6653" s="1"/>
  <c r="F6650"/>
  <c r="G6650" s="1"/>
  <c r="F6649"/>
  <c r="G6649" s="1"/>
  <c r="F6648"/>
  <c r="G6648" s="1"/>
  <c r="F6647"/>
  <c r="G6647" s="1"/>
  <c r="G6638"/>
  <c r="F6637"/>
  <c r="G6637" s="1"/>
  <c r="F6636"/>
  <c r="G6636" s="1"/>
  <c r="F6633"/>
  <c r="G6633" s="1"/>
  <c r="F6632"/>
  <c r="G6632" s="1"/>
  <c r="F6631"/>
  <c r="G6631" s="1"/>
  <c r="F6630"/>
  <c r="G6630" s="1"/>
  <c r="G6621"/>
  <c r="F6620"/>
  <c r="G6620" s="1"/>
  <c r="F6619"/>
  <c r="G6619" s="1"/>
  <c r="F6616"/>
  <c r="G6616" s="1"/>
  <c r="F6615"/>
  <c r="G6615" s="1"/>
  <c r="F6614"/>
  <c r="G6614" s="1"/>
  <c r="F6613"/>
  <c r="G6613" s="1"/>
  <c r="G6604"/>
  <c r="F6603"/>
  <c r="G6603" s="1"/>
  <c r="F6602"/>
  <c r="G6602" s="1"/>
  <c r="F6599"/>
  <c r="G6599" s="1"/>
  <c r="F6598"/>
  <c r="G6598" s="1"/>
  <c r="F6597"/>
  <c r="G6597" s="1"/>
  <c r="F6596"/>
  <c r="G6596" s="1"/>
  <c r="G6587"/>
  <c r="F6586"/>
  <c r="G6586" s="1"/>
  <c r="F6585"/>
  <c r="G6585" s="1"/>
  <c r="F6582"/>
  <c r="G6582" s="1"/>
  <c r="F6581"/>
  <c r="G6581" s="1"/>
  <c r="F6580"/>
  <c r="G6580" s="1"/>
  <c r="F6579"/>
  <c r="G6579" s="1"/>
  <c r="G6570"/>
  <c r="F6569"/>
  <c r="G6569" s="1"/>
  <c r="F6568"/>
  <c r="G6568" s="1"/>
  <c r="F6565"/>
  <c r="G6565" s="1"/>
  <c r="F6564"/>
  <c r="G6564" s="1"/>
  <c r="F6563"/>
  <c r="G6563" s="1"/>
  <c r="F6562"/>
  <c r="G6562" s="1"/>
  <c r="G6553"/>
  <c r="G6536"/>
  <c r="G6519"/>
  <c r="G6502"/>
  <c r="F6552"/>
  <c r="G6552" s="1"/>
  <c r="F6551"/>
  <c r="G6551" s="1"/>
  <c r="F6548"/>
  <c r="G6548" s="1"/>
  <c r="F6547"/>
  <c r="G6547" s="1"/>
  <c r="F6546"/>
  <c r="G6546" s="1"/>
  <c r="F6545"/>
  <c r="G6545" s="1"/>
  <c r="F6534"/>
  <c r="G6534" s="1"/>
  <c r="F6517"/>
  <c r="G6517" s="1"/>
  <c r="F6500"/>
  <c r="G6500" s="1"/>
  <c r="F6535"/>
  <c r="G6535" s="1"/>
  <c r="F6531"/>
  <c r="G6531" s="1"/>
  <c r="F6530"/>
  <c r="G6530" s="1"/>
  <c r="F6529"/>
  <c r="G6529" s="1"/>
  <c r="F6528"/>
  <c r="G6528" s="1"/>
  <c r="F6518"/>
  <c r="G6518" s="1"/>
  <c r="F6501"/>
  <c r="G6501" s="1"/>
  <c r="F6514"/>
  <c r="G6514" s="1"/>
  <c r="F6513"/>
  <c r="G6513" s="1"/>
  <c r="F6512"/>
  <c r="G6512" s="1"/>
  <c r="F6511"/>
  <c r="G6511" s="1"/>
  <c r="F6479"/>
  <c r="G6479" s="1"/>
  <c r="F6463"/>
  <c r="G6463" s="1"/>
  <c r="F6447"/>
  <c r="G6447" s="1"/>
  <c r="F6431"/>
  <c r="G6431" s="1"/>
  <c r="F6497"/>
  <c r="G6497" s="1"/>
  <c r="F6496"/>
  <c r="G6496" s="1"/>
  <c r="F6495"/>
  <c r="G6495" s="1"/>
  <c r="F6494"/>
  <c r="G6494" s="1"/>
  <c r="G6484"/>
  <c r="F6485" s="1"/>
  <c r="G6485" s="1"/>
  <c r="F6481"/>
  <c r="G6481" s="1"/>
  <c r="F6480"/>
  <c r="G6480" s="1"/>
  <c r="F6478"/>
  <c r="G6478" s="1"/>
  <c r="G6468"/>
  <c r="F6465"/>
  <c r="G6465" s="1"/>
  <c r="F6464"/>
  <c r="G6464" s="1"/>
  <c r="F6462"/>
  <c r="G6462" s="1"/>
  <c r="C395" i="339"/>
  <c r="B395"/>
  <c r="F6196" i="16"/>
  <c r="G6196" s="1"/>
  <c r="F6197"/>
  <c r="G6197" s="1"/>
  <c r="F6181"/>
  <c r="G6181" s="1"/>
  <c r="F6193"/>
  <c r="G6193" s="1"/>
  <c r="F6192"/>
  <c r="G6192" s="1"/>
  <c r="F6191"/>
  <c r="G6191" s="1"/>
  <c r="F6190"/>
  <c r="G6190" s="1"/>
  <c r="C385" i="339"/>
  <c r="B385"/>
  <c r="F6027" i="16"/>
  <c r="G6027" s="1"/>
  <c r="F6030" s="1"/>
  <c r="G6030" s="1"/>
  <c r="F6029"/>
  <c r="G6029" s="1"/>
  <c r="F6024"/>
  <c r="G6024" s="1"/>
  <c r="F6023"/>
  <c r="G6023" s="1"/>
  <c r="F6022"/>
  <c r="G6022" s="1"/>
  <c r="F6021"/>
  <c r="G6021" s="1"/>
  <c r="B381" i="339"/>
  <c r="F5957" i="16"/>
  <c r="G5957" s="1"/>
  <c r="F5959"/>
  <c r="G5959" s="1"/>
  <c r="F5954"/>
  <c r="G5954" s="1"/>
  <c r="F5953"/>
  <c r="G5953" s="1"/>
  <c r="F5952"/>
  <c r="G5952" s="1"/>
  <c r="F5951"/>
  <c r="G5951" s="1"/>
  <c r="C379" i="339"/>
  <c r="B379"/>
  <c r="F5924" i="16"/>
  <c r="G5924" s="1"/>
  <c r="F5925" s="1"/>
  <c r="G5925" s="1"/>
  <c r="G5926" s="1"/>
  <c r="F5921"/>
  <c r="G5921" s="1"/>
  <c r="F5920"/>
  <c r="G5920" s="1"/>
  <c r="F5919"/>
  <c r="G5919" s="1"/>
  <c r="F5918"/>
  <c r="G5918" s="1"/>
  <c r="G5892"/>
  <c r="G5873"/>
  <c r="G5876"/>
  <c r="G5874"/>
  <c r="G5857"/>
  <c r="G5855"/>
  <c r="G5840"/>
  <c r="G5838"/>
  <c r="G5837"/>
  <c r="G5836"/>
  <c r="F5819"/>
  <c r="G5819" s="1"/>
  <c r="F5672"/>
  <c r="G5672" s="1"/>
  <c r="F5639"/>
  <c r="G5639" s="1"/>
  <c r="F5542"/>
  <c r="G5542" s="1"/>
  <c r="F5521"/>
  <c r="G5521" s="1"/>
  <c r="F5540"/>
  <c r="G5540" s="1"/>
  <c r="F5519"/>
  <c r="G5519" s="1"/>
  <c r="G5277"/>
  <c r="G5278" s="1"/>
  <c r="G5247"/>
  <c r="G5248" s="1"/>
  <c r="G4444"/>
  <c r="G4363"/>
  <c r="G4282"/>
  <c r="G4199"/>
  <c r="F4196"/>
  <c r="G4196" s="1"/>
  <c r="F4195"/>
  <c r="G4195" s="1"/>
  <c r="F4194"/>
  <c r="G4194" s="1"/>
  <c r="F4193"/>
  <c r="G4193" s="1"/>
  <c r="G4184"/>
  <c r="G4181"/>
  <c r="G4134"/>
  <c r="G4133"/>
  <c r="G4118"/>
  <c r="G4117"/>
  <c r="G3905"/>
  <c r="F3902"/>
  <c r="G3902" s="1"/>
  <c r="F3901"/>
  <c r="G3901" s="1"/>
  <c r="F3900"/>
  <c r="G3900" s="1"/>
  <c r="F3899"/>
  <c r="G3899" s="1"/>
  <c r="G3726"/>
  <c r="G3725"/>
  <c r="G3707"/>
  <c r="G3706"/>
  <c r="G3705"/>
  <c r="G3703"/>
  <c r="G3710"/>
  <c r="G3711" s="1"/>
  <c r="G3430"/>
  <c r="G3433"/>
  <c r="F3432"/>
  <c r="G3432" s="1"/>
  <c r="F3427"/>
  <c r="G3427" s="1"/>
  <c r="F3426"/>
  <c r="G3426" s="1"/>
  <c r="F3425"/>
  <c r="G3425" s="1"/>
  <c r="F3424"/>
  <c r="G3424" s="1"/>
  <c r="G3147"/>
  <c r="F3150"/>
  <c r="G3150" s="1"/>
  <c r="F3149"/>
  <c r="G3149" s="1"/>
  <c r="F3144"/>
  <c r="G3144" s="1"/>
  <c r="F3143"/>
  <c r="G3143" s="1"/>
  <c r="F3142"/>
  <c r="G3142" s="1"/>
  <c r="F3141"/>
  <c r="G3141" s="1"/>
  <c r="G3129"/>
  <c r="F3132"/>
  <c r="G3132" s="1"/>
  <c r="F3131"/>
  <c r="G3131" s="1"/>
  <c r="F3126"/>
  <c r="G3126" s="1"/>
  <c r="F3125"/>
  <c r="G3125" s="1"/>
  <c r="F3124"/>
  <c r="G3124" s="1"/>
  <c r="F3123"/>
  <c r="G3123" s="1"/>
  <c r="G1767"/>
  <c r="G1766"/>
  <c r="G852"/>
  <c r="F7824"/>
  <c r="G7824" s="1"/>
  <c r="G7825" s="1"/>
  <c r="G3704"/>
  <c r="A289" i="340"/>
  <c r="A290" s="1"/>
  <c r="A291" s="1"/>
  <c r="A292" s="1"/>
  <c r="A293" s="1"/>
  <c r="A294" s="1"/>
  <c r="A295" s="1"/>
  <c r="A296" s="1"/>
  <c r="C3" i="339"/>
  <c r="B3"/>
  <c r="C263"/>
  <c r="B263"/>
  <c r="F6147" i="16"/>
  <c r="G6147" s="1"/>
  <c r="G5501"/>
  <c r="G5502" s="1"/>
  <c r="G5488"/>
  <c r="G5489" s="1"/>
  <c r="G5461"/>
  <c r="G5462" s="1"/>
  <c r="G5430"/>
  <c r="G5337"/>
  <c r="G5338" s="1"/>
  <c r="G5307"/>
  <c r="G5308" s="1"/>
  <c r="G5262"/>
  <c r="G5263" s="1"/>
  <c r="G5202"/>
  <c r="G5203" s="1"/>
  <c r="G5157"/>
  <c r="G5158" s="1"/>
  <c r="G5061"/>
  <c r="G5043"/>
  <c r="G5025"/>
  <c r="G4893"/>
  <c r="G4797"/>
  <c r="G4781"/>
  <c r="G4700"/>
  <c r="G4683"/>
  <c r="G4615"/>
  <c r="G4614"/>
  <c r="G4596"/>
  <c r="G4396"/>
  <c r="G4395"/>
  <c r="G4379"/>
  <c r="G4298"/>
  <c r="G4263"/>
  <c r="G4215"/>
  <c r="G4165"/>
  <c r="G4166"/>
  <c r="F4162"/>
  <c r="G4162" s="1"/>
  <c r="F4161"/>
  <c r="G4161" s="1"/>
  <c r="F4160"/>
  <c r="G4160" s="1"/>
  <c r="F4159"/>
  <c r="G4159" s="1"/>
  <c r="G4102"/>
  <c r="G4101"/>
  <c r="G3988"/>
  <c r="G3956"/>
  <c r="G3954"/>
  <c r="G3953"/>
  <c r="G3890"/>
  <c r="F3874"/>
  <c r="G3874" s="1"/>
  <c r="F3858"/>
  <c r="G3858" s="1"/>
  <c r="G3809"/>
  <c r="G3825"/>
  <c r="G3826"/>
  <c r="F3842"/>
  <c r="G3842" s="1"/>
  <c r="G3841"/>
  <c r="G3810"/>
  <c r="G3794"/>
  <c r="G3659"/>
  <c r="G3642"/>
  <c r="G3576"/>
  <c r="G3524"/>
  <c r="G3502"/>
  <c r="G3378"/>
  <c r="F3309"/>
  <c r="G3309" s="1"/>
  <c r="F3273"/>
  <c r="G3273" s="1"/>
  <c r="F3276"/>
  <c r="G3276" s="1"/>
  <c r="F3275"/>
  <c r="G3275" s="1"/>
  <c r="F3270"/>
  <c r="G3270" s="1"/>
  <c r="F3269"/>
  <c r="G3269" s="1"/>
  <c r="F3268"/>
  <c r="G3268" s="1"/>
  <c r="F3267"/>
  <c r="G3267" s="1"/>
  <c r="F3255"/>
  <c r="G3255" s="1"/>
  <c r="F3258"/>
  <c r="G3258" s="1"/>
  <c r="F3257"/>
  <c r="G3257" s="1"/>
  <c r="F3252"/>
  <c r="G3252" s="1"/>
  <c r="F3251"/>
  <c r="G3251" s="1"/>
  <c r="F3250"/>
  <c r="G3250" s="1"/>
  <c r="F3249"/>
  <c r="G3249" s="1"/>
  <c r="F3237"/>
  <c r="G3237" s="1"/>
  <c r="F3240"/>
  <c r="G3240" s="1"/>
  <c r="F3239"/>
  <c r="G3239" s="1"/>
  <c r="F3234"/>
  <c r="G3234" s="1"/>
  <c r="F3233"/>
  <c r="G3233" s="1"/>
  <c r="F3232"/>
  <c r="G3232" s="1"/>
  <c r="F3231"/>
  <c r="G3231" s="1"/>
  <c r="C200" i="339"/>
  <c r="B200"/>
  <c r="G3111" i="16"/>
  <c r="F3114"/>
  <c r="G3114" s="1"/>
  <c r="F3113"/>
  <c r="G3113" s="1"/>
  <c r="F3108"/>
  <c r="G3108" s="1"/>
  <c r="F3107"/>
  <c r="G3107" s="1"/>
  <c r="F3106"/>
  <c r="G3106" s="1"/>
  <c r="F3105"/>
  <c r="G3105" s="1"/>
  <c r="G3219"/>
  <c r="G3183"/>
  <c r="G3021"/>
  <c r="G3003"/>
  <c r="G2985"/>
  <c r="G2460"/>
  <c r="F2445"/>
  <c r="G2445" s="1"/>
  <c r="F2427"/>
  <c r="G2427" s="1"/>
  <c r="F2409"/>
  <c r="G2409" s="1"/>
  <c r="G2442"/>
  <c r="G2424"/>
  <c r="G2406"/>
  <c r="G2388"/>
  <c r="F2391"/>
  <c r="G2391" s="1"/>
  <c r="F2373"/>
  <c r="G2373" s="1"/>
  <c r="F2355"/>
  <c r="G2355" s="1"/>
  <c r="F2370"/>
  <c r="G2370" s="1"/>
  <c r="F2352"/>
  <c r="G2352" s="1"/>
  <c r="F2335"/>
  <c r="G2335" s="1"/>
  <c r="F2318"/>
  <c r="G2318" s="1"/>
  <c r="F2301"/>
  <c r="G2301" s="1"/>
  <c r="F2284"/>
  <c r="G2284" s="1"/>
  <c r="F2267"/>
  <c r="G2267" s="1"/>
  <c r="F2249"/>
  <c r="G2249" s="1"/>
  <c r="F2232"/>
  <c r="G2232" s="1"/>
  <c r="F2215"/>
  <c r="G2215" s="1"/>
  <c r="F2198"/>
  <c r="G2198" s="1"/>
  <c r="C135" i="339"/>
  <c r="B135"/>
  <c r="F2181" i="16"/>
  <c r="G2181" s="1"/>
  <c r="F2109"/>
  <c r="G2109" s="1"/>
  <c r="F2108"/>
  <c r="G2108" s="1"/>
  <c r="F2107"/>
  <c r="G2107" s="1"/>
  <c r="F2106"/>
  <c r="G2106" s="1"/>
  <c r="G2079"/>
  <c r="G2029"/>
  <c r="G2011"/>
  <c r="C126" i="339"/>
  <c r="C127"/>
  <c r="B127"/>
  <c r="G1980" i="16"/>
  <c r="G1981" s="1"/>
  <c r="G1965"/>
  <c r="G1966" s="1"/>
  <c r="F1977"/>
  <c r="G1977" s="1"/>
  <c r="F1976"/>
  <c r="G1976" s="1"/>
  <c r="F1975"/>
  <c r="G1975" s="1"/>
  <c r="F1974"/>
  <c r="G1974" s="1"/>
  <c r="G1933"/>
  <c r="G1834"/>
  <c r="G1835" s="1"/>
  <c r="G1770"/>
  <c r="G1771" s="1"/>
  <c r="G1748"/>
  <c r="G1641"/>
  <c r="F1616"/>
  <c r="G1616" s="1"/>
  <c r="G1617" s="1"/>
  <c r="F1597"/>
  <c r="G1597" s="1"/>
  <c r="G1598" s="1"/>
  <c r="F1578"/>
  <c r="G1578" s="1"/>
  <c r="G1579" s="1"/>
  <c r="F1559"/>
  <c r="G1559" s="1"/>
  <c r="F1558"/>
  <c r="G1558" s="1"/>
  <c r="F1536"/>
  <c r="G1536" s="1"/>
  <c r="F1535"/>
  <c r="G1535" s="1"/>
  <c r="F1498"/>
  <c r="G1498" s="1"/>
  <c r="F1497"/>
  <c r="G1497" s="1"/>
  <c r="F1391"/>
  <c r="G1391" s="1"/>
  <c r="F1373"/>
  <c r="G1373" s="1"/>
  <c r="F1355"/>
  <c r="G1355" s="1"/>
  <c r="G1353"/>
  <c r="C1352"/>
  <c r="G1337"/>
  <c r="G1319"/>
  <c r="F1301"/>
  <c r="G1301" s="1"/>
  <c r="F1283"/>
  <c r="G1283" s="1"/>
  <c r="G897"/>
  <c r="G898" s="1"/>
  <c r="G882"/>
  <c r="G883" s="1"/>
  <c r="G867"/>
  <c r="G868" s="1"/>
  <c r="F913"/>
  <c r="G913" s="1"/>
  <c r="F912"/>
  <c r="G912" s="1"/>
  <c r="F834"/>
  <c r="G834" s="1"/>
  <c r="F816"/>
  <c r="G816" s="1"/>
  <c r="F798"/>
  <c r="G798" s="1"/>
  <c r="F780"/>
  <c r="G780" s="1"/>
  <c r="F762"/>
  <c r="G762" s="1"/>
  <c r="F744"/>
  <c r="G744" s="1"/>
  <c r="F726"/>
  <c r="G726" s="1"/>
  <c r="F708"/>
  <c r="G708" s="1"/>
  <c r="F690"/>
  <c r="G690" s="1"/>
  <c r="F670"/>
  <c r="G670" s="1"/>
  <c r="F652"/>
  <c r="G652" s="1"/>
  <c r="F634"/>
  <c r="G634" s="1"/>
  <c r="G281"/>
  <c r="G282"/>
  <c r="G196"/>
  <c r="G58"/>
  <c r="G5077"/>
  <c r="G5076"/>
  <c r="F5060"/>
  <c r="G5060" s="1"/>
  <c r="G5059"/>
  <c r="F5044"/>
  <c r="G5044" s="1"/>
  <c r="F5026"/>
  <c r="G5026" s="1"/>
  <c r="F5042"/>
  <c r="G5042" s="1"/>
  <c r="F5024"/>
  <c r="F4991" s="1"/>
  <c r="G4991" s="1"/>
  <c r="F4894"/>
  <c r="G4894" s="1"/>
  <c r="F4830"/>
  <c r="G4830" s="1"/>
  <c r="F4829"/>
  <c r="G4829" s="1"/>
  <c r="F4814"/>
  <c r="G4814" s="1"/>
  <c r="F4813"/>
  <c r="G4813" s="1"/>
  <c r="F4798"/>
  <c r="G4798" s="1"/>
  <c r="F4782"/>
  <c r="G4782" s="1"/>
  <c r="F4766"/>
  <c r="G4766" s="1"/>
  <c r="F4734"/>
  <c r="G4734" s="1"/>
  <c r="F4717"/>
  <c r="G4717" s="1"/>
  <c r="G4765"/>
  <c r="F4732"/>
  <c r="F4715"/>
  <c r="F4698"/>
  <c r="G4698" s="1"/>
  <c r="G4681"/>
  <c r="G4613"/>
  <c r="G4611"/>
  <c r="F4595"/>
  <c r="G4595" s="1"/>
  <c r="F4562"/>
  <c r="G4562" s="1"/>
  <c r="F4544"/>
  <c r="G4544" s="1"/>
  <c r="G4593"/>
  <c r="F4577"/>
  <c r="G4577" s="1"/>
  <c r="F4561"/>
  <c r="G4561" s="1"/>
  <c r="F4559"/>
  <c r="G4559" s="1"/>
  <c r="F4543"/>
  <c r="G4543" s="1"/>
  <c r="F4541"/>
  <c r="G4541" s="1"/>
  <c r="F4526"/>
  <c r="G4526" s="1"/>
  <c r="F4525"/>
  <c r="G4525" s="1"/>
  <c r="F4510"/>
  <c r="G4510" s="1"/>
  <c r="F4509"/>
  <c r="G4509" s="1"/>
  <c r="F4493"/>
  <c r="G4493" s="1"/>
  <c r="G4461"/>
  <c r="G4427"/>
  <c r="F4494"/>
  <c r="G4494" s="1"/>
  <c r="F4478"/>
  <c r="G4478" s="1"/>
  <c r="F4477"/>
  <c r="G4477" s="1"/>
  <c r="F4462"/>
  <c r="G4462" s="1"/>
  <c r="F4446"/>
  <c r="G4446" s="1"/>
  <c r="F4445"/>
  <c r="G4445" s="1"/>
  <c r="F4429"/>
  <c r="G4429" s="1"/>
  <c r="G4411"/>
  <c r="G4412" s="1"/>
  <c r="F4330"/>
  <c r="G4330" s="1"/>
  <c r="G4267"/>
  <c r="G4266"/>
  <c r="G4182"/>
  <c r="F4612"/>
  <c r="G4612" s="1"/>
  <c r="F4594"/>
  <c r="G4594" s="1"/>
  <c r="F4578"/>
  <c r="G4578" s="1"/>
  <c r="F4560"/>
  <c r="G4560" s="1"/>
  <c r="F4542"/>
  <c r="G4542" s="1"/>
  <c r="F4428"/>
  <c r="G4428" s="1"/>
  <c r="F4332"/>
  <c r="G4332" s="1"/>
  <c r="F4331"/>
  <c r="G4331" s="1"/>
  <c r="G4283"/>
  <c r="G4264"/>
  <c r="G4248"/>
  <c r="G4183"/>
  <c r="G4150"/>
  <c r="F3312"/>
  <c r="G3312" s="1"/>
  <c r="F3311"/>
  <c r="G3311" s="1"/>
  <c r="F3222"/>
  <c r="G3222" s="1"/>
  <c r="F3221"/>
  <c r="G3221" s="1"/>
  <c r="F3186"/>
  <c r="G3186" s="1"/>
  <c r="F3185"/>
  <c r="G3185" s="1"/>
  <c r="F3060"/>
  <c r="G3060" s="1"/>
  <c r="F3059"/>
  <c r="G3059" s="1"/>
  <c r="F3042"/>
  <c r="G3042" s="1"/>
  <c r="F3041"/>
  <c r="G3041" s="1"/>
  <c r="F3024"/>
  <c r="G3024" s="1"/>
  <c r="F3023"/>
  <c r="G3023" s="1"/>
  <c r="F3006"/>
  <c r="G3006" s="1"/>
  <c r="F3005"/>
  <c r="G3005" s="1"/>
  <c r="F2988"/>
  <c r="G2988" s="1"/>
  <c r="F2987"/>
  <c r="G2987" s="1"/>
  <c r="G5872"/>
  <c r="F5875"/>
  <c r="G5875" s="1"/>
  <c r="F5856"/>
  <c r="G5856" s="1"/>
  <c r="G5839"/>
  <c r="F5820"/>
  <c r="G5820" s="1"/>
  <c r="F5818"/>
  <c r="G5818" s="1"/>
  <c r="F5769"/>
  <c r="G5769" s="1"/>
  <c r="F5768"/>
  <c r="G5768" s="1"/>
  <c r="F5751"/>
  <c r="G5751" s="1"/>
  <c r="F5671"/>
  <c r="G5671" s="1"/>
  <c r="G5638"/>
  <c r="G5637"/>
  <c r="F5605"/>
  <c r="G5605" s="1"/>
  <c r="G5604"/>
  <c r="G5603"/>
  <c r="G5588"/>
  <c r="G5589" s="1"/>
  <c r="F5575"/>
  <c r="G5575" s="1"/>
  <c r="F5543"/>
  <c r="G5543" s="1"/>
  <c r="F5541"/>
  <c r="G5541" s="1"/>
  <c r="F5539"/>
  <c r="G5539" s="1"/>
  <c r="F5538"/>
  <c r="G5538" s="1"/>
  <c r="F5537"/>
  <c r="G5537" s="1"/>
  <c r="F5522"/>
  <c r="G5522" s="1"/>
  <c r="F5520"/>
  <c r="G5520" s="1"/>
  <c r="F5518"/>
  <c r="G5518" s="1"/>
  <c r="F5517"/>
  <c r="G5517" s="1"/>
  <c r="F5516"/>
  <c r="G5516" s="1"/>
  <c r="G5475"/>
  <c r="G5476" s="1"/>
  <c r="G5446"/>
  <c r="G5447" s="1"/>
  <c r="G5414"/>
  <c r="F5431"/>
  <c r="G5431" s="1"/>
  <c r="F5415"/>
  <c r="G5415" s="1"/>
  <c r="F5399"/>
  <c r="G5399" s="1"/>
  <c r="G5383"/>
  <c r="G5398"/>
  <c r="G5382"/>
  <c r="G5367"/>
  <c r="G5368" s="1"/>
  <c r="G5352"/>
  <c r="G5353" s="1"/>
  <c r="G5322"/>
  <c r="G5323" s="1"/>
  <c r="G5292"/>
  <c r="G5293" s="1"/>
  <c r="G5187"/>
  <c r="G5188" s="1"/>
  <c r="G5172"/>
  <c r="G5173" s="1"/>
  <c r="G5142"/>
  <c r="G5143" s="1"/>
  <c r="G5127"/>
  <c r="G5128" s="1"/>
  <c r="G5891"/>
  <c r="F6165"/>
  <c r="G6165" s="1"/>
  <c r="G6166" s="1"/>
  <c r="F6131"/>
  <c r="G6131" s="1"/>
  <c r="F6096"/>
  <c r="G6096" s="1"/>
  <c r="F6097" s="1"/>
  <c r="G6097" s="1"/>
  <c r="F6081"/>
  <c r="G6081" s="1"/>
  <c r="F6077"/>
  <c r="G6077" s="1"/>
  <c r="F6061"/>
  <c r="G6061" s="1"/>
  <c r="F6062" s="1"/>
  <c r="G6062" s="1"/>
  <c r="G6063" s="1"/>
  <c r="F6009"/>
  <c r="G6009" s="1"/>
  <c r="F6012" s="1"/>
  <c r="G6012" s="1"/>
  <c r="F5991"/>
  <c r="G5991" s="1"/>
  <c r="F5994" s="1"/>
  <c r="G5994" s="1"/>
  <c r="F6150"/>
  <c r="G6150" s="1"/>
  <c r="F6079"/>
  <c r="G6079" s="1"/>
  <c r="F6011"/>
  <c r="G6011" s="1"/>
  <c r="F5993"/>
  <c r="G5993" s="1"/>
  <c r="F5942"/>
  <c r="G5942" s="1"/>
  <c r="F5940"/>
  <c r="G5940" s="1"/>
  <c r="G5908"/>
  <c r="G6260"/>
  <c r="G6276"/>
  <c r="F6277" s="1"/>
  <c r="G6277" s="1"/>
  <c r="G6278" s="1"/>
  <c r="G6292"/>
  <c r="F6293" s="1"/>
  <c r="G6293" s="1"/>
  <c r="G6294" s="1"/>
  <c r="G6340"/>
  <c r="F6341" s="1"/>
  <c r="G6341" s="1"/>
  <c r="G6342" s="1"/>
  <c r="G6372"/>
  <c r="F6373" s="1"/>
  <c r="G6373" s="1"/>
  <c r="G6388"/>
  <c r="F6389" s="1"/>
  <c r="G6389" s="1"/>
  <c r="G6390" s="1"/>
  <c r="G6404"/>
  <c r="F6405" s="1"/>
  <c r="G6405" s="1"/>
  <c r="G6420"/>
  <c r="F6436"/>
  <c r="G6436" s="1"/>
  <c r="F6437" s="1"/>
  <c r="G6437" s="1"/>
  <c r="G6438" s="1"/>
  <c r="F6690"/>
  <c r="G6690" s="1"/>
  <c r="F6689"/>
  <c r="G6689" s="1"/>
  <c r="F6708"/>
  <c r="G6708" s="1"/>
  <c r="F6707"/>
  <c r="G6707" s="1"/>
  <c r="G4149"/>
  <c r="G4085"/>
  <c r="F4086"/>
  <c r="G4086" s="1"/>
  <c r="F3989"/>
  <c r="G3989" s="1"/>
  <c r="G3955"/>
  <c r="G3889"/>
  <c r="G3873"/>
  <c r="G3793"/>
  <c r="G3658"/>
  <c r="G3643"/>
  <c r="F3624"/>
  <c r="G3624" s="1"/>
  <c r="G3625" s="1"/>
  <c r="F3593"/>
  <c r="G3593" s="1"/>
  <c r="F3577"/>
  <c r="G3577" s="1"/>
  <c r="G3592"/>
  <c r="G3559"/>
  <c r="G3542"/>
  <c r="F3561"/>
  <c r="G3561" s="1"/>
  <c r="F3544"/>
  <c r="G3544" s="1"/>
  <c r="G3506"/>
  <c r="G3527"/>
  <c r="F3526"/>
  <c r="G3526" s="1"/>
  <c r="G3505"/>
  <c r="F3504"/>
  <c r="G3504" s="1"/>
  <c r="G3397"/>
  <c r="F3396"/>
  <c r="G3396" s="1"/>
  <c r="F3379"/>
  <c r="G3379" s="1"/>
  <c r="F3362"/>
  <c r="G3362" s="1"/>
  <c r="G3394"/>
  <c r="F3363"/>
  <c r="G3363" s="1"/>
  <c r="G3330"/>
  <c r="F3347"/>
  <c r="G3347" s="1"/>
  <c r="F3331"/>
  <c r="G3331" s="1"/>
  <c r="G3057"/>
  <c r="G3039"/>
  <c r="F2970"/>
  <c r="G2970" s="1"/>
  <c r="F2969"/>
  <c r="G2969" s="1"/>
  <c r="F2952"/>
  <c r="G2952" s="1"/>
  <c r="F2951"/>
  <c r="G2951" s="1"/>
  <c r="F2934"/>
  <c r="G2934" s="1"/>
  <c r="F2933"/>
  <c r="G2933" s="1"/>
  <c r="F2916"/>
  <c r="G2916" s="1"/>
  <c r="F2915"/>
  <c r="G2915" s="1"/>
  <c r="F2897"/>
  <c r="G2897" s="1"/>
  <c r="F2898"/>
  <c r="G2898" s="1"/>
  <c r="F2880"/>
  <c r="G2880" s="1"/>
  <c r="F2846"/>
  <c r="G2846" s="1"/>
  <c r="F2863"/>
  <c r="G2863" s="1"/>
  <c r="F2797"/>
  <c r="G2797" s="1"/>
  <c r="F2751"/>
  <c r="G2751" s="1"/>
  <c r="F2735"/>
  <c r="G2735" s="1"/>
  <c r="F2719"/>
  <c r="G2719" s="1"/>
  <c r="F2703"/>
  <c r="G2703" s="1"/>
  <c r="F2687"/>
  <c r="G2687" s="1"/>
  <c r="F2671"/>
  <c r="G2671" s="1"/>
  <c r="F2655"/>
  <c r="G2655" s="1"/>
  <c r="F2639"/>
  <c r="G2639" s="1"/>
  <c r="F2623"/>
  <c r="G2623" s="1"/>
  <c r="F2607"/>
  <c r="G2607" s="1"/>
  <c r="F2591"/>
  <c r="G2591" s="1"/>
  <c r="F2575"/>
  <c r="G2575" s="1"/>
  <c r="F2559"/>
  <c r="G2559" s="1"/>
  <c r="F2543"/>
  <c r="G2543" s="1"/>
  <c r="F2527"/>
  <c r="G2527" s="1"/>
  <c r="F2511"/>
  <c r="G2511" s="1"/>
  <c r="F2462"/>
  <c r="G2462" s="1"/>
  <c r="F2444"/>
  <c r="G2444" s="1"/>
  <c r="F2426"/>
  <c r="G2426" s="1"/>
  <c r="F2408"/>
  <c r="G2408" s="1"/>
  <c r="F2390"/>
  <c r="G2390" s="1"/>
  <c r="F2372"/>
  <c r="G2372" s="1"/>
  <c r="F2354"/>
  <c r="G2354" s="1"/>
  <c r="F2337"/>
  <c r="G2337" s="1"/>
  <c r="F2320"/>
  <c r="G2320" s="1"/>
  <c r="F2303"/>
  <c r="G2303" s="1"/>
  <c r="F2286"/>
  <c r="G2286" s="1"/>
  <c r="F2269"/>
  <c r="G2269" s="1"/>
  <c r="F2251"/>
  <c r="G2251" s="1"/>
  <c r="F2234"/>
  <c r="G2234" s="1"/>
  <c r="F2217"/>
  <c r="G2217" s="1"/>
  <c r="F2200"/>
  <c r="G2200" s="1"/>
  <c r="F2183"/>
  <c r="G2183" s="1"/>
  <c r="F2063"/>
  <c r="G2063" s="1"/>
  <c r="F2062"/>
  <c r="G2062" s="1"/>
  <c r="F2046"/>
  <c r="G2046" s="1"/>
  <c r="F2045"/>
  <c r="G2045" s="1"/>
  <c r="G2047"/>
  <c r="G2028"/>
  <c r="G1849"/>
  <c r="G1850" s="1"/>
  <c r="G1819"/>
  <c r="G1820" s="1"/>
  <c r="G1804"/>
  <c r="G1805" s="1"/>
  <c r="G1765"/>
  <c r="G1750"/>
  <c r="G1733"/>
  <c r="G1732"/>
  <c r="G1702"/>
  <c r="G1703" s="1"/>
  <c r="G1672"/>
  <c r="G1671"/>
  <c r="G1670"/>
  <c r="F1613"/>
  <c r="G1613" s="1"/>
  <c r="G1614" s="1"/>
  <c r="F1594"/>
  <c r="G1594" s="1"/>
  <c r="G1595" s="1"/>
  <c r="F1575"/>
  <c r="G1575" s="1"/>
  <c r="G1576" s="1"/>
  <c r="F1555"/>
  <c r="G1555" s="1"/>
  <c r="G1556" s="1"/>
  <c r="F1532"/>
  <c r="G1532" s="1"/>
  <c r="G1533" s="1"/>
  <c r="F1494"/>
  <c r="G1494" s="1"/>
  <c r="G1495" s="1"/>
  <c r="F1394"/>
  <c r="G1394" s="1"/>
  <c r="F1393"/>
  <c r="G1393" s="1"/>
  <c r="F1392"/>
  <c r="G1392" s="1"/>
  <c r="F1390"/>
  <c r="G1390" s="1"/>
  <c r="F1375"/>
  <c r="G1375" s="1"/>
  <c r="F1374"/>
  <c r="G1374" s="1"/>
  <c r="F1372"/>
  <c r="G1372" s="1"/>
  <c r="F1357"/>
  <c r="G1357" s="1"/>
  <c r="F1356"/>
  <c r="G1356" s="1"/>
  <c r="F1354"/>
  <c r="G1354" s="1"/>
  <c r="F1264"/>
  <c r="G1264" s="1"/>
  <c r="F1263"/>
  <c r="G1263" s="1"/>
  <c r="F1261"/>
  <c r="G1261" s="1"/>
  <c r="F1260"/>
  <c r="G1260" s="1"/>
  <c r="F1259"/>
  <c r="G1259" s="1"/>
  <c r="F1258"/>
  <c r="G1258" s="1"/>
  <c r="F1241"/>
  <c r="G1241" s="1"/>
  <c r="F1240"/>
  <c r="G1240" s="1"/>
  <c r="F1238"/>
  <c r="G1238" s="1"/>
  <c r="F1237"/>
  <c r="G1237" s="1"/>
  <c r="F1236"/>
  <c r="G1236" s="1"/>
  <c r="F1235"/>
  <c r="G1235" s="1"/>
  <c r="F1218"/>
  <c r="G1218" s="1"/>
  <c r="F1217"/>
  <c r="G1217" s="1"/>
  <c r="F1216"/>
  <c r="G1216" s="1"/>
  <c r="F1201"/>
  <c r="G1201" s="1"/>
  <c r="F1200"/>
  <c r="G1200" s="1"/>
  <c r="F1198"/>
  <c r="G1198" s="1"/>
  <c r="F1197"/>
  <c r="G1197" s="1"/>
  <c r="F1196"/>
  <c r="F1181"/>
  <c r="G1181" s="1"/>
  <c r="F1180"/>
  <c r="G1180" s="1"/>
  <c r="F1178"/>
  <c r="G1178" s="1"/>
  <c r="F1177"/>
  <c r="G1177" s="1"/>
  <c r="F1176"/>
  <c r="F1120"/>
  <c r="G1120" s="1"/>
  <c r="F1119"/>
  <c r="G1119" s="1"/>
  <c r="F1117"/>
  <c r="G1117" s="1"/>
  <c r="F1116"/>
  <c r="G1116" s="1"/>
  <c r="F1115"/>
  <c r="F1079"/>
  <c r="G1079" s="1"/>
  <c r="F1078"/>
  <c r="G1078" s="1"/>
  <c r="F1076"/>
  <c r="G1076" s="1"/>
  <c r="F1075"/>
  <c r="G1075" s="1"/>
  <c r="F1074"/>
  <c r="F1097" s="1"/>
  <c r="G1097" s="1"/>
  <c r="G1100" s="1"/>
  <c r="G1101" s="1"/>
  <c r="G1102" s="1"/>
  <c r="F1038"/>
  <c r="G1038" s="1"/>
  <c r="F1037"/>
  <c r="G1037" s="1"/>
  <c r="F1035"/>
  <c r="G1035" s="1"/>
  <c r="F1034"/>
  <c r="G1034" s="1"/>
  <c r="F1033"/>
  <c r="F1056" s="1"/>
  <c r="G1056" s="1"/>
  <c r="G1059" s="1"/>
  <c r="F1000"/>
  <c r="G1000" s="1"/>
  <c r="F999"/>
  <c r="G999" s="1"/>
  <c r="F998"/>
  <c r="G998" s="1"/>
  <c r="F965"/>
  <c r="G965" s="1"/>
  <c r="F964"/>
  <c r="G964" s="1"/>
  <c r="F963"/>
  <c r="G963" s="1"/>
  <c r="G947"/>
  <c r="F851"/>
  <c r="G851" s="1"/>
  <c r="F850"/>
  <c r="G850" s="1"/>
  <c r="F615"/>
  <c r="G615" s="1"/>
  <c r="F614"/>
  <c r="G614" s="1"/>
  <c r="F612"/>
  <c r="G612" s="1"/>
  <c r="F597"/>
  <c r="G597" s="1"/>
  <c r="F596"/>
  <c r="G596" s="1"/>
  <c r="F595"/>
  <c r="G595" s="1"/>
  <c r="F594"/>
  <c r="G594" s="1"/>
  <c r="F592"/>
  <c r="G592" s="1"/>
  <c r="F577"/>
  <c r="G577" s="1"/>
  <c r="F576"/>
  <c r="G576" s="1"/>
  <c r="F561"/>
  <c r="G561" s="1"/>
  <c r="F559"/>
  <c r="G559" s="1"/>
  <c r="F544"/>
  <c r="G544" s="1"/>
  <c r="F542"/>
  <c r="G542" s="1"/>
  <c r="F527"/>
  <c r="G527" s="1"/>
  <c r="F525"/>
  <c r="G525" s="1"/>
  <c r="F510"/>
  <c r="G510" s="1"/>
  <c r="F508"/>
  <c r="G508" s="1"/>
  <c r="F493"/>
  <c r="G493" s="1"/>
  <c r="F491"/>
  <c r="G491" s="1"/>
  <c r="G475"/>
  <c r="G476" s="1"/>
  <c r="F462"/>
  <c r="G462" s="1"/>
  <c r="G463" s="1"/>
  <c r="F448"/>
  <c r="G448" s="1"/>
  <c r="G419"/>
  <c r="G420" s="1"/>
  <c r="G285"/>
  <c r="G284"/>
  <c r="G266"/>
  <c r="G267" s="1"/>
  <c r="F227"/>
  <c r="G227" s="1"/>
  <c r="F225"/>
  <c r="G225" s="1"/>
  <c r="F226"/>
  <c r="G226" s="1"/>
  <c r="F212"/>
  <c r="G212" s="1"/>
  <c r="F211"/>
  <c r="G211" s="1"/>
  <c r="F210"/>
  <c r="G210" s="1"/>
  <c r="G197"/>
  <c r="G168"/>
  <c r="F169"/>
  <c r="G169" s="1"/>
  <c r="F107"/>
  <c r="G107" s="1"/>
  <c r="F164"/>
  <c r="G164" s="1"/>
  <c r="F163"/>
  <c r="G163" s="1"/>
  <c r="F162"/>
  <c r="G162" s="1"/>
  <c r="F146"/>
  <c r="G146" s="1"/>
  <c r="F101"/>
  <c r="G101" s="1"/>
  <c r="F99"/>
  <c r="G99" s="1"/>
  <c r="F142"/>
  <c r="G142" s="1"/>
  <c r="F141"/>
  <c r="G141" s="1"/>
  <c r="G140"/>
  <c r="F125"/>
  <c r="G125" s="1"/>
  <c r="F36"/>
  <c r="G36" s="1"/>
  <c r="F124"/>
  <c r="G124" s="1"/>
  <c r="F123"/>
  <c r="G123" s="1"/>
  <c r="F122"/>
  <c r="G122" s="1"/>
  <c r="G106"/>
  <c r="G105"/>
  <c r="G104"/>
  <c r="G103"/>
  <c r="G102"/>
  <c r="G100"/>
  <c r="F96"/>
  <c r="G96" s="1"/>
  <c r="F95"/>
  <c r="G95" s="1"/>
  <c r="F94"/>
  <c r="G94" s="1"/>
  <c r="F78"/>
  <c r="G78" s="1"/>
  <c r="F76"/>
  <c r="G76" s="1"/>
  <c r="F77"/>
  <c r="G77" s="1"/>
  <c r="F61"/>
  <c r="G61" s="1"/>
  <c r="F60"/>
  <c r="G60" s="1"/>
  <c r="F59"/>
  <c r="G59" s="1"/>
  <c r="G41"/>
  <c r="F40"/>
  <c r="G40" s="1"/>
  <c r="F39"/>
  <c r="G39" s="1"/>
  <c r="F38"/>
  <c r="G38" s="1"/>
  <c r="F37"/>
  <c r="G37" s="1"/>
  <c r="F17"/>
  <c r="G17" s="1"/>
  <c r="F56"/>
  <c r="G56" s="1"/>
  <c r="F34"/>
  <c r="G34" s="1"/>
  <c r="F19"/>
  <c r="G19" s="1"/>
  <c r="F18"/>
  <c r="G18" s="1"/>
  <c r="F16"/>
  <c r="G16" s="1"/>
  <c r="F15"/>
  <c r="G15" s="1"/>
  <c r="F13"/>
  <c r="G13" s="1"/>
  <c r="F6702"/>
  <c r="G6702" s="1"/>
  <c r="F6701"/>
  <c r="G6701" s="1"/>
  <c r="F6700"/>
  <c r="G6700" s="1"/>
  <c r="F6699"/>
  <c r="G6699" s="1"/>
  <c r="F6684"/>
  <c r="G6684" s="1"/>
  <c r="F6683"/>
  <c r="G6683" s="1"/>
  <c r="F6682"/>
  <c r="G6682" s="1"/>
  <c r="F6681"/>
  <c r="G6681" s="1"/>
  <c r="F6449"/>
  <c r="G6449" s="1"/>
  <c r="F6448"/>
  <c r="G6448" s="1"/>
  <c r="F6446"/>
  <c r="G6446" s="1"/>
  <c r="F6433"/>
  <c r="G6433" s="1"/>
  <c r="F6432"/>
  <c r="G6432" s="1"/>
  <c r="F6430"/>
  <c r="G6430" s="1"/>
  <c r="F6417"/>
  <c r="G6417" s="1"/>
  <c r="F6416"/>
  <c r="G6416" s="1"/>
  <c r="F6415"/>
  <c r="G6415" s="1"/>
  <c r="F6414"/>
  <c r="G6414" s="1"/>
  <c r="F6401"/>
  <c r="G6401" s="1"/>
  <c r="F6400"/>
  <c r="G6400" s="1"/>
  <c r="F6399"/>
  <c r="G6399" s="1"/>
  <c r="F6398"/>
  <c r="G6398" s="1"/>
  <c r="F6385"/>
  <c r="G6385" s="1"/>
  <c r="F6384"/>
  <c r="G6384" s="1"/>
  <c r="F6383"/>
  <c r="G6383" s="1"/>
  <c r="F6382"/>
  <c r="G6382" s="1"/>
  <c r="F6369"/>
  <c r="G6369" s="1"/>
  <c r="F6368"/>
  <c r="G6368" s="1"/>
  <c r="F6367"/>
  <c r="G6367" s="1"/>
  <c r="F6366"/>
  <c r="G6366" s="1"/>
  <c r="F6353"/>
  <c r="G6353" s="1"/>
  <c r="F6352"/>
  <c r="G6352" s="1"/>
  <c r="F6351"/>
  <c r="G6351" s="1"/>
  <c r="F6350"/>
  <c r="G6350" s="1"/>
  <c r="F6337"/>
  <c r="G6337" s="1"/>
  <c r="F6336"/>
  <c r="G6336" s="1"/>
  <c r="F6335"/>
  <c r="G6335" s="1"/>
  <c r="F6334"/>
  <c r="G6334" s="1"/>
  <c r="F6321"/>
  <c r="G6321" s="1"/>
  <c r="F6320"/>
  <c r="G6320" s="1"/>
  <c r="F6319"/>
  <c r="G6319" s="1"/>
  <c r="F6318"/>
  <c r="G6318" s="1"/>
  <c r="F6305"/>
  <c r="G6305" s="1"/>
  <c r="F6304"/>
  <c r="G6304" s="1"/>
  <c r="F6303"/>
  <c r="G6303" s="1"/>
  <c r="F6302"/>
  <c r="G6302" s="1"/>
  <c r="F6289"/>
  <c r="G6289" s="1"/>
  <c r="F6288"/>
  <c r="G6288" s="1"/>
  <c r="F6287"/>
  <c r="G6287" s="1"/>
  <c r="F6286"/>
  <c r="G6286" s="1"/>
  <c r="F6273"/>
  <c r="G6273" s="1"/>
  <c r="F6272"/>
  <c r="G6272" s="1"/>
  <c r="F6271"/>
  <c r="G6271" s="1"/>
  <c r="F6270"/>
  <c r="G6270" s="1"/>
  <c r="F6257"/>
  <c r="G6257" s="1"/>
  <c r="F6256"/>
  <c r="G6256" s="1"/>
  <c r="F6255"/>
  <c r="G6255" s="1"/>
  <c r="F6254"/>
  <c r="G6254" s="1"/>
  <c r="F6177"/>
  <c r="G6177" s="1"/>
  <c r="F6176"/>
  <c r="G6176" s="1"/>
  <c r="F6175"/>
  <c r="G6175" s="1"/>
  <c r="F6174"/>
  <c r="G6174" s="1"/>
  <c r="F6162"/>
  <c r="G6162" s="1"/>
  <c r="F6161"/>
  <c r="G6161" s="1"/>
  <c r="F6160"/>
  <c r="G6160" s="1"/>
  <c r="F6159"/>
  <c r="G6159" s="1"/>
  <c r="F6144"/>
  <c r="G6144" s="1"/>
  <c r="F6143"/>
  <c r="G6143" s="1"/>
  <c r="F6142"/>
  <c r="G6142" s="1"/>
  <c r="F6141"/>
  <c r="G6141" s="1"/>
  <c r="F6128"/>
  <c r="G6128" s="1"/>
  <c r="F6127"/>
  <c r="G6127" s="1"/>
  <c r="F6126"/>
  <c r="G6126" s="1"/>
  <c r="F6125"/>
  <c r="G6125" s="1"/>
  <c r="F6109"/>
  <c r="G6109" s="1"/>
  <c r="F6108"/>
  <c r="G6108" s="1"/>
  <c r="F6107"/>
  <c r="G6107" s="1"/>
  <c r="F6106"/>
  <c r="G6106" s="1"/>
  <c r="F6093"/>
  <c r="G6093" s="1"/>
  <c r="F6092"/>
  <c r="G6092" s="1"/>
  <c r="F6091"/>
  <c r="G6091" s="1"/>
  <c r="F6090"/>
  <c r="G6090" s="1"/>
  <c r="F6074"/>
  <c r="G6074" s="1"/>
  <c r="F6073"/>
  <c r="G6073" s="1"/>
  <c r="F6072"/>
  <c r="G6072" s="1"/>
  <c r="F6071"/>
  <c r="G6071" s="1"/>
  <c r="F6058"/>
  <c r="G6058" s="1"/>
  <c r="F6057"/>
  <c r="G6057" s="1"/>
  <c r="F6056"/>
  <c r="G6056" s="1"/>
  <c r="F6055"/>
  <c r="G6055" s="1"/>
  <c r="F6042"/>
  <c r="G6042" s="1"/>
  <c r="F6041"/>
  <c r="G6041" s="1"/>
  <c r="F6040"/>
  <c r="G6040" s="1"/>
  <c r="F6039"/>
  <c r="G6039" s="1"/>
  <c r="F6006"/>
  <c r="G6006" s="1"/>
  <c r="F6005"/>
  <c r="G6005" s="1"/>
  <c r="F6004"/>
  <c r="G6004" s="1"/>
  <c r="F6003"/>
  <c r="G6003" s="1"/>
  <c r="F5988"/>
  <c r="G5988" s="1"/>
  <c r="F5987"/>
  <c r="G5987" s="1"/>
  <c r="F5986"/>
  <c r="G5986" s="1"/>
  <c r="F5985"/>
  <c r="G5985" s="1"/>
  <c r="F5937"/>
  <c r="G5937" s="1"/>
  <c r="F5936"/>
  <c r="G5936" s="1"/>
  <c r="F5935"/>
  <c r="G5935" s="1"/>
  <c r="F5934"/>
  <c r="G5934" s="1"/>
  <c r="F5905"/>
  <c r="G5905" s="1"/>
  <c r="F5904"/>
  <c r="G5904" s="1"/>
  <c r="F5903"/>
  <c r="G5903" s="1"/>
  <c r="F5902"/>
  <c r="G5902" s="1"/>
  <c r="F5888"/>
  <c r="G5888" s="1"/>
  <c r="F5887"/>
  <c r="G5887" s="1"/>
  <c r="F5886"/>
  <c r="G5886" s="1"/>
  <c r="F5885"/>
  <c r="G5885" s="1"/>
  <c r="F5869"/>
  <c r="G5869" s="1"/>
  <c r="F5868"/>
  <c r="G5868" s="1"/>
  <c r="F5867"/>
  <c r="G5867" s="1"/>
  <c r="F5866"/>
  <c r="G5866" s="1"/>
  <c r="F5852"/>
  <c r="G5852" s="1"/>
  <c r="F5851"/>
  <c r="G5851" s="1"/>
  <c r="F5850"/>
  <c r="G5850" s="1"/>
  <c r="F5849"/>
  <c r="G5849" s="1"/>
  <c r="F5833"/>
  <c r="G5833" s="1"/>
  <c r="F5832"/>
  <c r="G5832" s="1"/>
  <c r="F5831"/>
  <c r="G5831" s="1"/>
  <c r="F5830"/>
  <c r="G5830" s="1"/>
  <c r="F5815"/>
  <c r="G5815" s="1"/>
  <c r="F5814"/>
  <c r="G5814" s="1"/>
  <c r="F5813"/>
  <c r="G5813" s="1"/>
  <c r="F5812"/>
  <c r="G5812" s="1"/>
  <c r="F5765"/>
  <c r="G5765" s="1"/>
  <c r="F5764"/>
  <c r="G5764" s="1"/>
  <c r="F5763"/>
  <c r="G5763" s="1"/>
  <c r="F5762"/>
  <c r="G5762" s="1"/>
  <c r="F5747"/>
  <c r="G5747" s="1"/>
  <c r="F5746"/>
  <c r="G5746" s="1"/>
  <c r="F5745"/>
  <c r="G5745" s="1"/>
  <c r="F5744"/>
  <c r="G5744" s="1"/>
  <c r="F5668"/>
  <c r="G5668" s="1"/>
  <c r="F5667"/>
  <c r="G5667" s="1"/>
  <c r="F5666"/>
  <c r="G5666" s="1"/>
  <c r="F5665"/>
  <c r="G5665" s="1"/>
  <c r="F5634"/>
  <c r="G5634" s="1"/>
  <c r="F5633"/>
  <c r="G5633" s="1"/>
  <c r="F5632"/>
  <c r="G5632" s="1"/>
  <c r="F5631"/>
  <c r="G5631" s="1"/>
  <c r="F5600"/>
  <c r="G5600" s="1"/>
  <c r="F5599"/>
  <c r="G5599" s="1"/>
  <c r="F5598"/>
  <c r="G5598" s="1"/>
  <c r="F5597"/>
  <c r="G5597" s="1"/>
  <c r="F5585"/>
  <c r="G5585" s="1"/>
  <c r="F5584"/>
  <c r="G5584" s="1"/>
  <c r="F5570"/>
  <c r="G5570" s="1"/>
  <c r="F5569"/>
  <c r="G5569" s="1"/>
  <c r="F5568"/>
  <c r="G5568" s="1"/>
  <c r="F5567"/>
  <c r="G5567" s="1"/>
  <c r="F5555"/>
  <c r="G5555" s="1"/>
  <c r="F5554"/>
  <c r="G5554" s="1"/>
  <c r="F5553"/>
  <c r="G5553" s="1"/>
  <c r="F5552"/>
  <c r="G5552" s="1"/>
  <c r="F5534"/>
  <c r="G5534" s="1"/>
  <c r="F5533"/>
  <c r="G5533" s="1"/>
  <c r="F5532"/>
  <c r="G5532" s="1"/>
  <c r="F5531"/>
  <c r="G5531" s="1"/>
  <c r="F5513"/>
  <c r="G5513" s="1"/>
  <c r="F5512"/>
  <c r="G5512" s="1"/>
  <c r="F5511"/>
  <c r="G5511" s="1"/>
  <c r="F5510"/>
  <c r="G5510" s="1"/>
  <c r="F5498"/>
  <c r="G5498" s="1"/>
  <c r="F5497"/>
  <c r="G5497" s="1"/>
  <c r="F5485"/>
  <c r="G5485" s="1"/>
  <c r="F5484"/>
  <c r="G5484" s="1"/>
  <c r="F5472"/>
  <c r="G5472" s="1"/>
  <c r="F5471"/>
  <c r="G5471" s="1"/>
  <c r="F5458"/>
  <c r="G5458" s="1"/>
  <c r="F5457"/>
  <c r="G5457" s="1"/>
  <c r="F5456"/>
  <c r="G5456" s="1"/>
  <c r="F5455"/>
  <c r="G5455" s="1"/>
  <c r="F5443"/>
  <c r="G5443" s="1"/>
  <c r="F5442"/>
  <c r="G5442" s="1"/>
  <c r="F5441"/>
  <c r="G5441" s="1"/>
  <c r="F5440"/>
  <c r="G5440" s="1"/>
  <c r="F5427"/>
  <c r="G5427" s="1"/>
  <c r="F5426"/>
  <c r="G5426" s="1"/>
  <c r="F5425"/>
  <c r="G5425" s="1"/>
  <c r="F5424"/>
  <c r="G5424" s="1"/>
  <c r="F5411"/>
  <c r="G5411" s="1"/>
  <c r="F5410"/>
  <c r="G5410" s="1"/>
  <c r="F5409"/>
  <c r="G5409" s="1"/>
  <c r="F5408"/>
  <c r="G5408" s="1"/>
  <c r="F5395"/>
  <c r="G5395" s="1"/>
  <c r="F5394"/>
  <c r="G5394" s="1"/>
  <c r="F5393"/>
  <c r="G5393" s="1"/>
  <c r="F5392"/>
  <c r="G5392" s="1"/>
  <c r="F5379"/>
  <c r="G5379" s="1"/>
  <c r="F5378"/>
  <c r="G5378" s="1"/>
  <c r="F5377"/>
  <c r="G5377" s="1"/>
  <c r="F5376"/>
  <c r="G5376" s="1"/>
  <c r="F5364"/>
  <c r="G5364" s="1"/>
  <c r="F5363"/>
  <c r="G5363" s="1"/>
  <c r="F5362"/>
  <c r="G5362" s="1"/>
  <c r="F5361"/>
  <c r="G5361" s="1"/>
  <c r="F5349"/>
  <c r="G5349" s="1"/>
  <c r="F5348"/>
  <c r="G5348" s="1"/>
  <c r="F5347"/>
  <c r="G5347" s="1"/>
  <c r="F5346"/>
  <c r="G5346" s="1"/>
  <c r="F5334"/>
  <c r="G5334" s="1"/>
  <c r="F5333"/>
  <c r="G5333" s="1"/>
  <c r="F5332"/>
  <c r="G5332" s="1"/>
  <c r="F5331"/>
  <c r="G5331" s="1"/>
  <c r="F5319"/>
  <c r="G5319" s="1"/>
  <c r="F5318"/>
  <c r="G5318" s="1"/>
  <c r="F5317"/>
  <c r="G5317" s="1"/>
  <c r="F5316"/>
  <c r="G5316" s="1"/>
  <c r="F5304"/>
  <c r="G5304" s="1"/>
  <c r="F5303"/>
  <c r="G5303" s="1"/>
  <c r="F5302"/>
  <c r="G5302" s="1"/>
  <c r="F5301"/>
  <c r="G5301" s="1"/>
  <c r="F5289"/>
  <c r="G5289" s="1"/>
  <c r="F5288"/>
  <c r="G5288" s="1"/>
  <c r="F5287"/>
  <c r="G5287" s="1"/>
  <c r="F5286"/>
  <c r="G5286" s="1"/>
  <c r="F5274"/>
  <c r="G5274" s="1"/>
  <c r="F5273"/>
  <c r="G5273" s="1"/>
  <c r="F5272"/>
  <c r="G5272" s="1"/>
  <c r="F5271"/>
  <c r="G5271" s="1"/>
  <c r="F5259"/>
  <c r="G5259" s="1"/>
  <c r="F5258"/>
  <c r="G5258" s="1"/>
  <c r="F5257"/>
  <c r="G5257" s="1"/>
  <c r="F5256"/>
  <c r="G5256" s="1"/>
  <c r="F5244"/>
  <c r="G5244" s="1"/>
  <c r="F5243"/>
  <c r="G5243" s="1"/>
  <c r="F5242"/>
  <c r="G5242" s="1"/>
  <c r="F5241"/>
  <c r="G5241" s="1"/>
  <c r="F5199"/>
  <c r="G5199" s="1"/>
  <c r="F5198"/>
  <c r="G5198" s="1"/>
  <c r="F5197"/>
  <c r="G5197" s="1"/>
  <c r="F5196"/>
  <c r="G5196" s="1"/>
  <c r="F5184"/>
  <c r="G5184" s="1"/>
  <c r="F5183"/>
  <c r="G5183" s="1"/>
  <c r="F5182"/>
  <c r="G5182" s="1"/>
  <c r="F5181"/>
  <c r="G5181" s="1"/>
  <c r="F5169"/>
  <c r="G5169" s="1"/>
  <c r="F5168"/>
  <c r="G5168" s="1"/>
  <c r="F5167"/>
  <c r="G5167" s="1"/>
  <c r="F5166"/>
  <c r="G5166" s="1"/>
  <c r="F5154"/>
  <c r="G5154" s="1"/>
  <c r="F5153"/>
  <c r="G5153" s="1"/>
  <c r="F5152"/>
  <c r="G5152" s="1"/>
  <c r="F5151"/>
  <c r="G5151" s="1"/>
  <c r="F5139"/>
  <c r="G5139" s="1"/>
  <c r="F5138"/>
  <c r="G5138" s="1"/>
  <c r="F5137"/>
  <c r="G5137" s="1"/>
  <c r="F5136"/>
  <c r="G5136" s="1"/>
  <c r="F5124"/>
  <c r="G5124" s="1"/>
  <c r="F5123"/>
  <c r="G5123" s="1"/>
  <c r="F5122"/>
  <c r="G5122" s="1"/>
  <c r="F5121"/>
  <c r="G5121" s="1"/>
  <c r="F5089"/>
  <c r="G5089" s="1"/>
  <c r="F5088"/>
  <c r="G5088" s="1"/>
  <c r="F5087"/>
  <c r="G5087" s="1"/>
  <c r="F5086"/>
  <c r="G5086" s="1"/>
  <c r="F5073"/>
  <c r="G5073" s="1"/>
  <c r="F5072"/>
  <c r="G5072" s="1"/>
  <c r="F5071"/>
  <c r="G5071" s="1"/>
  <c r="F5070"/>
  <c r="G5070" s="1"/>
  <c r="F5056"/>
  <c r="G5056" s="1"/>
  <c r="F5055"/>
  <c r="G5055" s="1"/>
  <c r="F5054"/>
  <c r="G5054" s="1"/>
  <c r="F5053"/>
  <c r="G5053" s="1"/>
  <c r="F5038"/>
  <c r="G5038" s="1"/>
  <c r="F5037"/>
  <c r="G5037" s="1"/>
  <c r="F5036"/>
  <c r="G5036" s="1"/>
  <c r="F5035"/>
  <c r="G5035" s="1"/>
  <c r="F5020"/>
  <c r="G5020" s="1"/>
  <c r="F5019"/>
  <c r="G5019" s="1"/>
  <c r="F5018"/>
  <c r="G5018" s="1"/>
  <c r="F5017"/>
  <c r="G5017" s="1"/>
  <c r="F4890"/>
  <c r="G4890" s="1"/>
  <c r="F4889"/>
  <c r="G4889" s="1"/>
  <c r="F4888"/>
  <c r="G4888" s="1"/>
  <c r="F4887"/>
  <c r="G4887" s="1"/>
  <c r="F4826"/>
  <c r="G4826" s="1"/>
  <c r="F4825"/>
  <c r="G4825" s="1"/>
  <c r="F4824"/>
  <c r="G4824" s="1"/>
  <c r="F4823"/>
  <c r="G4823" s="1"/>
  <c r="F4810"/>
  <c r="G4810" s="1"/>
  <c r="F4809"/>
  <c r="G4809" s="1"/>
  <c r="F4808"/>
  <c r="G4808" s="1"/>
  <c r="F4807"/>
  <c r="G4807" s="1"/>
  <c r="F4794"/>
  <c r="G4794" s="1"/>
  <c r="F4793"/>
  <c r="G4793" s="1"/>
  <c r="F4792"/>
  <c r="G4792" s="1"/>
  <c r="F4791"/>
  <c r="G4791" s="1"/>
  <c r="F4778"/>
  <c r="G4778" s="1"/>
  <c r="F4777"/>
  <c r="G4777" s="1"/>
  <c r="F4776"/>
  <c r="G4776" s="1"/>
  <c r="F4775"/>
  <c r="G4775" s="1"/>
  <c r="F4762"/>
  <c r="G4762" s="1"/>
  <c r="F4761"/>
  <c r="G4761" s="1"/>
  <c r="F4760"/>
  <c r="G4760" s="1"/>
  <c r="F4759"/>
  <c r="G4759" s="1"/>
  <c r="F4729"/>
  <c r="G4729" s="1"/>
  <c r="F4728"/>
  <c r="G4728" s="1"/>
  <c r="F4727"/>
  <c r="G4727" s="1"/>
  <c r="F4726"/>
  <c r="G4726" s="1"/>
  <c r="F4712"/>
  <c r="G4712" s="1"/>
  <c r="F4711"/>
  <c r="G4711" s="1"/>
  <c r="F4710"/>
  <c r="G4710" s="1"/>
  <c r="F4709"/>
  <c r="G4709" s="1"/>
  <c r="F4695"/>
  <c r="G4695" s="1"/>
  <c r="F4694"/>
  <c r="G4694" s="1"/>
  <c r="F4693"/>
  <c r="G4693" s="1"/>
  <c r="F4692"/>
  <c r="G4692" s="1"/>
  <c r="F4678"/>
  <c r="G4678" s="1"/>
  <c r="F4677"/>
  <c r="G4677" s="1"/>
  <c r="F4676"/>
  <c r="G4676" s="1"/>
  <c r="F4675"/>
  <c r="G4675" s="1"/>
  <c r="F4627"/>
  <c r="G4627" s="1"/>
  <c r="F4626"/>
  <c r="G4626" s="1"/>
  <c r="F4625"/>
  <c r="G4625" s="1"/>
  <c r="F4624"/>
  <c r="G4624" s="1"/>
  <c r="F4608"/>
  <c r="G4608" s="1"/>
  <c r="F4607"/>
  <c r="G4607" s="1"/>
  <c r="F4606"/>
  <c r="G4606" s="1"/>
  <c r="F4605"/>
  <c r="G4605" s="1"/>
  <c r="F4590"/>
  <c r="G4590" s="1"/>
  <c r="F4589"/>
  <c r="G4589" s="1"/>
  <c r="F4588"/>
  <c r="G4588" s="1"/>
  <c r="F4587"/>
  <c r="G4587" s="1"/>
  <c r="F4574"/>
  <c r="G4574" s="1"/>
  <c r="F4573"/>
  <c r="G4573" s="1"/>
  <c r="F4572"/>
  <c r="G4572" s="1"/>
  <c r="F4571"/>
  <c r="G4571" s="1"/>
  <c r="F4556"/>
  <c r="G4556" s="1"/>
  <c r="F4555"/>
  <c r="G4555" s="1"/>
  <c r="F4554"/>
  <c r="G4554" s="1"/>
  <c r="F4553"/>
  <c r="G4553" s="1"/>
  <c r="F4538"/>
  <c r="G4538" s="1"/>
  <c r="F4537"/>
  <c r="G4537" s="1"/>
  <c r="F4536"/>
  <c r="G4536" s="1"/>
  <c r="F4535"/>
  <c r="G4535" s="1"/>
  <c r="F4522"/>
  <c r="G4522" s="1"/>
  <c r="F4521"/>
  <c r="G4521" s="1"/>
  <c r="F4520"/>
  <c r="G4520" s="1"/>
  <c r="F4519"/>
  <c r="G4519" s="1"/>
  <c r="F4506"/>
  <c r="G4506" s="1"/>
  <c r="F4505"/>
  <c r="G4505" s="1"/>
  <c r="F4504"/>
  <c r="G4504" s="1"/>
  <c r="F4503"/>
  <c r="G4503" s="1"/>
  <c r="F4490"/>
  <c r="G4490" s="1"/>
  <c r="F4489"/>
  <c r="G4489" s="1"/>
  <c r="F4488"/>
  <c r="G4488" s="1"/>
  <c r="F4487"/>
  <c r="G4487" s="1"/>
  <c r="F4474"/>
  <c r="G4474" s="1"/>
  <c r="F4473"/>
  <c r="G4473" s="1"/>
  <c r="F4472"/>
  <c r="G4472" s="1"/>
  <c r="F4471"/>
  <c r="G4471" s="1"/>
  <c r="F4458"/>
  <c r="G4458" s="1"/>
  <c r="F4457"/>
  <c r="G4457" s="1"/>
  <c r="F4456"/>
  <c r="G4456" s="1"/>
  <c r="F4455"/>
  <c r="G4455" s="1"/>
  <c r="F4441"/>
  <c r="G4441" s="1"/>
  <c r="F4440"/>
  <c r="G4440" s="1"/>
  <c r="F4439"/>
  <c r="G4439" s="1"/>
  <c r="F4438"/>
  <c r="G4438" s="1"/>
  <c r="F4424"/>
  <c r="G4424" s="1"/>
  <c r="F4423"/>
  <c r="G4423" s="1"/>
  <c r="F4422"/>
  <c r="G4422" s="1"/>
  <c r="F4421"/>
  <c r="G4421" s="1"/>
  <c r="F4408"/>
  <c r="G4408" s="1"/>
  <c r="F4407"/>
  <c r="G4407" s="1"/>
  <c r="F4406"/>
  <c r="G4406" s="1"/>
  <c r="F4405"/>
  <c r="G4405" s="1"/>
  <c r="F4392"/>
  <c r="G4392" s="1"/>
  <c r="F4391"/>
  <c r="G4391" s="1"/>
  <c r="F4390"/>
  <c r="G4390" s="1"/>
  <c r="F4389"/>
  <c r="G4389" s="1"/>
  <c r="F4376"/>
  <c r="G4376" s="1"/>
  <c r="F4375"/>
  <c r="G4375" s="1"/>
  <c r="F4374"/>
  <c r="G4374" s="1"/>
  <c r="F4373"/>
  <c r="G4373" s="1"/>
  <c r="F4360"/>
  <c r="G4360" s="1"/>
  <c r="F4359"/>
  <c r="G4359" s="1"/>
  <c r="F4358"/>
  <c r="G4358" s="1"/>
  <c r="F4357"/>
  <c r="G4357" s="1"/>
  <c r="F4344"/>
  <c r="G4344" s="1"/>
  <c r="F4343"/>
  <c r="G4343" s="1"/>
  <c r="F4342"/>
  <c r="G4342" s="1"/>
  <c r="F4341"/>
  <c r="G4341" s="1"/>
  <c r="F4327"/>
  <c r="G4327" s="1"/>
  <c r="F4326"/>
  <c r="G4326" s="1"/>
  <c r="F4325"/>
  <c r="G4325" s="1"/>
  <c r="F4324"/>
  <c r="G4324" s="1"/>
  <c r="F4295"/>
  <c r="G4295" s="1"/>
  <c r="F4294"/>
  <c r="G4294" s="1"/>
  <c r="F4293"/>
  <c r="G4293" s="1"/>
  <c r="F4292"/>
  <c r="G4292" s="1"/>
  <c r="F4279"/>
  <c r="G4279" s="1"/>
  <c r="F4278"/>
  <c r="G4278" s="1"/>
  <c r="F4277"/>
  <c r="G4277" s="1"/>
  <c r="F4276"/>
  <c r="G4276" s="1"/>
  <c r="F4260"/>
  <c r="G4260" s="1"/>
  <c r="F4259"/>
  <c r="G4259" s="1"/>
  <c r="F4258"/>
  <c r="G4258" s="1"/>
  <c r="F4257"/>
  <c r="G4257" s="1"/>
  <c r="F4244"/>
  <c r="G4244" s="1"/>
  <c r="F4243"/>
  <c r="G4243" s="1"/>
  <c r="F4242"/>
  <c r="G4242" s="1"/>
  <c r="F4241"/>
  <c r="G4241" s="1"/>
  <c r="F4212"/>
  <c r="G4212" s="1"/>
  <c r="F4211"/>
  <c r="G4211" s="1"/>
  <c r="F4210"/>
  <c r="G4210" s="1"/>
  <c r="F4209"/>
  <c r="G4209" s="1"/>
  <c r="F4178"/>
  <c r="G4178" s="1"/>
  <c r="F4177"/>
  <c r="G4177" s="1"/>
  <c r="F4176"/>
  <c r="G4176" s="1"/>
  <c r="F4175"/>
  <c r="G4175" s="1"/>
  <c r="F4146"/>
  <c r="G4146" s="1"/>
  <c r="F4145"/>
  <c r="G4145" s="1"/>
  <c r="F4144"/>
  <c r="G4144" s="1"/>
  <c r="F4143"/>
  <c r="G4143" s="1"/>
  <c r="F4130"/>
  <c r="G4130" s="1"/>
  <c r="F4129"/>
  <c r="G4129" s="1"/>
  <c r="F4128"/>
  <c r="G4128" s="1"/>
  <c r="F4127"/>
  <c r="G4127" s="1"/>
  <c r="F4114"/>
  <c r="G4114" s="1"/>
  <c r="F4113"/>
  <c r="G4113" s="1"/>
  <c r="F4112"/>
  <c r="G4112" s="1"/>
  <c r="F4111"/>
  <c r="G4111" s="1"/>
  <c r="F4098"/>
  <c r="G4098" s="1"/>
  <c r="F4097"/>
  <c r="G4097" s="1"/>
  <c r="F4096"/>
  <c r="G4096" s="1"/>
  <c r="F4095"/>
  <c r="G4095" s="1"/>
  <c r="F4082"/>
  <c r="G4082" s="1"/>
  <c r="F4081"/>
  <c r="G4081" s="1"/>
  <c r="F4080"/>
  <c r="G4080" s="1"/>
  <c r="F4079"/>
  <c r="G4079" s="1"/>
  <c r="F3985"/>
  <c r="G3985" s="1"/>
  <c r="F3984"/>
  <c r="G3984" s="1"/>
  <c r="F3983"/>
  <c r="G3983" s="1"/>
  <c r="F3982"/>
  <c r="G3982" s="1"/>
  <c r="F3950"/>
  <c r="G3950" s="1"/>
  <c r="F3949"/>
  <c r="G3949" s="1"/>
  <c r="F3948"/>
  <c r="G3948" s="1"/>
  <c r="F3947"/>
  <c r="G3947" s="1"/>
  <c r="F3886"/>
  <c r="G3886" s="1"/>
  <c r="F3885"/>
  <c r="G3885" s="1"/>
  <c r="F3884"/>
  <c r="G3884" s="1"/>
  <c r="F3883"/>
  <c r="G3883" s="1"/>
  <c r="F3870"/>
  <c r="G3870" s="1"/>
  <c r="F3869"/>
  <c r="G3869" s="1"/>
  <c r="F3868"/>
  <c r="G3868" s="1"/>
  <c r="F3867"/>
  <c r="G3867" s="1"/>
  <c r="F3854"/>
  <c r="G3854" s="1"/>
  <c r="F3853"/>
  <c r="G3853" s="1"/>
  <c r="F3852"/>
  <c r="G3852" s="1"/>
  <c r="F3851"/>
  <c r="G3851" s="1"/>
  <c r="F3838"/>
  <c r="G3838" s="1"/>
  <c r="F3837"/>
  <c r="G3837" s="1"/>
  <c r="F3836"/>
  <c r="G3836" s="1"/>
  <c r="F3835"/>
  <c r="G3835" s="1"/>
  <c r="F3822"/>
  <c r="G3822" s="1"/>
  <c r="F3821"/>
  <c r="G3821" s="1"/>
  <c r="F3820"/>
  <c r="G3820" s="1"/>
  <c r="F3819"/>
  <c r="G3819" s="1"/>
  <c r="F3806"/>
  <c r="G3806" s="1"/>
  <c r="F3805"/>
  <c r="G3805" s="1"/>
  <c r="F3804"/>
  <c r="G3804" s="1"/>
  <c r="F3803"/>
  <c r="G3803" s="1"/>
  <c r="F3790"/>
  <c r="G3790" s="1"/>
  <c r="F3789"/>
  <c r="G3789" s="1"/>
  <c r="F3788"/>
  <c r="G3788" s="1"/>
  <c r="F3787"/>
  <c r="G3787" s="1"/>
  <c r="F3655"/>
  <c r="G3655" s="1"/>
  <c r="F3654"/>
  <c r="G3654" s="1"/>
  <c r="F3653"/>
  <c r="G3653" s="1"/>
  <c r="F3652"/>
  <c r="G3652" s="1"/>
  <c r="F3639"/>
  <c r="G3639" s="1"/>
  <c r="F3638"/>
  <c r="G3638" s="1"/>
  <c r="F3637"/>
  <c r="G3637" s="1"/>
  <c r="F3636"/>
  <c r="G3636" s="1"/>
  <c r="F3621"/>
  <c r="G3621" s="1"/>
  <c r="F3620"/>
  <c r="G3620" s="1"/>
  <c r="F3619"/>
  <c r="G3619" s="1"/>
  <c r="F3618"/>
  <c r="G3618" s="1"/>
  <c r="F3589"/>
  <c r="G3589" s="1"/>
  <c r="F3588"/>
  <c r="G3588" s="1"/>
  <c r="F3587"/>
  <c r="G3587" s="1"/>
  <c r="F3586"/>
  <c r="G3586" s="1"/>
  <c r="F3573"/>
  <c r="G3573" s="1"/>
  <c r="F3572"/>
  <c r="G3572" s="1"/>
  <c r="F3571"/>
  <c r="G3571" s="1"/>
  <c r="F3570"/>
  <c r="G3570" s="1"/>
  <c r="F3556"/>
  <c r="G3556" s="1"/>
  <c r="F3555"/>
  <c r="G3555" s="1"/>
  <c r="F3554"/>
  <c r="G3554" s="1"/>
  <c r="F3553"/>
  <c r="G3553" s="1"/>
  <c r="F3539"/>
  <c r="G3539" s="1"/>
  <c r="F3538"/>
  <c r="G3538" s="1"/>
  <c r="F3537"/>
  <c r="G3537" s="1"/>
  <c r="F3536"/>
  <c r="G3536" s="1"/>
  <c r="F3521"/>
  <c r="G3521" s="1"/>
  <c r="F3520"/>
  <c r="G3520" s="1"/>
  <c r="F3519"/>
  <c r="G3519" s="1"/>
  <c r="F3518"/>
  <c r="G3518" s="1"/>
  <c r="F3499"/>
  <c r="G3499" s="1"/>
  <c r="F3498"/>
  <c r="G3498" s="1"/>
  <c r="F3497"/>
  <c r="G3497" s="1"/>
  <c r="F3496"/>
  <c r="G3496" s="1"/>
  <c r="F3391"/>
  <c r="G3391" s="1"/>
  <c r="F3390"/>
  <c r="G3390" s="1"/>
  <c r="F3389"/>
  <c r="G3389" s="1"/>
  <c r="F3388"/>
  <c r="G3388" s="1"/>
  <c r="F3375"/>
  <c r="G3375" s="1"/>
  <c r="F3374"/>
  <c r="G3374" s="1"/>
  <c r="F3373"/>
  <c r="G3373" s="1"/>
  <c r="F3372"/>
  <c r="G3372" s="1"/>
  <c r="F3359"/>
  <c r="G3359" s="1"/>
  <c r="F3358"/>
  <c r="G3358" s="1"/>
  <c r="F3357"/>
  <c r="G3357" s="1"/>
  <c r="F3356"/>
  <c r="G3356" s="1"/>
  <c r="F3343"/>
  <c r="G3343" s="1"/>
  <c r="F3342"/>
  <c r="G3342" s="1"/>
  <c r="F3341"/>
  <c r="G3341" s="1"/>
  <c r="F3340"/>
  <c r="G3340" s="1"/>
  <c r="F3327"/>
  <c r="G3327" s="1"/>
  <c r="F3326"/>
  <c r="G3326" s="1"/>
  <c r="F3325"/>
  <c r="G3325" s="1"/>
  <c r="F3324"/>
  <c r="G3324" s="1"/>
  <c r="F3306"/>
  <c r="G3306" s="1"/>
  <c r="F3305"/>
  <c r="G3305" s="1"/>
  <c r="F3304"/>
  <c r="G3304" s="1"/>
  <c r="F3303"/>
  <c r="G3303" s="1"/>
  <c r="F3216"/>
  <c r="G3216" s="1"/>
  <c r="F3215"/>
  <c r="G3215" s="1"/>
  <c r="F3214"/>
  <c r="G3214" s="1"/>
  <c r="F3213"/>
  <c r="G3213" s="1"/>
  <c r="F3180"/>
  <c r="G3180" s="1"/>
  <c r="F3179"/>
  <c r="G3179" s="1"/>
  <c r="F3178"/>
  <c r="G3178" s="1"/>
  <c r="F3177"/>
  <c r="G3177" s="1"/>
  <c r="F3054"/>
  <c r="G3054" s="1"/>
  <c r="F3053"/>
  <c r="G3053" s="1"/>
  <c r="F3052"/>
  <c r="G3052" s="1"/>
  <c r="F3051"/>
  <c r="G3051" s="1"/>
  <c r="F3036"/>
  <c r="G3036" s="1"/>
  <c r="F3035"/>
  <c r="G3035" s="1"/>
  <c r="F3034"/>
  <c r="G3034" s="1"/>
  <c r="F3033"/>
  <c r="G3033" s="1"/>
  <c r="F3018"/>
  <c r="G3018" s="1"/>
  <c r="F3017"/>
  <c r="G3017" s="1"/>
  <c r="F3016"/>
  <c r="G3016" s="1"/>
  <c r="F3015"/>
  <c r="G3015" s="1"/>
  <c r="F3000"/>
  <c r="G3000" s="1"/>
  <c r="F2999"/>
  <c r="G2999" s="1"/>
  <c r="F2998"/>
  <c r="G2998" s="1"/>
  <c r="F2997"/>
  <c r="G2997" s="1"/>
  <c r="F2982"/>
  <c r="G2982" s="1"/>
  <c r="F2981"/>
  <c r="G2981" s="1"/>
  <c r="F2980"/>
  <c r="G2980" s="1"/>
  <c r="F2979"/>
  <c r="G2979" s="1"/>
  <c r="F2964"/>
  <c r="G2964" s="1"/>
  <c r="F2963"/>
  <c r="G2963" s="1"/>
  <c r="F2962"/>
  <c r="G2962" s="1"/>
  <c r="F2961"/>
  <c r="G2961" s="1"/>
  <c r="F2946"/>
  <c r="G2946" s="1"/>
  <c r="F2945"/>
  <c r="G2945" s="1"/>
  <c r="F2944"/>
  <c r="G2944" s="1"/>
  <c r="F2943"/>
  <c r="G2943" s="1"/>
  <c r="F2928"/>
  <c r="G2928" s="1"/>
  <c r="F2927"/>
  <c r="G2927" s="1"/>
  <c r="F2926"/>
  <c r="G2926" s="1"/>
  <c r="F2925"/>
  <c r="G2925" s="1"/>
  <c r="F2910"/>
  <c r="G2910" s="1"/>
  <c r="F2909"/>
  <c r="G2909" s="1"/>
  <c r="F2908"/>
  <c r="G2908" s="1"/>
  <c r="F2907"/>
  <c r="G2907" s="1"/>
  <c r="F2892"/>
  <c r="G2892" s="1"/>
  <c r="F2891"/>
  <c r="G2891" s="1"/>
  <c r="F2890"/>
  <c r="G2890" s="1"/>
  <c r="F2889"/>
  <c r="G2889" s="1"/>
  <c r="F2875"/>
  <c r="G2875" s="1"/>
  <c r="F2874"/>
  <c r="G2874" s="1"/>
  <c r="F2873"/>
  <c r="G2873" s="1"/>
  <c r="F2872"/>
  <c r="G2872" s="1"/>
  <c r="F2858"/>
  <c r="G2858" s="1"/>
  <c r="F2857"/>
  <c r="G2857" s="1"/>
  <c r="F2856"/>
  <c r="G2856" s="1"/>
  <c r="F2855"/>
  <c r="G2855" s="1"/>
  <c r="F2841"/>
  <c r="G2841" s="1"/>
  <c r="F2840"/>
  <c r="G2840" s="1"/>
  <c r="F2839"/>
  <c r="G2839" s="1"/>
  <c r="F2838"/>
  <c r="G2838" s="1"/>
  <c r="F2809"/>
  <c r="G2809" s="1"/>
  <c r="F2808"/>
  <c r="G2808" s="1"/>
  <c r="F2807"/>
  <c r="G2807" s="1"/>
  <c r="F2806"/>
  <c r="G2806" s="1"/>
  <c r="F2793"/>
  <c r="G2793" s="1"/>
  <c r="F2792"/>
  <c r="G2792" s="1"/>
  <c r="F2791"/>
  <c r="G2791" s="1"/>
  <c r="F2790"/>
  <c r="G2790" s="1"/>
  <c r="F2778"/>
  <c r="G2778" s="1"/>
  <c r="F2777"/>
  <c r="G2777" s="1"/>
  <c r="F2776"/>
  <c r="G2776" s="1"/>
  <c r="F2775"/>
  <c r="G2775" s="1"/>
  <c r="F2763"/>
  <c r="G2763" s="1"/>
  <c r="F2762"/>
  <c r="G2762" s="1"/>
  <c r="F2761"/>
  <c r="G2761" s="1"/>
  <c r="F2760"/>
  <c r="G2760" s="1"/>
  <c r="F2747"/>
  <c r="G2747" s="1"/>
  <c r="F2746"/>
  <c r="G2746" s="1"/>
  <c r="F2745"/>
  <c r="G2745" s="1"/>
  <c r="F2744"/>
  <c r="G2744" s="1"/>
  <c r="F2731"/>
  <c r="G2731" s="1"/>
  <c r="F2730"/>
  <c r="G2730" s="1"/>
  <c r="F2729"/>
  <c r="G2729" s="1"/>
  <c r="F2728"/>
  <c r="G2728" s="1"/>
  <c r="F2715"/>
  <c r="G2715" s="1"/>
  <c r="F2714"/>
  <c r="G2714" s="1"/>
  <c r="F2713"/>
  <c r="G2713" s="1"/>
  <c r="F2712"/>
  <c r="G2712" s="1"/>
  <c r="F2699"/>
  <c r="G2699" s="1"/>
  <c r="F2698"/>
  <c r="G2698" s="1"/>
  <c r="F2697"/>
  <c r="G2697" s="1"/>
  <c r="F2696"/>
  <c r="G2696" s="1"/>
  <c r="F2683"/>
  <c r="G2683" s="1"/>
  <c r="F2682"/>
  <c r="G2682" s="1"/>
  <c r="F2681"/>
  <c r="G2681" s="1"/>
  <c r="F2680"/>
  <c r="G2680" s="1"/>
  <c r="F2667"/>
  <c r="G2667" s="1"/>
  <c r="F2666"/>
  <c r="G2666" s="1"/>
  <c r="F2665"/>
  <c r="G2665" s="1"/>
  <c r="F2664"/>
  <c r="G2664" s="1"/>
  <c r="F2651"/>
  <c r="G2651" s="1"/>
  <c r="F2650"/>
  <c r="G2650" s="1"/>
  <c r="F2649"/>
  <c r="G2649" s="1"/>
  <c r="F2648"/>
  <c r="G2648" s="1"/>
  <c r="F2635"/>
  <c r="G2635" s="1"/>
  <c r="F2634"/>
  <c r="G2634" s="1"/>
  <c r="F2633"/>
  <c r="G2633" s="1"/>
  <c r="F2632"/>
  <c r="G2632" s="1"/>
  <c r="F2619"/>
  <c r="G2619" s="1"/>
  <c r="F2618"/>
  <c r="G2618" s="1"/>
  <c r="F2617"/>
  <c r="G2617" s="1"/>
  <c r="F2616"/>
  <c r="G2616" s="1"/>
  <c r="F2603"/>
  <c r="G2603" s="1"/>
  <c r="F2602"/>
  <c r="G2602" s="1"/>
  <c r="F2601"/>
  <c r="G2601" s="1"/>
  <c r="F2600"/>
  <c r="G2600" s="1"/>
  <c r="F2587"/>
  <c r="G2587" s="1"/>
  <c r="F2586"/>
  <c r="G2586" s="1"/>
  <c r="F2585"/>
  <c r="G2585" s="1"/>
  <c r="F2584"/>
  <c r="G2584" s="1"/>
  <c r="F2571"/>
  <c r="G2571" s="1"/>
  <c r="F2570"/>
  <c r="G2570" s="1"/>
  <c r="F2569"/>
  <c r="G2569" s="1"/>
  <c r="F2568"/>
  <c r="G2568" s="1"/>
  <c r="F2555"/>
  <c r="G2555" s="1"/>
  <c r="F2554"/>
  <c r="G2554" s="1"/>
  <c r="F2553"/>
  <c r="G2553" s="1"/>
  <c r="F2552"/>
  <c r="G2552" s="1"/>
  <c r="F2539"/>
  <c r="G2539" s="1"/>
  <c r="F2538"/>
  <c r="G2538" s="1"/>
  <c r="F2537"/>
  <c r="G2537" s="1"/>
  <c r="F2536"/>
  <c r="G2536" s="1"/>
  <c r="F2523"/>
  <c r="G2523" s="1"/>
  <c r="F2522"/>
  <c r="G2522" s="1"/>
  <c r="F2521"/>
  <c r="G2521" s="1"/>
  <c r="F2520"/>
  <c r="G2520" s="1"/>
  <c r="F2507"/>
  <c r="G2507" s="1"/>
  <c r="F2506"/>
  <c r="G2506" s="1"/>
  <c r="F2505"/>
  <c r="G2505" s="1"/>
  <c r="F2504"/>
  <c r="G2504" s="1"/>
  <c r="F2474"/>
  <c r="G2474" s="1"/>
  <c r="F2473"/>
  <c r="G2473" s="1"/>
  <c r="F2472"/>
  <c r="G2472" s="1"/>
  <c r="F2471"/>
  <c r="G2471" s="1"/>
  <c r="F2457"/>
  <c r="G2457" s="1"/>
  <c r="F2456"/>
  <c r="G2456" s="1"/>
  <c r="F2455"/>
  <c r="G2455" s="1"/>
  <c r="F2454"/>
  <c r="G2454" s="1"/>
  <c r="F2439"/>
  <c r="G2439" s="1"/>
  <c r="F2438"/>
  <c r="G2438" s="1"/>
  <c r="F2437"/>
  <c r="G2437" s="1"/>
  <c r="F2436"/>
  <c r="G2436" s="1"/>
  <c r="F2421"/>
  <c r="G2421" s="1"/>
  <c r="F2420"/>
  <c r="G2420" s="1"/>
  <c r="F2419"/>
  <c r="G2419" s="1"/>
  <c r="F2418"/>
  <c r="G2418" s="1"/>
  <c r="F2403"/>
  <c r="G2403" s="1"/>
  <c r="F2402"/>
  <c r="G2402" s="1"/>
  <c r="F2401"/>
  <c r="G2401" s="1"/>
  <c r="F2400"/>
  <c r="G2400" s="1"/>
  <c r="F2385"/>
  <c r="G2385" s="1"/>
  <c r="F2384"/>
  <c r="G2384" s="1"/>
  <c r="F2383"/>
  <c r="G2383" s="1"/>
  <c r="F2382"/>
  <c r="G2382" s="1"/>
  <c r="F2367"/>
  <c r="G2367" s="1"/>
  <c r="F2366"/>
  <c r="G2366" s="1"/>
  <c r="F2365"/>
  <c r="G2365" s="1"/>
  <c r="F2364"/>
  <c r="G2364" s="1"/>
  <c r="F2349"/>
  <c r="G2349" s="1"/>
  <c r="F2348"/>
  <c r="G2348" s="1"/>
  <c r="F2347"/>
  <c r="G2347" s="1"/>
  <c r="F2346"/>
  <c r="G2346" s="1"/>
  <c r="F2332"/>
  <c r="G2332" s="1"/>
  <c r="F2331"/>
  <c r="G2331" s="1"/>
  <c r="F2330"/>
  <c r="G2330" s="1"/>
  <c r="F2329"/>
  <c r="G2329" s="1"/>
  <c r="F2315"/>
  <c r="F8396" s="1"/>
  <c r="G8396" s="1"/>
  <c r="F2314"/>
  <c r="F8395" s="1"/>
  <c r="G8395" s="1"/>
  <c r="F2313"/>
  <c r="F8394" s="1"/>
  <c r="G8394" s="1"/>
  <c r="F2312"/>
  <c r="F8393" s="1"/>
  <c r="G8393" s="1"/>
  <c r="F2298"/>
  <c r="G2298" s="1"/>
  <c r="F2297"/>
  <c r="G2297" s="1"/>
  <c r="F2296"/>
  <c r="G2296" s="1"/>
  <c r="F2295"/>
  <c r="G2295" s="1"/>
  <c r="F2281"/>
  <c r="G2281" s="1"/>
  <c r="F2280"/>
  <c r="G2280" s="1"/>
  <c r="F2279"/>
  <c r="G2279" s="1"/>
  <c r="F2278"/>
  <c r="G2278" s="1"/>
  <c r="F2264"/>
  <c r="G2264" s="1"/>
  <c r="F2263"/>
  <c r="G2263" s="1"/>
  <c r="F2262"/>
  <c r="G2262" s="1"/>
  <c r="F2261"/>
  <c r="G2261" s="1"/>
  <c r="F2246"/>
  <c r="G2246" s="1"/>
  <c r="F2245"/>
  <c r="G2245" s="1"/>
  <c r="F2244"/>
  <c r="G2244" s="1"/>
  <c r="F2243"/>
  <c r="G2243" s="1"/>
  <c r="F2229"/>
  <c r="G2229" s="1"/>
  <c r="F2228"/>
  <c r="G2228" s="1"/>
  <c r="F2227"/>
  <c r="G2227" s="1"/>
  <c r="F2226"/>
  <c r="G2226" s="1"/>
  <c r="F2212"/>
  <c r="G2212" s="1"/>
  <c r="F2211"/>
  <c r="G2211" s="1"/>
  <c r="F2210"/>
  <c r="G2210" s="1"/>
  <c r="F2209"/>
  <c r="G2209" s="1"/>
  <c r="F2195"/>
  <c r="G2195" s="1"/>
  <c r="F2194"/>
  <c r="G2194" s="1"/>
  <c r="F2193"/>
  <c r="G2193" s="1"/>
  <c r="F2192"/>
  <c r="G2192" s="1"/>
  <c r="F2178"/>
  <c r="G2178" s="1"/>
  <c r="F2177"/>
  <c r="G2177" s="1"/>
  <c r="F2176"/>
  <c r="G2176" s="1"/>
  <c r="F2175"/>
  <c r="G2175" s="1"/>
  <c r="F2092"/>
  <c r="G2092" s="1"/>
  <c r="F2091"/>
  <c r="G2091" s="1"/>
  <c r="F2090"/>
  <c r="G2090" s="1"/>
  <c r="F2089"/>
  <c r="G2089" s="1"/>
  <c r="F2076"/>
  <c r="G2076" s="1"/>
  <c r="F2075"/>
  <c r="G2075" s="1"/>
  <c r="F2074"/>
  <c r="G2074" s="1"/>
  <c r="F2073"/>
  <c r="G2073" s="1"/>
  <c r="F2059"/>
  <c r="G2059" s="1"/>
  <c r="F2058"/>
  <c r="G2058" s="1"/>
  <c r="F2057"/>
  <c r="G2057" s="1"/>
  <c r="F2056"/>
  <c r="G2056" s="1"/>
  <c r="F2042"/>
  <c r="G2042" s="1"/>
  <c r="F2041"/>
  <c r="G2041" s="1"/>
  <c r="F2040"/>
  <c r="G2040" s="1"/>
  <c r="F2039"/>
  <c r="G2039" s="1"/>
  <c r="F2025"/>
  <c r="G2025" s="1"/>
  <c r="F2024"/>
  <c r="G2024" s="1"/>
  <c r="F2023"/>
  <c r="G2023" s="1"/>
  <c r="F2022"/>
  <c r="G2022" s="1"/>
  <c r="F2008"/>
  <c r="G2008" s="1"/>
  <c r="F2007"/>
  <c r="G2007" s="1"/>
  <c r="F2006"/>
  <c r="G2006" s="1"/>
  <c r="F2005"/>
  <c r="G2005" s="1"/>
  <c r="F1992"/>
  <c r="G1992" s="1"/>
  <c r="F1991"/>
  <c r="G1991" s="1"/>
  <c r="F1990"/>
  <c r="G1990" s="1"/>
  <c r="F1989"/>
  <c r="G1989" s="1"/>
  <c r="F1962"/>
  <c r="G1962" s="1"/>
  <c r="F1961"/>
  <c r="G1961" s="1"/>
  <c r="F1960"/>
  <c r="G1960" s="1"/>
  <c r="F1959"/>
  <c r="G1959" s="1"/>
  <c r="F1945"/>
  <c r="G1945" s="1"/>
  <c r="F1944"/>
  <c r="G1944" s="1"/>
  <c r="F1943"/>
  <c r="G1943" s="1"/>
  <c r="F1942"/>
  <c r="G1942" s="1"/>
  <c r="F1929"/>
  <c r="G1929" s="1"/>
  <c r="F1928"/>
  <c r="G1928" s="1"/>
  <c r="F1927"/>
  <c r="G1927" s="1"/>
  <c r="F1926"/>
  <c r="G1926" s="1"/>
  <c r="F1861"/>
  <c r="G1861" s="1"/>
  <c r="F1860"/>
  <c r="G1860" s="1"/>
  <c r="F1859"/>
  <c r="G1859" s="1"/>
  <c r="F1858"/>
  <c r="G1858" s="1"/>
  <c r="F1846"/>
  <c r="G1846" s="1"/>
  <c r="F1845"/>
  <c r="G1845" s="1"/>
  <c r="F1844"/>
  <c r="G1844" s="1"/>
  <c r="F1843"/>
  <c r="G1843" s="1"/>
  <c r="F1831"/>
  <c r="G1831" s="1"/>
  <c r="F1830"/>
  <c r="G1830" s="1"/>
  <c r="F1829"/>
  <c r="G1829" s="1"/>
  <c r="F1828"/>
  <c r="G1828" s="1"/>
  <c r="F1816"/>
  <c r="G1816" s="1"/>
  <c r="F1815"/>
  <c r="G1815" s="1"/>
  <c r="F1814"/>
  <c r="G1814" s="1"/>
  <c r="F1813"/>
  <c r="G1813" s="1"/>
  <c r="F1801"/>
  <c r="G1801" s="1"/>
  <c r="F1800"/>
  <c r="G1800" s="1"/>
  <c r="F1799"/>
  <c r="G1799" s="1"/>
  <c r="F1798"/>
  <c r="G1798" s="1"/>
  <c r="F1784"/>
  <c r="G1784" s="1"/>
  <c r="F1783"/>
  <c r="G1783" s="1"/>
  <c r="F1782"/>
  <c r="G1782" s="1"/>
  <c r="F1781"/>
  <c r="G1781" s="1"/>
  <c r="F1762"/>
  <c r="G1762" s="1"/>
  <c r="F1761"/>
  <c r="G1761" s="1"/>
  <c r="F1760"/>
  <c r="G1760" s="1"/>
  <c r="F1759"/>
  <c r="G1759" s="1"/>
  <c r="F1745"/>
  <c r="G1745" s="1"/>
  <c r="F1744"/>
  <c r="G1744" s="1"/>
  <c r="F1743"/>
  <c r="G1743" s="1"/>
  <c r="F1742"/>
  <c r="G1742" s="1"/>
  <c r="F1697"/>
  <c r="G1697" s="1"/>
  <c r="F1712"/>
  <c r="G1712" s="1"/>
  <c r="F1727"/>
  <c r="G1727" s="1"/>
  <c r="F1729"/>
  <c r="G1729" s="1"/>
  <c r="F1728"/>
  <c r="G1728" s="1"/>
  <c r="F1726"/>
  <c r="G1726" s="1"/>
  <c r="F1714"/>
  <c r="G1714" s="1"/>
  <c r="F1713"/>
  <c r="G1713" s="1"/>
  <c r="F1711"/>
  <c r="G1711" s="1"/>
  <c r="F1699"/>
  <c r="G1699" s="1"/>
  <c r="F1698"/>
  <c r="G1698" s="1"/>
  <c r="F1696"/>
  <c r="G1696" s="1"/>
  <c r="F1683"/>
  <c r="G1683" s="1"/>
  <c r="F1684"/>
  <c r="G1684" s="1"/>
  <c r="F1682"/>
  <c r="G1682" s="1"/>
  <c r="F1681"/>
  <c r="G1681" s="1"/>
  <c r="F1667"/>
  <c r="G1667" s="1"/>
  <c r="F1666"/>
  <c r="G1666" s="1"/>
  <c r="F1665"/>
  <c r="G1665" s="1"/>
  <c r="F1664"/>
  <c r="G1664" s="1"/>
  <c r="F1653"/>
  <c r="G1653" s="1"/>
  <c r="F1652"/>
  <c r="G1652" s="1"/>
  <c r="F1651"/>
  <c r="G1651" s="1"/>
  <c r="F1610"/>
  <c r="G1610" s="1"/>
  <c r="F1609"/>
  <c r="G1609" s="1"/>
  <c r="F1608"/>
  <c r="G1608" s="1"/>
  <c r="F1607"/>
  <c r="G1607" s="1"/>
  <c r="F1591"/>
  <c r="G1591" s="1"/>
  <c r="F1590"/>
  <c r="G1590" s="1"/>
  <c r="F1589"/>
  <c r="G1589" s="1"/>
  <c r="F1588"/>
  <c r="G1588" s="1"/>
  <c r="F1572"/>
  <c r="G1572" s="1"/>
  <c r="F1571"/>
  <c r="G1571" s="1"/>
  <c r="F1570"/>
  <c r="G1570" s="1"/>
  <c r="F1569"/>
  <c r="G1569" s="1"/>
  <c r="F1552"/>
  <c r="G1552" s="1"/>
  <c r="F1551"/>
  <c r="G1551" s="1"/>
  <c r="F1550"/>
  <c r="G1550" s="1"/>
  <c r="F1549"/>
  <c r="G1549" s="1"/>
  <c r="F1548"/>
  <c r="G1548" s="1"/>
  <c r="F1547"/>
  <c r="G1547" s="1"/>
  <c r="F1546"/>
  <c r="G1546" s="1"/>
  <c r="F1526"/>
  <c r="G1526" s="1"/>
  <c r="F1529"/>
  <c r="G1529" s="1"/>
  <c r="F1528"/>
  <c r="G1528" s="1"/>
  <c r="F1525"/>
  <c r="G1525" s="1"/>
  <c r="F1524"/>
  <c r="G1524" s="1"/>
  <c r="F1523"/>
  <c r="G1523" s="1"/>
  <c r="F1491"/>
  <c r="G1491" s="1"/>
  <c r="F1490"/>
  <c r="G1490" s="1"/>
  <c r="F1489"/>
  <c r="G1489" s="1"/>
  <c r="F1488"/>
  <c r="G1488" s="1"/>
  <c r="F1487"/>
  <c r="G1487" s="1"/>
  <c r="F1476"/>
  <c r="G1476" s="1"/>
  <c r="F1475"/>
  <c r="G1475" s="1"/>
  <c r="F1474"/>
  <c r="G1474" s="1"/>
  <c r="F1473"/>
  <c r="G1473" s="1"/>
  <c r="F1472"/>
  <c r="G1472" s="1"/>
  <c r="F1461"/>
  <c r="G1461" s="1"/>
  <c r="F1460"/>
  <c r="G1460" s="1"/>
  <c r="F1459"/>
  <c r="G1459" s="1"/>
  <c r="F1458"/>
  <c r="G1458" s="1"/>
  <c r="F1457"/>
  <c r="G1457" s="1"/>
  <c r="F1446"/>
  <c r="G1446" s="1"/>
  <c r="F1445"/>
  <c r="G1445" s="1"/>
  <c r="F1444"/>
  <c r="G1444" s="1"/>
  <c r="F1443"/>
  <c r="G1443" s="1"/>
  <c r="F1442"/>
  <c r="G1442" s="1"/>
  <c r="F1431"/>
  <c r="G1431" s="1"/>
  <c r="F1430"/>
  <c r="G1430" s="1"/>
  <c r="F1429"/>
  <c r="G1429" s="1"/>
  <c r="F1418"/>
  <c r="G1418" s="1"/>
  <c r="F1417"/>
  <c r="G1417" s="1"/>
  <c r="F1416"/>
  <c r="G1416" s="1"/>
  <c r="F1405"/>
  <c r="G1405" s="1"/>
  <c r="F1404"/>
  <c r="G1404" s="1"/>
  <c r="F1403"/>
  <c r="G1403" s="1"/>
  <c r="F1387"/>
  <c r="G1387" s="1"/>
  <c r="F1386"/>
  <c r="G1386" s="1"/>
  <c r="F1385"/>
  <c r="G1385" s="1"/>
  <c r="F1384"/>
  <c r="G1384" s="1"/>
  <c r="F1369"/>
  <c r="G1369" s="1"/>
  <c r="F1368"/>
  <c r="G1368" s="1"/>
  <c r="F1367"/>
  <c r="G1367" s="1"/>
  <c r="F1366"/>
  <c r="G1366" s="1"/>
  <c r="F1349"/>
  <c r="G1349" s="1"/>
  <c r="F1348"/>
  <c r="G1348" s="1"/>
  <c r="F1347"/>
  <c r="G1347" s="1"/>
  <c r="F1346"/>
  <c r="G1346" s="1"/>
  <c r="F1331"/>
  <c r="G1331" s="1"/>
  <c r="F1330"/>
  <c r="G1330" s="1"/>
  <c r="F1329"/>
  <c r="G1329" s="1"/>
  <c r="F1328"/>
  <c r="G1328" s="1"/>
  <c r="F1313"/>
  <c r="G1313" s="1"/>
  <c r="F1312"/>
  <c r="G1312" s="1"/>
  <c r="F1311"/>
  <c r="G1311" s="1"/>
  <c r="F1310"/>
  <c r="G1310" s="1"/>
  <c r="F1295"/>
  <c r="G1295" s="1"/>
  <c r="F1294"/>
  <c r="G1294" s="1"/>
  <c r="F1293"/>
  <c r="G1293" s="1"/>
  <c r="F1292"/>
  <c r="G1292" s="1"/>
  <c r="F1277"/>
  <c r="G1277" s="1"/>
  <c r="F1276"/>
  <c r="G1276" s="1"/>
  <c r="F1275"/>
  <c r="G1275" s="1"/>
  <c r="F1274"/>
  <c r="G1274" s="1"/>
  <c r="F1255"/>
  <c r="G1255" s="1"/>
  <c r="F1254"/>
  <c r="G1254" s="1"/>
  <c r="F1253"/>
  <c r="G1253" s="1"/>
  <c r="F1252"/>
  <c r="G1252" s="1"/>
  <c r="F1251"/>
  <c r="G1251" s="1"/>
  <c r="F1250"/>
  <c r="G1250" s="1"/>
  <c r="F1232"/>
  <c r="G1232" s="1"/>
  <c r="F1231"/>
  <c r="G1231" s="1"/>
  <c r="F1230"/>
  <c r="G1230" s="1"/>
  <c r="F1229"/>
  <c r="G1229" s="1"/>
  <c r="F1228"/>
  <c r="G1228" s="1"/>
  <c r="F1227"/>
  <c r="G1227" s="1"/>
  <c r="F1213"/>
  <c r="G1213" s="1"/>
  <c r="F1212"/>
  <c r="G1212" s="1"/>
  <c r="F1211"/>
  <c r="G1211" s="1"/>
  <c r="F1210"/>
  <c r="G1210" s="1"/>
  <c r="F1193"/>
  <c r="G1193" s="1"/>
  <c r="F1192"/>
  <c r="G1192" s="1"/>
  <c r="F1191"/>
  <c r="G1191" s="1"/>
  <c r="F1190"/>
  <c r="G1190" s="1"/>
  <c r="F1173"/>
  <c r="G1173" s="1"/>
  <c r="F1172"/>
  <c r="G1172" s="1"/>
  <c r="F1171"/>
  <c r="G1171" s="1"/>
  <c r="F1170"/>
  <c r="G1170" s="1"/>
  <c r="F1112"/>
  <c r="G1112" s="1"/>
  <c r="F1111"/>
  <c r="G1111" s="1"/>
  <c r="F1110"/>
  <c r="G1110" s="1"/>
  <c r="F1109"/>
  <c r="G1109" s="1"/>
  <c r="F1071"/>
  <c r="G1071" s="1"/>
  <c r="F1070"/>
  <c r="G1070" s="1"/>
  <c r="F1069"/>
  <c r="G1069" s="1"/>
  <c r="F1068"/>
  <c r="G1068" s="1"/>
  <c r="F1030"/>
  <c r="G1030" s="1"/>
  <c r="F1029"/>
  <c r="G1029" s="1"/>
  <c r="F1028"/>
  <c r="G1028" s="1"/>
  <c r="F1027"/>
  <c r="G1027" s="1"/>
  <c r="F995"/>
  <c r="G995" s="1"/>
  <c r="F994"/>
  <c r="G994" s="1"/>
  <c r="F993"/>
  <c r="G993" s="1"/>
  <c r="F992"/>
  <c r="G992" s="1"/>
  <c r="F960"/>
  <c r="G960" s="1"/>
  <c r="F959"/>
  <c r="G959" s="1"/>
  <c r="F958"/>
  <c r="G958" s="1"/>
  <c r="F957"/>
  <c r="G957" s="1"/>
  <c r="F943"/>
  <c r="G943" s="1"/>
  <c r="F942"/>
  <c r="G942" s="1"/>
  <c r="F941"/>
  <c r="G941" s="1"/>
  <c r="F940"/>
  <c r="G940" s="1"/>
  <c r="F909"/>
  <c r="G909" s="1"/>
  <c r="F908"/>
  <c r="G908" s="1"/>
  <c r="F907"/>
  <c r="G907" s="1"/>
  <c r="F906"/>
  <c r="G906" s="1"/>
  <c r="F894"/>
  <c r="G894" s="1"/>
  <c r="F893"/>
  <c r="G893" s="1"/>
  <c r="F892"/>
  <c r="G892" s="1"/>
  <c r="F891"/>
  <c r="G891" s="1"/>
  <c r="F879"/>
  <c r="G879" s="1"/>
  <c r="F878"/>
  <c r="G878" s="1"/>
  <c r="F877"/>
  <c r="G877" s="1"/>
  <c r="F876"/>
  <c r="G876" s="1"/>
  <c r="F864"/>
  <c r="G864" s="1"/>
  <c r="F863"/>
  <c r="G863" s="1"/>
  <c r="F862"/>
  <c r="G862" s="1"/>
  <c r="F861"/>
  <c r="G861" s="1"/>
  <c r="F846"/>
  <c r="G846" s="1"/>
  <c r="F845"/>
  <c r="G845" s="1"/>
  <c r="F844"/>
  <c r="G844" s="1"/>
  <c r="F843"/>
  <c r="G843" s="1"/>
  <c r="F828"/>
  <c r="G828" s="1"/>
  <c r="F827"/>
  <c r="G827" s="1"/>
  <c r="F826"/>
  <c r="G826" s="1"/>
  <c r="F825"/>
  <c r="G825" s="1"/>
  <c r="F810"/>
  <c r="G810" s="1"/>
  <c r="F809"/>
  <c r="G809" s="1"/>
  <c r="F808"/>
  <c r="G808" s="1"/>
  <c r="F807"/>
  <c r="G807" s="1"/>
  <c r="F792"/>
  <c r="G792" s="1"/>
  <c r="F791"/>
  <c r="G791" s="1"/>
  <c r="F790"/>
  <c r="G790" s="1"/>
  <c r="F789"/>
  <c r="G789" s="1"/>
  <c r="F774"/>
  <c r="G774" s="1"/>
  <c r="F773"/>
  <c r="G773" s="1"/>
  <c r="F772"/>
  <c r="G772" s="1"/>
  <c r="F771"/>
  <c r="G771" s="1"/>
  <c r="F756"/>
  <c r="G756" s="1"/>
  <c r="F755"/>
  <c r="G755" s="1"/>
  <c r="F754"/>
  <c r="G754" s="1"/>
  <c r="F753"/>
  <c r="G753" s="1"/>
  <c r="F738"/>
  <c r="G738" s="1"/>
  <c r="F737"/>
  <c r="G737" s="1"/>
  <c r="F736"/>
  <c r="G736" s="1"/>
  <c r="F735"/>
  <c r="G735" s="1"/>
  <c r="F720"/>
  <c r="G720" s="1"/>
  <c r="F719"/>
  <c r="G719" s="1"/>
  <c r="F718"/>
  <c r="G718" s="1"/>
  <c r="F717"/>
  <c r="G717" s="1"/>
  <c r="F702"/>
  <c r="G702" s="1"/>
  <c r="F701"/>
  <c r="G701" s="1"/>
  <c r="F700"/>
  <c r="G700" s="1"/>
  <c r="F699"/>
  <c r="G699" s="1"/>
  <c r="F684"/>
  <c r="G684" s="1"/>
  <c r="F683"/>
  <c r="G683" s="1"/>
  <c r="F682"/>
  <c r="G682" s="1"/>
  <c r="F681"/>
  <c r="G681" s="1"/>
  <c r="F664"/>
  <c r="G664" s="1"/>
  <c r="F663"/>
  <c r="G663" s="1"/>
  <c r="F662"/>
  <c r="G662" s="1"/>
  <c r="F661"/>
  <c r="G661" s="1"/>
  <c r="F646"/>
  <c r="G646" s="1"/>
  <c r="F645"/>
  <c r="G645" s="1"/>
  <c r="F644"/>
  <c r="G644" s="1"/>
  <c r="F643"/>
  <c r="G643" s="1"/>
  <c r="F628"/>
  <c r="G628" s="1"/>
  <c r="F627"/>
  <c r="G627" s="1"/>
  <c r="F626"/>
  <c r="G626" s="1"/>
  <c r="F625"/>
  <c r="G625" s="1"/>
  <c r="F609"/>
  <c r="G609" s="1"/>
  <c r="F608"/>
  <c r="G608" s="1"/>
  <c r="F607"/>
  <c r="G607" s="1"/>
  <c r="F606"/>
  <c r="G606" s="1"/>
  <c r="F589"/>
  <c r="G589" s="1"/>
  <c r="F588"/>
  <c r="G588" s="1"/>
  <c r="F587"/>
  <c r="G587" s="1"/>
  <c r="F586"/>
  <c r="G586" s="1"/>
  <c r="F573"/>
  <c r="G573" s="1"/>
  <c r="F572"/>
  <c r="G572" s="1"/>
  <c r="F571"/>
  <c r="G571" s="1"/>
  <c r="F570"/>
  <c r="G570" s="1"/>
  <c r="F556"/>
  <c r="G556" s="1"/>
  <c r="F555"/>
  <c r="G555" s="1"/>
  <c r="F554"/>
  <c r="G554" s="1"/>
  <c r="F553"/>
  <c r="G553" s="1"/>
  <c r="F539"/>
  <c r="G539" s="1"/>
  <c r="F538"/>
  <c r="G538" s="1"/>
  <c r="F537"/>
  <c r="G537" s="1"/>
  <c r="F536"/>
  <c r="G536" s="1"/>
  <c r="F522"/>
  <c r="G522" s="1"/>
  <c r="F521"/>
  <c r="G521" s="1"/>
  <c r="F520"/>
  <c r="G520" s="1"/>
  <c r="F519"/>
  <c r="G519" s="1"/>
  <c r="F505"/>
  <c r="G505" s="1"/>
  <c r="F504"/>
  <c r="G504" s="1"/>
  <c r="F503"/>
  <c r="G503" s="1"/>
  <c r="F502"/>
  <c r="G502" s="1"/>
  <c r="F488"/>
  <c r="G488" s="1"/>
  <c r="F487"/>
  <c r="G487" s="1"/>
  <c r="F486"/>
  <c r="G486" s="1"/>
  <c r="F485"/>
  <c r="G485" s="1"/>
  <c r="F444"/>
  <c r="G444" s="1"/>
  <c r="F443"/>
  <c r="G443" s="1"/>
  <c r="F442"/>
  <c r="G442" s="1"/>
  <c r="F441"/>
  <c r="G441" s="1"/>
  <c r="F472"/>
  <c r="G472" s="1"/>
  <c r="F471"/>
  <c r="G471" s="1"/>
  <c r="F459"/>
  <c r="G459" s="1"/>
  <c r="F458"/>
  <c r="G458" s="1"/>
  <c r="F416"/>
  <c r="G416" s="1"/>
  <c r="F415"/>
  <c r="G415" s="1"/>
  <c r="F404"/>
  <c r="G404" s="1"/>
  <c r="F403"/>
  <c r="G403" s="1"/>
  <c r="F392"/>
  <c r="G392" s="1"/>
  <c r="F391"/>
  <c r="G391" s="1"/>
  <c r="F380"/>
  <c r="G380" s="1"/>
  <c r="F379"/>
  <c r="G379" s="1"/>
  <c r="F368"/>
  <c r="G368" s="1"/>
  <c r="F367"/>
  <c r="G367" s="1"/>
  <c r="F356"/>
  <c r="G356" s="1"/>
  <c r="F355"/>
  <c r="G355" s="1"/>
  <c r="F344"/>
  <c r="G344" s="1"/>
  <c r="F343"/>
  <c r="G343" s="1"/>
  <c r="F332"/>
  <c r="G332" s="1"/>
  <c r="F331"/>
  <c r="G331" s="1"/>
  <c r="F320"/>
  <c r="G320" s="1"/>
  <c r="F319"/>
  <c r="G319" s="1"/>
  <c r="F308"/>
  <c r="G308" s="1"/>
  <c r="F307"/>
  <c r="G307" s="1"/>
  <c r="F296"/>
  <c r="G296" s="1"/>
  <c r="F295"/>
  <c r="G295" s="1"/>
  <c r="F278"/>
  <c r="G278" s="1"/>
  <c r="F277"/>
  <c r="G277" s="1"/>
  <c r="F276"/>
  <c r="G276" s="1"/>
  <c r="F275"/>
  <c r="G275" s="1"/>
  <c r="F263"/>
  <c r="G263" s="1"/>
  <c r="F262"/>
  <c r="G262" s="1"/>
  <c r="F261"/>
  <c r="G261" s="1"/>
  <c r="F260"/>
  <c r="G260" s="1"/>
  <c r="F249"/>
  <c r="G249" s="1"/>
  <c r="F248"/>
  <c r="G248" s="1"/>
  <c r="F237"/>
  <c r="G237" s="1"/>
  <c r="F236"/>
  <c r="G236" s="1"/>
  <c r="F222"/>
  <c r="G222" s="1"/>
  <c r="F221"/>
  <c r="G221" s="1"/>
  <c r="F207"/>
  <c r="G207" s="1"/>
  <c r="F206"/>
  <c r="G206" s="1"/>
  <c r="F193"/>
  <c r="G193" s="1"/>
  <c r="F192"/>
  <c r="G192" s="1"/>
  <c r="F191"/>
  <c r="G191" s="1"/>
  <c r="F190"/>
  <c r="G190" s="1"/>
  <c r="F179"/>
  <c r="G179" s="1"/>
  <c r="F178"/>
  <c r="G178" s="1"/>
  <c r="F159"/>
  <c r="G159" s="1"/>
  <c r="F158"/>
  <c r="G158" s="1"/>
  <c r="F157"/>
  <c r="G157" s="1"/>
  <c r="F156"/>
  <c r="G156" s="1"/>
  <c r="F137"/>
  <c r="G137" s="1"/>
  <c r="F136"/>
  <c r="G136" s="1"/>
  <c r="F135"/>
  <c r="G135" s="1"/>
  <c r="F134"/>
  <c r="G134" s="1"/>
  <c r="F119"/>
  <c r="G119" s="1"/>
  <c r="F118"/>
  <c r="G118" s="1"/>
  <c r="F117"/>
  <c r="G117" s="1"/>
  <c r="F116"/>
  <c r="G116" s="1"/>
  <c r="F88"/>
  <c r="G88" s="1"/>
  <c r="F91"/>
  <c r="G91" s="1"/>
  <c r="F90"/>
  <c r="G90" s="1"/>
  <c r="F89"/>
  <c r="G89" s="1"/>
  <c r="F87"/>
  <c r="G87" s="1"/>
  <c r="F73"/>
  <c r="G73" s="1"/>
  <c r="F72"/>
  <c r="G72" s="1"/>
  <c r="F71"/>
  <c r="G71" s="1"/>
  <c r="F70"/>
  <c r="G70" s="1"/>
  <c r="F53"/>
  <c r="G53" s="1"/>
  <c r="F52"/>
  <c r="G52" s="1"/>
  <c r="F51"/>
  <c r="G51" s="1"/>
  <c r="F50"/>
  <c r="G50" s="1"/>
  <c r="F31"/>
  <c r="G31" s="1"/>
  <c r="F30"/>
  <c r="G30" s="1"/>
  <c r="F29"/>
  <c r="G29" s="1"/>
  <c r="F28"/>
  <c r="G28" s="1"/>
  <c r="F10"/>
  <c r="G10" s="1"/>
  <c r="F9"/>
  <c r="G9" s="1"/>
  <c r="F8"/>
  <c r="G8" s="1"/>
  <c r="F7"/>
  <c r="G7" s="1"/>
  <c r="A538" i="340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25"/>
  <c r="A526" s="1"/>
  <c r="A527" s="1"/>
  <c r="A528" s="1"/>
  <c r="A529" s="1"/>
  <c r="A530" s="1"/>
  <c r="A531" s="1"/>
  <c r="A532" s="1"/>
  <c r="A533" s="1"/>
  <c r="A534" s="1"/>
  <c r="A513"/>
  <c r="A514" s="1"/>
  <c r="A515" s="1"/>
  <c r="A516" s="1"/>
  <c r="A517" s="1"/>
  <c r="A518" s="1"/>
  <c r="A519" s="1"/>
  <c r="A520" s="1"/>
  <c r="A521" s="1"/>
  <c r="A503"/>
  <c r="A504" s="1"/>
  <c r="A505" s="1"/>
  <c r="A506" s="1"/>
  <c r="A507" s="1"/>
  <c r="A508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51"/>
  <c r="A339"/>
  <c r="A340" s="1"/>
  <c r="A341" s="1"/>
  <c r="A342" s="1"/>
  <c r="A343" s="1"/>
  <c r="A344" s="1"/>
  <c r="A345" s="1"/>
  <c r="A346" s="1"/>
  <c r="A347" s="1"/>
  <c r="A300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182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G5092" i="16"/>
  <c r="A91" i="340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K20"/>
  <c r="K19"/>
  <c r="K18"/>
  <c r="K17"/>
  <c r="K16"/>
  <c r="K14"/>
  <c r="K13"/>
  <c r="K12"/>
  <c r="F7996" i="16"/>
  <c r="G7996" s="1"/>
  <c r="G8000" s="1"/>
  <c r="F8051"/>
  <c r="G8051" s="1"/>
  <c r="F234" i="343"/>
  <c r="G234" s="1"/>
  <c r="F6028" i="16"/>
  <c r="G6028" s="1"/>
  <c r="F3431"/>
  <c r="G3431" s="1"/>
  <c r="F2558"/>
  <c r="G2558" s="1"/>
  <c r="F3503"/>
  <c r="G3503" s="1"/>
  <c r="F560"/>
  <c r="G560" s="1"/>
  <c r="F2425"/>
  <c r="G2425" s="1"/>
  <c r="F2686"/>
  <c r="G2686" s="1"/>
  <c r="F3040"/>
  <c r="G3040" s="1"/>
  <c r="F1239"/>
  <c r="G1239" s="1"/>
  <c r="F1262"/>
  <c r="G1262" s="1"/>
  <c r="F2526"/>
  <c r="G2526" s="1"/>
  <c r="F2654"/>
  <c r="G2654" s="1"/>
  <c r="F2914"/>
  <c r="G2914" s="1"/>
  <c r="F3220"/>
  <c r="G3220" s="1"/>
  <c r="F492"/>
  <c r="G492" s="1"/>
  <c r="F2353"/>
  <c r="G2353" s="1"/>
  <c r="F2622"/>
  <c r="G2622" s="1"/>
  <c r="F2750"/>
  <c r="G2750" s="1"/>
  <c r="F3310"/>
  <c r="G3310" s="1"/>
  <c r="F777"/>
  <c r="G777" s="1"/>
  <c r="F3184"/>
  <c r="G3184" s="1"/>
  <c r="F6078"/>
  <c r="G6078" s="1"/>
  <c r="F3238"/>
  <c r="G3238" s="1"/>
  <c r="F3274"/>
  <c r="G3274" s="1"/>
  <c r="F741"/>
  <c r="G741" s="1"/>
  <c r="F813"/>
  <c r="G813" s="1"/>
  <c r="F2216"/>
  <c r="G2216" s="1"/>
  <c r="F2250"/>
  <c r="G2250" s="1"/>
  <c r="F2268"/>
  <c r="G2268" s="1"/>
  <c r="F2986"/>
  <c r="G2986" s="1"/>
  <c r="F3560"/>
  <c r="G3560" s="1"/>
  <c r="F6010"/>
  <c r="G6010" s="1"/>
  <c r="G4265"/>
  <c r="F1281"/>
  <c r="G1281" s="1"/>
  <c r="F849"/>
  <c r="G849" s="1"/>
  <c r="F1280"/>
  <c r="G1280" s="1"/>
  <c r="F2932"/>
  <c r="G2932" s="1"/>
  <c r="F3525"/>
  <c r="G3525" s="1"/>
  <c r="F5992"/>
  <c r="G5992" s="1"/>
  <c r="F526"/>
  <c r="G526" s="1"/>
  <c r="F759"/>
  <c r="G759" s="1"/>
  <c r="F831"/>
  <c r="G831" s="1"/>
  <c r="F1334"/>
  <c r="G1334" s="1"/>
  <c r="F2336"/>
  <c r="G2336" s="1"/>
  <c r="F2407"/>
  <c r="G2407" s="1"/>
  <c r="F2443"/>
  <c r="G2443" s="1"/>
  <c r="F2461"/>
  <c r="G2461" s="1"/>
  <c r="F2542"/>
  <c r="G2542" s="1"/>
  <c r="F2574"/>
  <c r="G2574" s="1"/>
  <c r="F2606"/>
  <c r="G2606" s="1"/>
  <c r="F2670"/>
  <c r="G2670" s="1"/>
  <c r="F2702"/>
  <c r="G2702" s="1"/>
  <c r="F2734"/>
  <c r="G2734" s="1"/>
  <c r="F2845"/>
  <c r="G2845" s="1"/>
  <c r="F2879"/>
  <c r="G2879" s="1"/>
  <c r="F2766"/>
  <c r="G2766" s="1"/>
  <c r="G2767" s="1"/>
  <c r="G2950"/>
  <c r="F1527"/>
  <c r="G1527" s="1"/>
  <c r="C192" i="339"/>
  <c r="C204"/>
  <c r="C197"/>
  <c r="C196"/>
  <c r="C195"/>
  <c r="C194"/>
  <c r="C193"/>
  <c r="C215"/>
  <c r="C214"/>
  <c r="C213"/>
  <c r="C212"/>
  <c r="C211"/>
  <c r="C222"/>
  <c r="C216"/>
  <c r="C231"/>
  <c r="C230"/>
  <c r="C229"/>
  <c r="C227"/>
  <c r="C240"/>
  <c r="C238"/>
  <c r="C239"/>
  <c r="C241"/>
  <c r="C242"/>
  <c r="C243"/>
  <c r="C244"/>
  <c r="C245"/>
  <c r="C250"/>
  <c r="C249"/>
  <c r="C257"/>
  <c r="C259"/>
  <c r="C273"/>
  <c r="C271"/>
  <c r="C278"/>
  <c r="C298"/>
  <c r="C340"/>
  <c r="C339"/>
  <c r="C338"/>
  <c r="B339"/>
  <c r="B340"/>
  <c r="B341"/>
  <c r="B342"/>
  <c r="B343"/>
  <c r="B344"/>
  <c r="B345"/>
  <c r="B346"/>
  <c r="C337"/>
  <c r="C336"/>
  <c r="C335"/>
  <c r="C334"/>
  <c r="C333"/>
  <c r="C330"/>
  <c r="C329"/>
  <c r="C328"/>
  <c r="C327"/>
  <c r="C326"/>
  <c r="C325"/>
  <c r="C324"/>
  <c r="C321"/>
  <c r="C320"/>
  <c r="C319"/>
  <c r="C318"/>
  <c r="C317"/>
  <c r="C341"/>
  <c r="C342"/>
  <c r="C343"/>
  <c r="C344"/>
  <c r="C345"/>
  <c r="C347"/>
  <c r="C346"/>
  <c r="C384"/>
  <c r="C383"/>
  <c r="C380"/>
  <c r="C378"/>
  <c r="C377"/>
  <c r="C375"/>
  <c r="C374"/>
  <c r="C373"/>
  <c r="C372"/>
  <c r="C371"/>
  <c r="C368"/>
  <c r="C367"/>
  <c r="C362"/>
  <c r="C360"/>
  <c r="C358"/>
  <c r="C357"/>
  <c r="C356"/>
  <c r="C355"/>
  <c r="C354"/>
  <c r="C353"/>
  <c r="C352"/>
  <c r="C351"/>
  <c r="C350"/>
  <c r="C349"/>
  <c r="C409"/>
  <c r="C408"/>
  <c r="C407"/>
  <c r="C406"/>
  <c r="C405"/>
  <c r="C404"/>
  <c r="C403"/>
  <c r="C402"/>
  <c r="C401"/>
  <c r="C400"/>
  <c r="C399"/>
  <c r="C394"/>
  <c r="C393"/>
  <c r="C392"/>
  <c r="C391"/>
  <c r="C390"/>
  <c r="C389"/>
  <c r="C388"/>
  <c r="C387"/>
  <c r="C386"/>
  <c r="C426"/>
  <c r="C411"/>
  <c r="C410"/>
  <c r="C309"/>
  <c r="C305"/>
  <c r="C304"/>
  <c r="C303"/>
  <c r="C302"/>
  <c r="C301"/>
  <c r="C299"/>
  <c r="C297"/>
  <c r="C296"/>
  <c r="C293"/>
  <c r="C292"/>
  <c r="C291"/>
  <c r="C290"/>
  <c r="C289"/>
  <c r="C288"/>
  <c r="C287"/>
  <c r="C286"/>
  <c r="C285"/>
  <c r="C284"/>
  <c r="C283"/>
  <c r="C282"/>
  <c r="C281"/>
  <c r="C280"/>
  <c r="C277"/>
  <c r="C276"/>
  <c r="C275"/>
  <c r="C274"/>
  <c r="C270"/>
  <c r="C269"/>
  <c r="C268"/>
  <c r="C266"/>
  <c r="C264"/>
  <c r="C262"/>
  <c r="C261"/>
  <c r="C260"/>
  <c r="C226"/>
  <c r="C225"/>
  <c r="C224"/>
  <c r="C223"/>
  <c r="C191"/>
  <c r="C190"/>
  <c r="C189"/>
  <c r="C188"/>
  <c r="C187"/>
  <c r="C186"/>
  <c r="C185"/>
  <c r="C184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B7600" i="16" s="1"/>
  <c r="C162" i="339"/>
  <c r="C158"/>
  <c r="C157"/>
  <c r="C156"/>
  <c r="C155"/>
  <c r="C154"/>
  <c r="C153"/>
  <c r="C152"/>
  <c r="C151"/>
  <c r="C150"/>
  <c r="C149"/>
  <c r="C148"/>
  <c r="C161"/>
  <c r="C147"/>
  <c r="C146"/>
  <c r="B7599" i="16" s="1"/>
  <c r="C145" i="339"/>
  <c r="C144"/>
  <c r="C143"/>
  <c r="C142"/>
  <c r="C141"/>
  <c r="C140"/>
  <c r="C134"/>
  <c r="C133"/>
  <c r="C132"/>
  <c r="C131"/>
  <c r="C130"/>
  <c r="C129"/>
  <c r="C128"/>
  <c r="C125"/>
  <c r="C124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6"/>
  <c r="C74"/>
  <c r="C72"/>
  <c r="C70"/>
  <c r="C68"/>
  <c r="C67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6"/>
  <c r="C45"/>
  <c r="C44"/>
  <c r="C43"/>
  <c r="C42"/>
  <c r="C41"/>
  <c r="C40"/>
  <c r="C39"/>
  <c r="C38"/>
  <c r="C36"/>
  <c r="C35"/>
  <c r="C34"/>
  <c r="C32"/>
  <c r="C31"/>
  <c r="C30"/>
  <c r="C29"/>
  <c r="C28"/>
  <c r="C27"/>
  <c r="C26"/>
  <c r="C25"/>
  <c r="C24"/>
  <c r="C23"/>
  <c r="C22"/>
  <c r="C18"/>
  <c r="C17"/>
  <c r="C19"/>
  <c r="C16"/>
  <c r="C15"/>
  <c r="C14"/>
  <c r="C13"/>
  <c r="C12"/>
  <c r="C11"/>
  <c r="C10"/>
  <c r="B110"/>
  <c r="B426"/>
  <c r="B425"/>
  <c r="B411"/>
  <c r="B410"/>
  <c r="B409"/>
  <c r="B408"/>
  <c r="B407"/>
  <c r="B406"/>
  <c r="B405"/>
  <c r="B404"/>
  <c r="B403"/>
  <c r="B402"/>
  <c r="B401"/>
  <c r="B400"/>
  <c r="B399"/>
  <c r="B394"/>
  <c r="B393"/>
  <c r="B392"/>
  <c r="B391"/>
  <c r="B390"/>
  <c r="B389"/>
  <c r="B388"/>
  <c r="B387"/>
  <c r="B386"/>
  <c r="B384"/>
  <c r="B383"/>
  <c r="B380"/>
  <c r="B378"/>
  <c r="B377"/>
  <c r="B375"/>
  <c r="B374"/>
  <c r="B373"/>
  <c r="B372"/>
  <c r="B371"/>
  <c r="B368"/>
  <c r="B367"/>
  <c r="B362"/>
  <c r="B360"/>
  <c r="B358"/>
  <c r="B357"/>
  <c r="B356"/>
  <c r="B355"/>
  <c r="B354"/>
  <c r="B353"/>
  <c r="B352"/>
  <c r="B351"/>
  <c r="B350"/>
  <c r="B349"/>
  <c r="B347"/>
  <c r="B338"/>
  <c r="B337"/>
  <c r="B336"/>
  <c r="B335"/>
  <c r="B334"/>
  <c r="B333"/>
  <c r="B330"/>
  <c r="B329"/>
  <c r="B328"/>
  <c r="B327"/>
  <c r="B326"/>
  <c r="B325"/>
  <c r="B324"/>
  <c r="B321"/>
  <c r="B320"/>
  <c r="B319"/>
  <c r="B318"/>
  <c r="B317"/>
  <c r="B309"/>
  <c r="B305"/>
  <c r="B304"/>
  <c r="B303"/>
  <c r="B302"/>
  <c r="B301"/>
  <c r="B299"/>
  <c r="B298"/>
  <c r="B297"/>
  <c r="B296"/>
  <c r="B293"/>
  <c r="B292"/>
  <c r="B291"/>
  <c r="B290"/>
  <c r="B289"/>
  <c r="B288"/>
  <c r="B287"/>
  <c r="B286"/>
  <c r="B285"/>
  <c r="B284"/>
  <c r="B283"/>
  <c r="B282"/>
  <c r="B281"/>
  <c r="B280"/>
  <c r="B278"/>
  <c r="B277"/>
  <c r="B276"/>
  <c r="B275"/>
  <c r="B274"/>
  <c r="B273"/>
  <c r="B271"/>
  <c r="B270"/>
  <c r="B269"/>
  <c r="B268"/>
  <c r="B266"/>
  <c r="B264"/>
  <c r="B262"/>
  <c r="B261"/>
  <c r="B260"/>
  <c r="B259"/>
  <c r="B258"/>
  <c r="B257"/>
  <c r="B250"/>
  <c r="B249"/>
  <c r="B245"/>
  <c r="B244"/>
  <c r="B243"/>
  <c r="B242"/>
  <c r="B241"/>
  <c r="B240"/>
  <c r="B239"/>
  <c r="B238"/>
  <c r="B231"/>
  <c r="B230"/>
  <c r="B229"/>
  <c r="B227"/>
  <c r="B226"/>
  <c r="B225"/>
  <c r="B224"/>
  <c r="B223"/>
  <c r="B222"/>
  <c r="B216"/>
  <c r="B215"/>
  <c r="B214"/>
  <c r="B213"/>
  <c r="B212"/>
  <c r="B211"/>
  <c r="B204"/>
  <c r="B197"/>
  <c r="B196"/>
  <c r="B195"/>
  <c r="B194"/>
  <c r="B193"/>
  <c r="B192"/>
  <c r="B191"/>
  <c r="B190"/>
  <c r="B189"/>
  <c r="B188"/>
  <c r="B187"/>
  <c r="B186"/>
  <c r="B185"/>
  <c r="B184"/>
  <c r="B181"/>
  <c r="B180"/>
  <c r="B179"/>
  <c r="B178"/>
  <c r="B177"/>
  <c r="B176"/>
  <c r="C9"/>
  <c r="B175"/>
  <c r="C4"/>
  <c r="C5"/>
  <c r="C6"/>
  <c r="C7"/>
  <c r="C8"/>
  <c r="B174"/>
  <c r="B173"/>
  <c r="B172"/>
  <c r="B171"/>
  <c r="B170"/>
  <c r="B169"/>
  <c r="B168"/>
  <c r="B167"/>
  <c r="B166"/>
  <c r="B165"/>
  <c r="B164"/>
  <c r="B163"/>
  <c r="C7600" i="16" s="1"/>
  <c r="B162" i="339"/>
  <c r="B161"/>
  <c r="B158"/>
  <c r="B157"/>
  <c r="B156"/>
  <c r="B155"/>
  <c r="B154"/>
  <c r="B153"/>
  <c r="B152"/>
  <c r="B151"/>
  <c r="B150"/>
  <c r="B149"/>
  <c r="B148"/>
  <c r="B147"/>
  <c r="B146"/>
  <c r="C7599" i="16" s="1"/>
  <c r="B145" i="339"/>
  <c r="B144"/>
  <c r="B143"/>
  <c r="B142"/>
  <c r="B141"/>
  <c r="B140"/>
  <c r="B134"/>
  <c r="B133"/>
  <c r="B132"/>
  <c r="B131"/>
  <c r="B130"/>
  <c r="B129"/>
  <c r="B128"/>
  <c r="B126"/>
  <c r="B125"/>
  <c r="B124"/>
  <c r="B120"/>
  <c r="B119"/>
  <c r="B118"/>
  <c r="B117"/>
  <c r="B116"/>
  <c r="B115"/>
  <c r="B114"/>
  <c r="B113"/>
  <c r="B112"/>
  <c r="B111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6"/>
  <c r="B74"/>
  <c r="B72"/>
  <c r="B70"/>
  <c r="B68"/>
  <c r="B67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B43"/>
  <c r="B42"/>
  <c r="B41"/>
  <c r="B40"/>
  <c r="B39"/>
  <c r="B38"/>
  <c r="B36"/>
  <c r="B35"/>
  <c r="B34"/>
  <c r="B32"/>
  <c r="B31"/>
  <c r="B30"/>
  <c r="B29"/>
  <c r="B28"/>
  <c r="B27"/>
  <c r="B26"/>
  <c r="B25"/>
  <c r="B24"/>
  <c r="B23"/>
  <c r="B22"/>
  <c r="B19"/>
  <c r="B18"/>
  <c r="B17"/>
  <c r="B16"/>
  <c r="B15"/>
  <c r="B14"/>
  <c r="B13"/>
  <c r="B12"/>
  <c r="B11"/>
  <c r="B10"/>
  <c r="B9"/>
  <c r="B8"/>
  <c r="B7"/>
  <c r="B6"/>
  <c r="B5"/>
  <c r="B4"/>
  <c r="H538"/>
  <c r="F3166" i="16"/>
  <c r="G3166" s="1"/>
  <c r="F3413"/>
  <c r="G3413" s="1"/>
  <c r="G1717"/>
  <c r="G1718" s="1"/>
  <c r="F669"/>
  <c r="G669" s="1"/>
  <c r="F689"/>
  <c r="G689" s="1"/>
  <c r="G2064"/>
  <c r="F11" i="343"/>
  <c r="G11" s="1"/>
  <c r="G12" s="1"/>
  <c r="F3076" i="16"/>
  <c r="G3076" s="1"/>
  <c r="F3148"/>
  <c r="G3148" s="1"/>
  <c r="F2718"/>
  <c r="G2718" s="1"/>
  <c r="G57"/>
  <c r="F795"/>
  <c r="G795" s="1"/>
  <c r="F2781"/>
  <c r="G2781" s="1"/>
  <c r="G2782" s="1"/>
  <c r="F2319"/>
  <c r="G2319" s="1"/>
  <c r="F2862"/>
  <c r="G2862" s="1"/>
  <c r="F2285"/>
  <c r="G2285" s="1"/>
  <c r="F631"/>
  <c r="G631" s="1"/>
  <c r="F3256"/>
  <c r="G3256" s="1"/>
  <c r="F667"/>
  <c r="G667" s="1"/>
  <c r="F2182"/>
  <c r="G2182" s="1"/>
  <c r="F2812"/>
  <c r="G2812" s="1"/>
  <c r="G2813" s="1"/>
  <c r="F3058"/>
  <c r="G3058" s="1"/>
  <c r="F3395"/>
  <c r="G3395" s="1"/>
  <c r="F6149"/>
  <c r="G6149" s="1"/>
  <c r="F3112"/>
  <c r="G3112" s="1"/>
  <c r="F705"/>
  <c r="G705" s="1"/>
  <c r="F2233"/>
  <c r="G2233" s="1"/>
  <c r="F3543"/>
  <c r="G3543" s="1"/>
  <c r="F687"/>
  <c r="G687" s="1"/>
  <c r="F3449"/>
  <c r="G3449" s="1"/>
  <c r="F6688"/>
  <c r="G6688" s="1"/>
  <c r="F3004"/>
  <c r="G3004" s="1"/>
  <c r="F2796"/>
  <c r="G2796" s="1"/>
  <c r="F2638"/>
  <c r="G2638" s="1"/>
  <c r="F2510"/>
  <c r="G2510" s="1"/>
  <c r="F2371"/>
  <c r="G2371" s="1"/>
  <c r="F2302"/>
  <c r="G2302" s="1"/>
  <c r="F593"/>
  <c r="G593" s="1"/>
  <c r="F3022"/>
  <c r="G3022" s="1"/>
  <c r="F2199"/>
  <c r="G2199" s="1"/>
  <c r="F509"/>
  <c r="G509" s="1"/>
  <c r="F2968"/>
  <c r="G2968" s="1"/>
  <c r="F1316"/>
  <c r="G1316" s="1"/>
  <c r="F543"/>
  <c r="G543" s="1"/>
  <c r="F6706"/>
  <c r="G6706" s="1"/>
  <c r="G283"/>
  <c r="F2896"/>
  <c r="G2896" s="1"/>
  <c r="F649"/>
  <c r="G649" s="1"/>
  <c r="F2389"/>
  <c r="G2389" s="1"/>
  <c r="F1298"/>
  <c r="G1298" s="1"/>
  <c r="F3130"/>
  <c r="G3130" s="1"/>
  <c r="F5958"/>
  <c r="G5958" s="1"/>
  <c r="F5975"/>
  <c r="G5975" s="1"/>
  <c r="F7998"/>
  <c r="G7998" s="1"/>
  <c r="F7997"/>
  <c r="G7997" s="1"/>
  <c r="F778"/>
  <c r="G778" s="1"/>
  <c r="F632"/>
  <c r="G632" s="1"/>
  <c r="F760"/>
  <c r="G760" s="1"/>
  <c r="F1282"/>
  <c r="G1282" s="1"/>
  <c r="G193" i="343" l="1"/>
  <c r="C7768" i="16"/>
  <c r="C7739"/>
  <c r="C7715"/>
  <c r="C7624"/>
  <c r="C7649"/>
  <c r="C7691"/>
  <c r="B7768"/>
  <c r="B7739"/>
  <c r="B7715"/>
  <c r="B7691"/>
  <c r="B7624"/>
  <c r="B7649"/>
  <c r="C7650"/>
  <c r="C7625"/>
  <c r="C7769"/>
  <c r="C7740"/>
  <c r="C7716"/>
  <c r="C7692"/>
  <c r="B7692"/>
  <c r="B7650"/>
  <c r="B7625"/>
  <c r="B7769"/>
  <c r="B7740"/>
  <c r="B7716"/>
  <c r="G28" i="343"/>
  <c r="G9"/>
  <c r="G16" s="1"/>
  <c r="G17" s="1"/>
  <c r="H18" s="1"/>
  <c r="G1158" i="16"/>
  <c r="G1162" s="1"/>
  <c r="G1163" s="1"/>
  <c r="G1164" s="1"/>
  <c r="G1165" s="1"/>
  <c r="E78" i="339" s="1"/>
  <c r="F1138" i="16"/>
  <c r="G1138" s="1"/>
  <c r="G1141" s="1"/>
  <c r="G1103"/>
  <c r="G1104" s="1"/>
  <c r="E75" i="339" s="1"/>
  <c r="G1060" i="16"/>
  <c r="G1061" s="1"/>
  <c r="G1062" s="1"/>
  <c r="G1063" s="1"/>
  <c r="E73" i="339" s="1"/>
  <c r="G8397" i="16"/>
  <c r="G8403" s="1"/>
  <c r="G8404" s="1"/>
  <c r="G8405" s="1"/>
  <c r="E522" i="339" s="1"/>
  <c r="F8478" i="16"/>
  <c r="G8478" s="1"/>
  <c r="F8495"/>
  <c r="G8495" s="1"/>
  <c r="F8479"/>
  <c r="G8479" s="1"/>
  <c r="F8496"/>
  <c r="G8496" s="1"/>
  <c r="F8497"/>
  <c r="G8497" s="1"/>
  <c r="F8480"/>
  <c r="G8480" s="1"/>
  <c r="F8498"/>
  <c r="G8498" s="1"/>
  <c r="F8481"/>
  <c r="G8481" s="1"/>
  <c r="F8463"/>
  <c r="G8463" s="1"/>
  <c r="F8446"/>
  <c r="G8446" s="1"/>
  <c r="F8461"/>
  <c r="G8461" s="1"/>
  <c r="F8444"/>
  <c r="G8444" s="1"/>
  <c r="F8445"/>
  <c r="G8445" s="1"/>
  <c r="F8462"/>
  <c r="G8462" s="1"/>
  <c r="F8464"/>
  <c r="G8464" s="1"/>
  <c r="F8447"/>
  <c r="G8447" s="1"/>
  <c r="C7603"/>
  <c r="C7653"/>
  <c r="C7628"/>
  <c r="C7608"/>
  <c r="C7658"/>
  <c r="C7633"/>
  <c r="C7596"/>
  <c r="C7646"/>
  <c r="C7621"/>
  <c r="C7606"/>
  <c r="C7656"/>
  <c r="C7631"/>
  <c r="C7607"/>
  <c r="C7657"/>
  <c r="C7632"/>
  <c r="C7611"/>
  <c r="C7636"/>
  <c r="C7661"/>
  <c r="F7540"/>
  <c r="G7540" s="1"/>
  <c r="F7533"/>
  <c r="G7533" s="1"/>
  <c r="F5909"/>
  <c r="G5909" s="1"/>
  <c r="G5910" s="1"/>
  <c r="G4715"/>
  <c r="F4716"/>
  <c r="G4716" s="1"/>
  <c r="F4733"/>
  <c r="G4733" s="1"/>
  <c r="F2080"/>
  <c r="G2080" s="1"/>
  <c r="G2081" s="1"/>
  <c r="F2096"/>
  <c r="G2096" s="1"/>
  <c r="G2098" s="1"/>
  <c r="F1199"/>
  <c r="G1199" s="1"/>
  <c r="G1176"/>
  <c r="F1179"/>
  <c r="G1179" s="1"/>
  <c r="F1118"/>
  <c r="G1118" s="1"/>
  <c r="F1036"/>
  <c r="G1036" s="1"/>
  <c r="G1074"/>
  <c r="F1077"/>
  <c r="G1077" s="1"/>
  <c r="G32" i="343"/>
  <c r="G49"/>
  <c r="G53"/>
  <c r="G158"/>
  <c r="G74"/>
  <c r="G174"/>
  <c r="G182" s="1"/>
  <c r="G183" s="1"/>
  <c r="H184" s="1"/>
  <c r="G184" s="1"/>
  <c r="G70"/>
  <c r="G257"/>
  <c r="G216"/>
  <c r="F1995" i="16"/>
  <c r="G1995" s="1"/>
  <c r="F97"/>
  <c r="G97" s="1"/>
  <c r="F449"/>
  <c r="G449" s="1"/>
  <c r="G450" s="1"/>
  <c r="G112" i="343"/>
  <c r="G95"/>
  <c r="F688" i="16"/>
  <c r="G688" s="1"/>
  <c r="G691" s="1"/>
  <c r="F706"/>
  <c r="G706" s="1"/>
  <c r="G709" s="1"/>
  <c r="F633"/>
  <c r="G633" s="1"/>
  <c r="G635" s="1"/>
  <c r="F8053"/>
  <c r="G8053" s="1"/>
  <c r="G8055" s="1"/>
  <c r="F1299"/>
  <c r="G1299" s="1"/>
  <c r="F5941"/>
  <c r="G5941" s="1"/>
  <c r="G5943" s="1"/>
  <c r="F3485"/>
  <c r="G3485" s="1"/>
  <c r="G3488" s="1"/>
  <c r="G3489" s="1"/>
  <c r="G3490" s="1"/>
  <c r="G3491" s="1"/>
  <c r="E221" i="339" s="1"/>
  <c r="F3467" i="16"/>
  <c r="G3467" s="1"/>
  <c r="G3470" s="1"/>
  <c r="G3471" s="1"/>
  <c r="G3472" s="1"/>
  <c r="G3473" s="1"/>
  <c r="E220" i="339" s="1"/>
  <c r="F35" i="16"/>
  <c r="G35" s="1"/>
  <c r="G42" s="1"/>
  <c r="F14"/>
  <c r="G14" s="1"/>
  <c r="G20" s="1"/>
  <c r="F143"/>
  <c r="F668"/>
  <c r="G668" s="1"/>
  <c r="G671" s="1"/>
  <c r="F814"/>
  <c r="G814" s="1"/>
  <c r="G154" i="343"/>
  <c r="F725" i="16"/>
  <c r="G725" s="1"/>
  <c r="F832"/>
  <c r="G832" s="1"/>
  <c r="F1317"/>
  <c r="G1317" s="1"/>
  <c r="F432"/>
  <c r="G432" s="1"/>
  <c r="G433" s="1"/>
  <c r="G2030"/>
  <c r="G2031" s="1"/>
  <c r="F743"/>
  <c r="F761" s="1"/>
  <c r="G761" s="1"/>
  <c r="G763" s="1"/>
  <c r="G212" i="343"/>
  <c r="G253"/>
  <c r="G137"/>
  <c r="G237"/>
  <c r="G8252" i="16"/>
  <c r="F8642"/>
  <c r="G8642" s="1"/>
  <c r="F8626"/>
  <c r="G8626" s="1"/>
  <c r="F8610"/>
  <c r="G8610" s="1"/>
  <c r="F8594"/>
  <c r="G8594" s="1"/>
  <c r="F8627"/>
  <c r="G8627" s="1"/>
  <c r="F8611"/>
  <c r="G8611" s="1"/>
  <c r="F8595"/>
  <c r="G8595" s="1"/>
  <c r="F8643"/>
  <c r="G8643" s="1"/>
  <c r="F8640"/>
  <c r="G8640" s="1"/>
  <c r="F8608"/>
  <c r="G8608" s="1"/>
  <c r="F8624"/>
  <c r="G8624" s="1"/>
  <c r="F8592"/>
  <c r="G8592" s="1"/>
  <c r="F8641"/>
  <c r="G8641" s="1"/>
  <c r="F8609"/>
  <c r="G8609" s="1"/>
  <c r="F8625"/>
  <c r="G8625" s="1"/>
  <c r="F8593"/>
  <c r="G8593" s="1"/>
  <c r="F8578"/>
  <c r="G8578" s="1"/>
  <c r="F8562"/>
  <c r="G8562" s="1"/>
  <c r="F8579"/>
  <c r="G8579" s="1"/>
  <c r="F8563"/>
  <c r="G8563" s="1"/>
  <c r="F8576"/>
  <c r="G8576" s="1"/>
  <c r="F8560"/>
  <c r="G8560" s="1"/>
  <c r="F8561"/>
  <c r="G8561" s="1"/>
  <c r="F8577"/>
  <c r="G8577" s="1"/>
  <c r="F8530"/>
  <c r="G8530" s="1"/>
  <c r="F8546"/>
  <c r="G8546" s="1"/>
  <c r="F8531"/>
  <c r="G8531" s="1"/>
  <c r="F8547"/>
  <c r="G8547" s="1"/>
  <c r="F8544"/>
  <c r="G8544" s="1"/>
  <c r="F8528"/>
  <c r="G8528" s="1"/>
  <c r="F8545"/>
  <c r="G8545" s="1"/>
  <c r="F8529"/>
  <c r="G8529" s="1"/>
  <c r="F8413"/>
  <c r="G8413" s="1"/>
  <c r="F8430"/>
  <c r="G8430" s="1"/>
  <c r="F8515"/>
  <c r="G8515" s="1"/>
  <c r="F8429"/>
  <c r="G8429" s="1"/>
  <c r="F8514"/>
  <c r="G8514" s="1"/>
  <c r="F8412"/>
  <c r="G8412" s="1"/>
  <c r="F8512"/>
  <c r="G8512" s="1"/>
  <c r="F8427"/>
  <c r="G8427" s="1"/>
  <c r="F8410"/>
  <c r="G8410" s="1"/>
  <c r="F8428"/>
  <c r="G8428" s="1"/>
  <c r="F8513"/>
  <c r="G8513" s="1"/>
  <c r="F8411"/>
  <c r="G8411" s="1"/>
  <c r="G2315"/>
  <c r="F8379"/>
  <c r="G8379" s="1"/>
  <c r="G2312"/>
  <c r="F8376"/>
  <c r="G8376" s="1"/>
  <c r="G2314"/>
  <c r="F8378"/>
  <c r="G8378" s="1"/>
  <c r="G2313"/>
  <c r="F8377"/>
  <c r="G8377" s="1"/>
  <c r="G8076"/>
  <c r="G5105"/>
  <c r="G8172"/>
  <c r="G6725"/>
  <c r="G6726" s="1"/>
  <c r="G3957"/>
  <c r="G3727"/>
  <c r="G3728" s="1"/>
  <c r="G3729" s="1"/>
  <c r="G3730" s="1"/>
  <c r="E235" i="339" s="1"/>
  <c r="F7584" i="16"/>
  <c r="G7584" s="1"/>
  <c r="G7585" s="1"/>
  <c r="G5006"/>
  <c r="G8244"/>
  <c r="G8344"/>
  <c r="G4983"/>
  <c r="F7504"/>
  <c r="G3708"/>
  <c r="G3712" s="1"/>
  <c r="G3713" s="1"/>
  <c r="G3714" s="1"/>
  <c r="E234" i="339" s="1"/>
  <c r="G7436" i="16"/>
  <c r="G2899"/>
  <c r="G2688"/>
  <c r="G4349"/>
  <c r="G6667"/>
  <c r="G6080"/>
  <c r="G6082" s="1"/>
  <c r="G5002"/>
  <c r="G5586"/>
  <c r="G2495"/>
  <c r="G3859"/>
  <c r="G3578"/>
  <c r="G2112"/>
  <c r="G2115" s="1"/>
  <c r="G4299"/>
  <c r="G4300" s="1"/>
  <c r="G5673"/>
  <c r="G4119"/>
  <c r="G8296"/>
  <c r="G4200"/>
  <c r="G4201" s="1"/>
  <c r="F7475"/>
  <c r="F7509" s="1"/>
  <c r="G7428"/>
  <c r="F7477"/>
  <c r="F7511" s="1"/>
  <c r="G1913"/>
  <c r="G6098"/>
  <c r="G7433"/>
  <c r="G4312"/>
  <c r="G4863"/>
  <c r="G8279"/>
  <c r="G7757"/>
  <c r="G1879"/>
  <c r="G8185"/>
  <c r="F8208"/>
  <c r="G8208" s="1"/>
  <c r="F7820"/>
  <c r="G7820" s="1"/>
  <c r="G6047"/>
  <c r="F7885"/>
  <c r="G7885" s="1"/>
  <c r="G3644"/>
  <c r="G7936"/>
  <c r="G8093"/>
  <c r="G8094" s="1"/>
  <c r="G8343"/>
  <c r="G4984"/>
  <c r="G2463"/>
  <c r="G4645"/>
  <c r="F8216"/>
  <c r="G8216" s="1"/>
  <c r="G3348"/>
  <c r="G8178"/>
  <c r="G8287"/>
  <c r="G1033"/>
  <c r="G5977"/>
  <c r="G3452"/>
  <c r="F7473"/>
  <c r="G7473" s="1"/>
  <c r="G7434"/>
  <c r="F7906"/>
  <c r="F7926" s="1"/>
  <c r="G7926" s="1"/>
  <c r="G8170"/>
  <c r="F8225"/>
  <c r="G8225" s="1"/>
  <c r="G8179"/>
  <c r="G7435"/>
  <c r="G4732"/>
  <c r="G7866"/>
  <c r="G7868" s="1"/>
  <c r="F7476"/>
  <c r="G7476" s="1"/>
  <c r="G2608"/>
  <c r="G3313"/>
  <c r="F8210"/>
  <c r="G8210" s="1"/>
  <c r="F7461"/>
  <c r="F7495" s="1"/>
  <c r="G7495" s="1"/>
  <c r="G3891"/>
  <c r="G4783"/>
  <c r="G1901"/>
  <c r="G5893"/>
  <c r="G1768"/>
  <c r="G4662"/>
  <c r="G7916"/>
  <c r="G8183"/>
  <c r="G7796"/>
  <c r="G948"/>
  <c r="G8142"/>
  <c r="G8257"/>
  <c r="G2656"/>
  <c r="G2392"/>
  <c r="G4959"/>
  <c r="F8213"/>
  <c r="G8213" s="1"/>
  <c r="F7907"/>
  <c r="G7907" s="1"/>
  <c r="F7817"/>
  <c r="G7817" s="1"/>
  <c r="G208"/>
  <c r="G297"/>
  <c r="G300" s="1"/>
  <c r="G301" s="1"/>
  <c r="G302" s="1"/>
  <c r="G4131"/>
  <c r="G6486"/>
  <c r="G3133"/>
  <c r="G3151"/>
  <c r="G3660"/>
  <c r="G345"/>
  <c r="G348" s="1"/>
  <c r="G349" s="1"/>
  <c r="G350" s="1"/>
  <c r="E26" i="339" s="1"/>
  <c r="G473" i="16"/>
  <c r="G477" s="1"/>
  <c r="G478" s="1"/>
  <c r="G479" s="1"/>
  <c r="G2736"/>
  <c r="G853"/>
  <c r="G2270"/>
  <c r="G8258"/>
  <c r="G5473"/>
  <c r="G5514"/>
  <c r="G5556"/>
  <c r="G6685"/>
  <c r="G5416"/>
  <c r="G1419"/>
  <c r="G1422" s="1"/>
  <c r="G2798"/>
  <c r="G5770"/>
  <c r="G79"/>
  <c r="G4545"/>
  <c r="G4847"/>
  <c r="G8129"/>
  <c r="G8130" s="1"/>
  <c r="G8293"/>
  <c r="G545"/>
  <c r="G7818"/>
  <c r="G598"/>
  <c r="G2184"/>
  <c r="G7499"/>
  <c r="G7465"/>
  <c r="G3169"/>
  <c r="G7431"/>
  <c r="G8175"/>
  <c r="G1115"/>
  <c r="G2512"/>
  <c r="G2544"/>
  <c r="G6406"/>
  <c r="G2640"/>
  <c r="G5400"/>
  <c r="G4249"/>
  <c r="G5045"/>
  <c r="G198"/>
  <c r="G4895"/>
  <c r="G4284"/>
  <c r="G6182"/>
  <c r="G8283"/>
  <c r="G8319"/>
  <c r="G7472"/>
  <c r="G7438"/>
  <c r="G4380"/>
  <c r="G4381" s="1"/>
  <c r="G8182"/>
  <c r="G3416"/>
  <c r="F4990"/>
  <c r="G4990" s="1"/>
  <c r="G4992" s="1"/>
  <c r="G1934"/>
  <c r="F6719"/>
  <c r="F6738" s="1"/>
  <c r="F6757" s="1"/>
  <c r="G7506"/>
  <c r="G2881"/>
  <c r="G3364"/>
  <c r="G1978"/>
  <c r="G2304"/>
  <c r="G5822"/>
  <c r="G5955"/>
  <c r="G5606"/>
  <c r="G6466"/>
  <c r="G357"/>
  <c r="G360" s="1"/>
  <c r="G361" s="1"/>
  <c r="G362" s="1"/>
  <c r="E27" i="339" s="1"/>
  <c r="G4539" i="16"/>
  <c r="G966"/>
  <c r="G2672"/>
  <c r="G3507"/>
  <c r="G4430"/>
  <c r="G3277"/>
  <c r="G6622"/>
  <c r="G6639"/>
  <c r="G5733"/>
  <c r="G5024"/>
  <c r="G5027" s="1"/>
  <c r="F5008"/>
  <c r="G5008" s="1"/>
  <c r="G2847"/>
  <c r="G4799"/>
  <c r="G1196"/>
  <c r="F6718"/>
  <c r="F6737" s="1"/>
  <c r="F6756" s="1"/>
  <c r="G2971"/>
  <c r="G3007"/>
  <c r="G3990"/>
  <c r="G8292"/>
  <c r="G321"/>
  <c r="G324" s="1"/>
  <c r="G325" s="1"/>
  <c r="G326" s="1"/>
  <c r="E24" i="339" s="1"/>
  <c r="G369" i="16"/>
  <c r="G372" s="1"/>
  <c r="G373" s="1"/>
  <c r="G374" s="1"/>
  <c r="E28" i="339" s="1"/>
  <c r="G4879" i="16"/>
  <c r="F7333"/>
  <c r="G7333" s="1"/>
  <c r="G511"/>
  <c r="G6031"/>
  <c r="F7471"/>
  <c r="G7471" s="1"/>
  <c r="F7189"/>
  <c r="G7189" s="1"/>
  <c r="G8048"/>
  <c r="F7002"/>
  <c r="G7002" s="1"/>
  <c r="G6745"/>
  <c r="G2576"/>
  <c r="G8259"/>
  <c r="G8278"/>
  <c r="G1746"/>
  <c r="G1963"/>
  <c r="G2043"/>
  <c r="G2179"/>
  <c r="G2299"/>
  <c r="G2333"/>
  <c r="G2404"/>
  <c r="G2440"/>
  <c r="G2540"/>
  <c r="G2572"/>
  <c r="G2577" s="1"/>
  <c r="G2578" s="1"/>
  <c r="G2579" s="1"/>
  <c r="E166" i="339" s="1"/>
  <c r="G2604" i="16"/>
  <c r="G2700"/>
  <c r="G2779"/>
  <c r="G2859"/>
  <c r="G2929"/>
  <c r="G2983"/>
  <c r="G3019"/>
  <c r="G3055"/>
  <c r="G3328"/>
  <c r="G3360"/>
  <c r="G3392"/>
  <c r="G3522"/>
  <c r="G3557"/>
  <c r="G3590"/>
  <c r="G2965"/>
  <c r="G3181"/>
  <c r="G3640"/>
  <c r="G3791"/>
  <c r="G3823"/>
  <c r="G3855"/>
  <c r="G3887"/>
  <c r="G3986"/>
  <c r="G4099"/>
  <c r="G4213"/>
  <c r="G4377"/>
  <c r="G4475"/>
  <c r="G4575"/>
  <c r="G4609"/>
  <c r="G4679"/>
  <c r="G4713"/>
  <c r="G4763"/>
  <c r="G4795"/>
  <c r="G4827"/>
  <c r="G5021"/>
  <c r="G5057"/>
  <c r="G5090"/>
  <c r="G5140"/>
  <c r="G5170"/>
  <c r="G5200"/>
  <c r="G5260"/>
  <c r="G5264" s="1"/>
  <c r="G5265" s="1"/>
  <c r="G5266" s="1"/>
  <c r="E334" i="339" s="1"/>
  <c r="G5290" i="16"/>
  <c r="G523"/>
  <c r="G610"/>
  <c r="G647"/>
  <c r="G757"/>
  <c r="G865"/>
  <c r="G869" s="1"/>
  <c r="G1113"/>
  <c r="G5320"/>
  <c r="G5324" s="1"/>
  <c r="G5350"/>
  <c r="G5380"/>
  <c r="G5412"/>
  <c r="G5444"/>
  <c r="G5448" s="1"/>
  <c r="G5449" s="1"/>
  <c r="G5450" s="1"/>
  <c r="E346" i="339" s="1"/>
  <c r="G5486" i="16"/>
  <c r="G5601"/>
  <c r="G5669"/>
  <c r="G5766"/>
  <c r="G5834"/>
  <c r="G5870"/>
  <c r="G6007"/>
  <c r="G6059"/>
  <c r="G6110"/>
  <c r="G6145"/>
  <c r="G6178"/>
  <c r="G6274"/>
  <c r="G6306"/>
  <c r="G6338"/>
  <c r="G6370"/>
  <c r="G6402"/>
  <c r="G4597"/>
  <c r="G8111"/>
  <c r="G8112" s="1"/>
  <c r="G578"/>
  <c r="G8320"/>
  <c r="G1734"/>
  <c r="F7846"/>
  <c r="G7846" s="1"/>
  <c r="G7847" s="1"/>
  <c r="G194"/>
  <c r="G4233"/>
  <c r="G3827"/>
  <c r="G3903"/>
  <c r="G6198"/>
  <c r="G3676"/>
  <c r="G4316"/>
  <c r="G4751"/>
  <c r="G4911"/>
  <c r="G4511"/>
  <c r="G5922"/>
  <c r="G6605"/>
  <c r="G6651"/>
  <c r="G5618"/>
  <c r="G5787"/>
  <c r="G5804"/>
  <c r="G3692"/>
  <c r="G4939"/>
  <c r="G4971"/>
  <c r="G4975"/>
  <c r="G4875"/>
  <c r="G7896"/>
  <c r="G8291"/>
  <c r="G8318"/>
  <c r="G3410"/>
  <c r="G3446"/>
  <c r="G1884"/>
  <c r="G1896"/>
  <c r="G1918"/>
  <c r="G1951"/>
  <c r="G7876"/>
  <c r="G8124"/>
  <c r="G8242"/>
  <c r="F7560"/>
  <c r="G7560" s="1"/>
  <c r="F7579"/>
  <c r="G7579" s="1"/>
  <c r="G8144"/>
  <c r="F6796"/>
  <c r="G6796" s="1"/>
  <c r="F7463"/>
  <c r="F7497" s="1"/>
  <c r="F7531" s="1"/>
  <c r="G7531" s="1"/>
  <c r="G1284"/>
  <c r="G7884"/>
  <c r="G6310"/>
  <c r="G6666"/>
  <c r="F7021"/>
  <c r="G7021" s="1"/>
  <c r="G8126"/>
  <c r="F6929"/>
  <c r="G6929" s="1"/>
  <c r="F6948"/>
  <c r="G6948" s="1"/>
  <c r="F6834"/>
  <c r="G6834" s="1"/>
  <c r="F7792"/>
  <c r="G7792" s="1"/>
  <c r="F7279"/>
  <c r="G7279" s="1"/>
  <c r="F7243"/>
  <c r="G7243" s="1"/>
  <c r="F6777"/>
  <c r="G6777" s="1"/>
  <c r="G8090"/>
  <c r="F7387"/>
  <c r="G7387" s="1"/>
  <c r="F7924"/>
  <c r="G7924" s="1"/>
  <c r="F6758"/>
  <c r="G6758" s="1"/>
  <c r="F7423"/>
  <c r="G7423" s="1"/>
  <c r="F8220"/>
  <c r="G8220" s="1"/>
  <c r="G8173"/>
  <c r="F7369"/>
  <c r="G7369" s="1"/>
  <c r="F7135"/>
  <c r="G7135" s="1"/>
  <c r="F6853"/>
  <c r="G6853" s="1"/>
  <c r="G8023"/>
  <c r="G8024" s="1"/>
  <c r="F7525"/>
  <c r="G7525" s="1"/>
  <c r="F7351"/>
  <c r="G7351" s="1"/>
  <c r="F6984"/>
  <c r="G6984" s="1"/>
  <c r="F7836"/>
  <c r="G7836" s="1"/>
  <c r="F7153"/>
  <c r="G7153" s="1"/>
  <c r="F7297"/>
  <c r="G7297" s="1"/>
  <c r="F6739"/>
  <c r="G6739" s="1"/>
  <c r="G8014"/>
  <c r="G4579"/>
  <c r="G5736"/>
  <c r="G138"/>
  <c r="G180"/>
  <c r="G183" s="1"/>
  <c r="G184" s="1"/>
  <c r="G185" s="1"/>
  <c r="E12" i="339" s="1"/>
  <c r="G309" i="16"/>
  <c r="G312" s="1"/>
  <c r="G313" s="1"/>
  <c r="G314" s="1"/>
  <c r="E23" i="339" s="1"/>
  <c r="G445" i="16"/>
  <c r="G506"/>
  <c r="G540"/>
  <c r="G590"/>
  <c r="G629"/>
  <c r="G665"/>
  <c r="G703"/>
  <c r="G739"/>
  <c r="G775"/>
  <c r="G811"/>
  <c r="G847"/>
  <c r="G880"/>
  <c r="G910"/>
  <c r="G944"/>
  <c r="G996"/>
  <c r="G1072"/>
  <c r="F6740"/>
  <c r="F6759" s="1"/>
  <c r="G6759" s="1"/>
  <c r="G1256"/>
  <c r="G11"/>
  <c r="G54"/>
  <c r="G92"/>
  <c r="G1370"/>
  <c r="G1447"/>
  <c r="G1700"/>
  <c r="G1802"/>
  <c r="G1832"/>
  <c r="G1946"/>
  <c r="G2026"/>
  <c r="G2060"/>
  <c r="G2196"/>
  <c r="G2282"/>
  <c r="G2350"/>
  <c r="G2422"/>
  <c r="G2475"/>
  <c r="G2524"/>
  <c r="G2620"/>
  <c r="G2652"/>
  <c r="G2684"/>
  <c r="G2764"/>
  <c r="G2842"/>
  <c r="G2876"/>
  <c r="G2911"/>
  <c r="G3001"/>
  <c r="G3037"/>
  <c r="G3217"/>
  <c r="G3307"/>
  <c r="G3344"/>
  <c r="G3376"/>
  <c r="G3500"/>
  <c r="G3540"/>
  <c r="G3574"/>
  <c r="G3622"/>
  <c r="G3629" s="1"/>
  <c r="G3656"/>
  <c r="G3807"/>
  <c r="G3839"/>
  <c r="G3871"/>
  <c r="G3951"/>
  <c r="G126"/>
  <c r="G562"/>
  <c r="G1001"/>
  <c r="G1376"/>
  <c r="G2252"/>
  <c r="G5384"/>
  <c r="G5544"/>
  <c r="G2218"/>
  <c r="G2338"/>
  <c r="G2374"/>
  <c r="G3528"/>
  <c r="G4167"/>
  <c r="G6520"/>
  <c r="G4083"/>
  <c r="G4115"/>
  <c r="G4179"/>
  <c r="G4245"/>
  <c r="G4280"/>
  <c r="G4328"/>
  <c r="G4361"/>
  <c r="G4393"/>
  <c r="G4425"/>
  <c r="G4491"/>
  <c r="G4557"/>
  <c r="G4591"/>
  <c r="G4628"/>
  <c r="G4696"/>
  <c r="G4730"/>
  <c r="G4779"/>
  <c r="G4811"/>
  <c r="G4891"/>
  <c r="G5039"/>
  <c r="G5074"/>
  <c r="G5125"/>
  <c r="G5155"/>
  <c r="G5185"/>
  <c r="G5189" s="1"/>
  <c r="G5190" s="1"/>
  <c r="G5191" s="1"/>
  <c r="E329" i="339" s="1"/>
  <c r="G5275" i="16"/>
  <c r="G5305"/>
  <c r="G5365"/>
  <c r="G5369" s="1"/>
  <c r="G5396"/>
  <c r="G5428"/>
  <c r="G5459"/>
  <c r="G5463" s="1"/>
  <c r="G5464" s="1"/>
  <c r="G5465" s="1"/>
  <c r="E347" i="339" s="1"/>
  <c r="G5499" i="16"/>
  <c r="G5635"/>
  <c r="G5853"/>
  <c r="G5989"/>
  <c r="G6043"/>
  <c r="G6075"/>
  <c r="G6129"/>
  <c r="G6258"/>
  <c r="G6290"/>
  <c r="G6322"/>
  <c r="G6354"/>
  <c r="G6386"/>
  <c r="G6391" s="1"/>
  <c r="G6392" s="1"/>
  <c r="G6393" s="1"/>
  <c r="E407" i="339" s="1"/>
  <c r="G6418" i="16"/>
  <c r="G6450"/>
  <c r="G6455" s="1"/>
  <c r="G6456" s="1"/>
  <c r="G6457" s="1"/>
  <c r="E411" i="339" s="1"/>
  <c r="G5623" i="16"/>
  <c r="G5960"/>
  <c r="F7261"/>
  <c r="G7261" s="1"/>
  <c r="F7405"/>
  <c r="G7405" s="1"/>
  <c r="F7457"/>
  <c r="G7457" s="1"/>
  <c r="G1318"/>
  <c r="F7078"/>
  <c r="G7078" s="1"/>
  <c r="G8069"/>
  <c r="F7040"/>
  <c r="G7040" s="1"/>
  <c r="F6966"/>
  <c r="G6966" s="1"/>
  <c r="F7097"/>
  <c r="G7097" s="1"/>
  <c r="G2446"/>
  <c r="G1462"/>
  <c r="G5535"/>
  <c r="G5571"/>
  <c r="G6703"/>
  <c r="G5432"/>
  <c r="G6691"/>
  <c r="F7814"/>
  <c r="G7814" s="1"/>
  <c r="F7116"/>
  <c r="G7116" s="1"/>
  <c r="F7491"/>
  <c r="G7491" s="1"/>
  <c r="G7993"/>
  <c r="G3187"/>
  <c r="G8108"/>
  <c r="F6720"/>
  <c r="G6720" s="1"/>
  <c r="G8033"/>
  <c r="G8034" s="1"/>
  <c r="F6872"/>
  <c r="G6872" s="1"/>
  <c r="G2704"/>
  <c r="F6815"/>
  <c r="G6815" s="1"/>
  <c r="F7225"/>
  <c r="G7225" s="1"/>
  <c r="F6910"/>
  <c r="G6910" s="1"/>
  <c r="F7171"/>
  <c r="G7171" s="1"/>
  <c r="G5995"/>
  <c r="F7315"/>
  <c r="G7315" s="1"/>
  <c r="F7207"/>
  <c r="G7207" s="1"/>
  <c r="F6891"/>
  <c r="G6891" s="1"/>
  <c r="G3434"/>
  <c r="G460"/>
  <c r="G464" s="1"/>
  <c r="F7501"/>
  <c r="G1219"/>
  <c r="G32"/>
  <c r="G74"/>
  <c r="G120"/>
  <c r="G160"/>
  <c r="G489"/>
  <c r="G557"/>
  <c r="G574"/>
  <c r="G685"/>
  <c r="G721"/>
  <c r="G793"/>
  <c r="G829"/>
  <c r="G895"/>
  <c r="G961"/>
  <c r="G1817"/>
  <c r="G2213"/>
  <c r="G2247"/>
  <c r="G2716"/>
  <c r="G1631"/>
  <c r="G1632" s="1"/>
  <c r="G2560"/>
  <c r="G5705"/>
  <c r="G5721"/>
  <c r="G5782"/>
  <c r="G213"/>
  <c r="G6025"/>
  <c r="G5877"/>
  <c r="G1560"/>
  <c r="G6656"/>
  <c r="G3688"/>
  <c r="G6549"/>
  <c r="G5799"/>
  <c r="G6554"/>
  <c r="G4229"/>
  <c r="G4923"/>
  <c r="G4927"/>
  <c r="G4831"/>
  <c r="G3109"/>
  <c r="G3235"/>
  <c r="G6532"/>
  <c r="G5685"/>
  <c r="G4955"/>
  <c r="G3253"/>
  <c r="G927"/>
  <c r="G4859"/>
  <c r="G4747"/>
  <c r="G3073"/>
  <c r="G62"/>
  <c r="G528"/>
  <c r="G1242"/>
  <c r="G1265"/>
  <c r="G2752"/>
  <c r="G3562"/>
  <c r="G4333"/>
  <c r="G4268"/>
  <c r="G5652"/>
  <c r="G2953"/>
  <c r="G2491"/>
  <c r="G7122"/>
  <c r="G8147"/>
  <c r="G8148" s="1"/>
  <c r="G8248"/>
  <c r="G8256"/>
  <c r="G8277"/>
  <c r="G8294"/>
  <c r="G8313"/>
  <c r="G5096"/>
  <c r="G7797"/>
  <c r="F7466"/>
  <c r="F7500" s="1"/>
  <c r="F7474"/>
  <c r="F7508" s="1"/>
  <c r="F7542" s="1"/>
  <c r="G3061"/>
  <c r="G3079"/>
  <c r="G6634"/>
  <c r="F7841"/>
  <c r="G7841" s="1"/>
  <c r="G8036"/>
  <c r="G8037" s="1"/>
  <c r="G8184"/>
  <c r="E8273"/>
  <c r="E8272"/>
  <c r="G8176"/>
  <c r="G2410"/>
  <c r="G8168"/>
  <c r="G6151"/>
  <c r="G2065"/>
  <c r="G2624"/>
  <c r="E8237"/>
  <c r="G3398"/>
  <c r="G8002"/>
  <c r="G8003" s="1"/>
  <c r="G8123"/>
  <c r="G8337"/>
  <c r="G8342"/>
  <c r="G5523"/>
  <c r="G914"/>
  <c r="G430"/>
  <c r="G4163"/>
  <c r="G4151"/>
  <c r="G7856"/>
  <c r="G228"/>
  <c r="G7065"/>
  <c r="G8243"/>
  <c r="G4527"/>
  <c r="G4103"/>
  <c r="G4463"/>
  <c r="G8261"/>
  <c r="G5889"/>
  <c r="G1395"/>
  <c r="G3025"/>
  <c r="G7084"/>
  <c r="G1314"/>
  <c r="G1537"/>
  <c r="G6133"/>
  <c r="G2230"/>
  <c r="G3875"/>
  <c r="G1174"/>
  <c r="G3428"/>
  <c r="G1862"/>
  <c r="G3145"/>
  <c r="G4365"/>
  <c r="G2556"/>
  <c r="G381"/>
  <c r="G5972"/>
  <c r="G6194"/>
  <c r="G5688"/>
  <c r="G1654"/>
  <c r="G1930"/>
  <c r="G2893"/>
  <c r="G3271"/>
  <c r="G5640"/>
  <c r="G6571"/>
  <c r="G1194"/>
  <c r="G4479"/>
  <c r="G1499"/>
  <c r="G2093"/>
  <c r="G6566"/>
  <c r="G6600"/>
  <c r="G264"/>
  <c r="G1332"/>
  <c r="G4296"/>
  <c r="G5753"/>
  <c r="G1296"/>
  <c r="G2794"/>
  <c r="G2077"/>
  <c r="G2265"/>
  <c r="G2458"/>
  <c r="G4507"/>
  <c r="G3127"/>
  <c r="G931"/>
  <c r="G1730"/>
  <c r="G4459"/>
  <c r="G2201"/>
  <c r="G2428"/>
  <c r="G4442"/>
  <c r="G2110"/>
  <c r="G8165"/>
  <c r="G4261"/>
  <c r="G4185"/>
  <c r="G6515"/>
  <c r="G3672"/>
  <c r="G2368"/>
  <c r="G2668"/>
  <c r="G2947"/>
  <c r="G4409"/>
  <c r="G4495"/>
  <c r="G4985"/>
  <c r="G5003"/>
  <c r="G3043"/>
  <c r="G6583"/>
  <c r="G7046"/>
  <c r="G2636"/>
  <c r="G2810"/>
  <c r="G2814" s="1"/>
  <c r="G2815" s="1"/>
  <c r="G2816" s="1"/>
  <c r="G2989"/>
  <c r="G2287"/>
  <c r="G2356"/>
  <c r="G3795"/>
  <c r="G1406"/>
  <c r="G1785"/>
  <c r="G2748"/>
  <c r="G5816"/>
  <c r="G2720"/>
  <c r="G2935"/>
  <c r="G6588"/>
  <c r="G1350"/>
  <c r="G5841"/>
  <c r="F6261"/>
  <c r="G6261" s="1"/>
  <c r="G6262" s="1"/>
  <c r="G2321"/>
  <c r="G1611"/>
  <c r="G1619" s="1"/>
  <c r="G3594"/>
  <c r="G7566"/>
  <c r="I3241"/>
  <c r="G3223"/>
  <c r="G1214"/>
  <c r="G2508"/>
  <c r="G4217"/>
  <c r="G2917"/>
  <c r="G6617"/>
  <c r="G4345"/>
  <c r="G4616"/>
  <c r="G6482"/>
  <c r="G4843"/>
  <c r="G2528"/>
  <c r="G1715"/>
  <c r="G4197"/>
  <c r="G2235"/>
  <c r="G2732"/>
  <c r="G5906"/>
  <c r="G4767"/>
  <c r="G8205"/>
  <c r="G653"/>
  <c r="G3115"/>
  <c r="G3259"/>
  <c r="G250"/>
  <c r="G253" s="1"/>
  <c r="G2588"/>
  <c r="G4397"/>
  <c r="G6709"/>
  <c r="G1278"/>
  <c r="G6673"/>
  <c r="G3545"/>
  <c r="G5000"/>
  <c r="G5657"/>
  <c r="G1592"/>
  <c r="G1600" s="1"/>
  <c r="F7496"/>
  <c r="G7462"/>
  <c r="G1388"/>
  <c r="G1993"/>
  <c r="G5245"/>
  <c r="G3843"/>
  <c r="G1530"/>
  <c r="G6094"/>
  <c r="G1573"/>
  <c r="G1581" s="1"/>
  <c r="G1582" s="1"/>
  <c r="G1847"/>
  <c r="G1851" s="1"/>
  <c r="G1852" s="1"/>
  <c r="G1853" s="1"/>
  <c r="E119" i="339" s="1"/>
  <c r="G1477" i="16"/>
  <c r="G2386"/>
  <c r="G1233"/>
  <c r="G1553"/>
  <c r="G1668"/>
  <c r="G1763"/>
  <c r="G5062"/>
  <c r="G494"/>
  <c r="G238"/>
  <c r="G393"/>
  <c r="G2009"/>
  <c r="G3907"/>
  <c r="G2864"/>
  <c r="G1336"/>
  <c r="G1338" s="1"/>
  <c r="G1300"/>
  <c r="G1492"/>
  <c r="G1685"/>
  <c r="F7502"/>
  <c r="F7536" s="1"/>
  <c r="G6013"/>
  <c r="G279"/>
  <c r="G405"/>
  <c r="G417"/>
  <c r="G333"/>
  <c r="E8238"/>
  <c r="G4986"/>
  <c r="G5938"/>
  <c r="G6163"/>
  <c r="G2479"/>
  <c r="G5001"/>
  <c r="G7103"/>
  <c r="G5107"/>
  <c r="F7503"/>
  <c r="F7537" s="1"/>
  <c r="G3163"/>
  <c r="G286"/>
  <c r="F8057"/>
  <c r="F4699"/>
  <c r="G4699" s="1"/>
  <c r="G4701" s="1"/>
  <c r="F2590"/>
  <c r="G2590" s="1"/>
  <c r="G2592" s="1"/>
  <c r="F613"/>
  <c r="G613" s="1"/>
  <c r="G616" s="1"/>
  <c r="F98"/>
  <c r="G98" s="1"/>
  <c r="F723"/>
  <c r="G723" s="1"/>
  <c r="G223"/>
  <c r="G4523"/>
  <c r="G1031"/>
  <c r="G5335"/>
  <c r="G5748"/>
  <c r="G6434"/>
  <c r="G1432"/>
  <c r="G1435" s="1"/>
  <c r="G6498"/>
  <c r="G1673"/>
  <c r="G4135"/>
  <c r="G5700"/>
  <c r="G4447"/>
  <c r="G3380"/>
  <c r="G3811"/>
  <c r="G4087"/>
  <c r="G4815"/>
  <c r="G5078"/>
  <c r="G1643"/>
  <c r="G1644" s="1"/>
  <c r="G116" i="343"/>
  <c r="G231"/>
  <c r="G197"/>
  <c r="G201" s="1"/>
  <c r="G202" s="1"/>
  <c r="H203" s="1"/>
  <c r="G7027" i="16"/>
  <c r="G133" i="343"/>
  <c r="G91"/>
  <c r="G4943" i="16"/>
  <c r="G4907"/>
  <c r="H518" i="339"/>
  <c r="G1749" i="16"/>
  <c r="G1751" s="1"/>
  <c r="G2013"/>
  <c r="G4682"/>
  <c r="G4684" s="1"/>
  <c r="F4665"/>
  <c r="G4665" s="1"/>
  <c r="G4667" s="1"/>
  <c r="F4648"/>
  <c r="G4648" s="1"/>
  <c r="G4650" s="1"/>
  <c r="F4631"/>
  <c r="G4631" s="1"/>
  <c r="G4633" s="1"/>
  <c r="G4147"/>
  <c r="G3332"/>
  <c r="G5576"/>
  <c r="G2048"/>
  <c r="F6421"/>
  <c r="G6421" s="1"/>
  <c r="G6422" s="1"/>
  <c r="G4563"/>
  <c r="G5858"/>
  <c r="F6469"/>
  <c r="G6469" s="1"/>
  <c r="G6470" s="1"/>
  <c r="G6503"/>
  <c r="G6537"/>
  <c r="G5717"/>
  <c r="G6374"/>
  <c r="G7956"/>
  <c r="G8141"/>
  <c r="G1867"/>
  <c r="G37" i="343" l="1"/>
  <c r="G38" s="1"/>
  <c r="H39" s="1"/>
  <c r="G39" s="1"/>
  <c r="E22" i="339"/>
  <c r="G1142" i="16"/>
  <c r="G1143" s="1"/>
  <c r="G1144" s="1"/>
  <c r="G1145" s="1"/>
  <c r="E77" i="339" s="1"/>
  <c r="E181"/>
  <c r="H181" s="1"/>
  <c r="E36"/>
  <c r="H36" s="1"/>
  <c r="G8448" i="16"/>
  <c r="G8454" s="1"/>
  <c r="G8455" s="1"/>
  <c r="G8456" s="1"/>
  <c r="E525" i="339" s="1"/>
  <c r="G8499" i="16"/>
  <c r="G8505" s="1"/>
  <c r="G8506" s="1"/>
  <c r="G8507" s="1"/>
  <c r="E528" i="339" s="1"/>
  <c r="G8482" i="16"/>
  <c r="G8488" s="1"/>
  <c r="G8489" s="1"/>
  <c r="G8490" s="1"/>
  <c r="E527" i="339" s="1"/>
  <c r="G8465" i="16"/>
  <c r="G8471" s="1"/>
  <c r="G8472" s="1"/>
  <c r="G8473" s="1"/>
  <c r="E526" i="339" s="1"/>
  <c r="G7504" i="16"/>
  <c r="F7538"/>
  <c r="G7538" s="1"/>
  <c r="G7500"/>
  <c r="F7534"/>
  <c r="G7534" s="1"/>
  <c r="G7511"/>
  <c r="F7545"/>
  <c r="G7545" s="1"/>
  <c r="G7501"/>
  <c r="F7535"/>
  <c r="G7535" s="1"/>
  <c r="G7509"/>
  <c r="F7543"/>
  <c r="G7543" s="1"/>
  <c r="G4718"/>
  <c r="G4719" s="1"/>
  <c r="G4720" s="1"/>
  <c r="G4721" s="1"/>
  <c r="E298" i="339" s="1"/>
  <c r="G4735" i="16"/>
  <c r="G4736" s="1"/>
  <c r="G4737" s="1"/>
  <c r="G4738" s="1"/>
  <c r="E299" i="339" s="1"/>
  <c r="G3317" i="16"/>
  <c r="G3318" s="1"/>
  <c r="G3319" s="1"/>
  <c r="E211" i="339" s="1"/>
  <c r="G1182" i="16"/>
  <c r="G1183" s="1"/>
  <c r="G1202"/>
  <c r="G1203" s="1"/>
  <c r="G1204" s="1"/>
  <c r="G1205" s="1"/>
  <c r="E80" i="339" s="1"/>
  <c r="G1121" i="16"/>
  <c r="G1122" s="1"/>
  <c r="G1080"/>
  <c r="G1081" s="1"/>
  <c r="G1039"/>
  <c r="G1040" s="1"/>
  <c r="G1041" s="1"/>
  <c r="F165"/>
  <c r="G165" s="1"/>
  <c r="G170" s="1"/>
  <c r="G171" s="1"/>
  <c r="G172" s="1"/>
  <c r="G173" s="1"/>
  <c r="E11" i="339" s="1"/>
  <c r="G3511" i="16"/>
  <c r="G3512" s="1"/>
  <c r="G3513" s="1"/>
  <c r="E222" i="339" s="1"/>
  <c r="G221" i="343"/>
  <c r="G222" s="1"/>
  <c r="G241"/>
  <c r="G242" s="1"/>
  <c r="H243" s="1"/>
  <c r="G243" s="1"/>
  <c r="G100"/>
  <c r="G101" s="1"/>
  <c r="H102" s="1"/>
  <c r="G1302" i="16"/>
  <c r="G1303" s="1"/>
  <c r="G79" i="343"/>
  <c r="G80" s="1"/>
  <c r="H81" s="1"/>
  <c r="G81" s="1"/>
  <c r="G143" i="16"/>
  <c r="G148" s="1"/>
  <c r="G149" s="1"/>
  <c r="G727"/>
  <c r="G728" s="1"/>
  <c r="G142" i="343"/>
  <c r="G143" s="1"/>
  <c r="H144" s="1"/>
  <c r="G58"/>
  <c r="G59" s="1"/>
  <c r="H60" s="1"/>
  <c r="G60" s="1"/>
  <c r="G261"/>
  <c r="G262" s="1"/>
  <c r="H263" s="1"/>
  <c r="G263" s="1"/>
  <c r="F779" i="16"/>
  <c r="G779" s="1"/>
  <c r="G781" s="1"/>
  <c r="G163" i="343"/>
  <c r="G164" s="1"/>
  <c r="H165" s="1"/>
  <c r="G165" s="1"/>
  <c r="G1320" i="16"/>
  <c r="G1321" s="1"/>
  <c r="G1322" s="1"/>
  <c r="G121" i="343"/>
  <c r="G122" s="1"/>
  <c r="H123" s="1"/>
  <c r="G123" s="1"/>
  <c r="G743" i="16"/>
  <c r="G745" s="1"/>
  <c r="G746" s="1"/>
  <c r="G6183"/>
  <c r="G6184" s="1"/>
  <c r="G6185" s="1"/>
  <c r="E394" i="339" s="1"/>
  <c r="G4546" i="16"/>
  <c r="G4547" s="1"/>
  <c r="G4548" s="1"/>
  <c r="E288" i="339" s="1"/>
  <c r="G5545" i="16"/>
  <c r="G5546" s="1"/>
  <c r="G5547" s="1"/>
  <c r="E354" i="339" s="1"/>
  <c r="G8612" i="16"/>
  <c r="G8617" s="1"/>
  <c r="G8618" s="1"/>
  <c r="G8619" s="1"/>
  <c r="E535" i="339" s="1"/>
  <c r="G8596" i="16"/>
  <c r="G8601" s="1"/>
  <c r="G8602" s="1"/>
  <c r="G8603" s="1"/>
  <c r="E534" i="339" s="1"/>
  <c r="G8628" i="16"/>
  <c r="G8633" s="1"/>
  <c r="G8634" s="1"/>
  <c r="G8635" s="1"/>
  <c r="E536" i="339" s="1"/>
  <c r="G8644" i="16"/>
  <c r="G8649" s="1"/>
  <c r="G8650" s="1"/>
  <c r="G8651" s="1"/>
  <c r="E537" i="339" s="1"/>
  <c r="G8564" i="16"/>
  <c r="G8569" s="1"/>
  <c r="G8580"/>
  <c r="G8585" s="1"/>
  <c r="G8586" s="1"/>
  <c r="G8587" s="1"/>
  <c r="E533" i="339" s="1"/>
  <c r="G8431" i="16"/>
  <c r="G8437" s="1"/>
  <c r="G8438" s="1"/>
  <c r="G8439" s="1"/>
  <c r="E524" i="339" s="1"/>
  <c r="G8532" i="16"/>
  <c r="G8537" s="1"/>
  <c r="G8538" s="1"/>
  <c r="G8539" s="1"/>
  <c r="E530" i="339" s="1"/>
  <c r="G8548" i="16"/>
  <c r="G8553" s="1"/>
  <c r="G8554" s="1"/>
  <c r="G8555" s="1"/>
  <c r="E531" i="339" s="1"/>
  <c r="G8516" i="16"/>
  <c r="G8521" s="1"/>
  <c r="G8414"/>
  <c r="G8420" s="1"/>
  <c r="G8421" s="1"/>
  <c r="G8422" s="1"/>
  <c r="G8380"/>
  <c r="G8386" s="1"/>
  <c r="G4598"/>
  <c r="G4599" s="1"/>
  <c r="G4600" s="1"/>
  <c r="G2316"/>
  <c r="G2322" s="1"/>
  <c r="G8347"/>
  <c r="G8348" s="1"/>
  <c r="G8349" s="1"/>
  <c r="G8350" s="1"/>
  <c r="G8323"/>
  <c r="G8324" s="1"/>
  <c r="G8325" s="1"/>
  <c r="G8326" s="1"/>
  <c r="G8299"/>
  <c r="G8264"/>
  <c r="G5028"/>
  <c r="G5029" s="1"/>
  <c r="G5030" s="1"/>
  <c r="E317" i="339" s="1"/>
  <c r="G8038" i="16"/>
  <c r="G8039" s="1"/>
  <c r="G8040" s="1"/>
  <c r="G7821"/>
  <c r="G7822" s="1"/>
  <c r="G7799"/>
  <c r="G7800" s="1"/>
  <c r="H480" i="339"/>
  <c r="G5108" i="16"/>
  <c r="G5109" s="1"/>
  <c r="G5113" s="1"/>
  <c r="G5114" s="1"/>
  <c r="G5115" s="1"/>
  <c r="E322" i="339" s="1"/>
  <c r="G6692" i="16"/>
  <c r="G6693" s="1"/>
  <c r="G6694" s="1"/>
  <c r="G6640"/>
  <c r="G6641" s="1"/>
  <c r="G6642" s="1"/>
  <c r="E422" i="339" s="1"/>
  <c r="G6710" i="16"/>
  <c r="G6711" s="1"/>
  <c r="G6712" s="1"/>
  <c r="G5674"/>
  <c r="G5675" s="1"/>
  <c r="G5676" s="1"/>
  <c r="E362" i="339" s="1"/>
  <c r="G6487" i="16"/>
  <c r="G6488" s="1"/>
  <c r="G6489" s="1"/>
  <c r="E413" i="339" s="1"/>
  <c r="G5944" i="16"/>
  <c r="G5945" s="1"/>
  <c r="G5946" s="1"/>
  <c r="E380" i="339" s="1"/>
  <c r="G6606" i="16"/>
  <c r="G6607" s="1"/>
  <c r="G6608" s="1"/>
  <c r="E420" i="339" s="1"/>
  <c r="G5805" i="16"/>
  <c r="G5806" s="1"/>
  <c r="G5807" s="1"/>
  <c r="E370" i="339" s="1"/>
  <c r="G6657" i="16"/>
  <c r="G6623"/>
  <c r="G6624" s="1"/>
  <c r="G6625" s="1"/>
  <c r="E421" i="339" s="1"/>
  <c r="G6589" i="16"/>
  <c r="G6590" s="1"/>
  <c r="G6591" s="1"/>
  <c r="E419" i="339" s="1"/>
  <c r="G6407" i="16"/>
  <c r="G6408" s="1"/>
  <c r="G6409" s="1"/>
  <c r="E408" i="339" s="1"/>
  <c r="G6572" i="16"/>
  <c r="G6573" s="1"/>
  <c r="G6574" s="1"/>
  <c r="E418" i="339" s="1"/>
  <c r="G6538" i="16"/>
  <c r="G6539" s="1"/>
  <c r="G6540" s="1"/>
  <c r="E416" i="339" s="1"/>
  <c r="G6555" i="16"/>
  <c r="G6521"/>
  <c r="G6504"/>
  <c r="G6505" s="1"/>
  <c r="G6506" s="1"/>
  <c r="E414" i="339" s="1"/>
  <c r="G6471" i="16"/>
  <c r="G6472" s="1"/>
  <c r="G6473" s="1"/>
  <c r="E412" i="339" s="1"/>
  <c r="G6423" i="16"/>
  <c r="G6424" s="1"/>
  <c r="G6425" s="1"/>
  <c r="E409" i="339" s="1"/>
  <c r="G6439" i="16"/>
  <c r="G6375"/>
  <c r="G6359"/>
  <c r="G6343"/>
  <c r="G6344" s="1"/>
  <c r="G6345" s="1"/>
  <c r="E404" i="339" s="1"/>
  <c r="G6327" i="16"/>
  <c r="G6328" s="1"/>
  <c r="G6329" s="1"/>
  <c r="E403" i="339" s="1"/>
  <c r="G6311" i="16"/>
  <c r="G6312" s="1"/>
  <c r="G6313" s="1"/>
  <c r="E402" i="339" s="1"/>
  <c r="G6295" i="16"/>
  <c r="G6296" s="1"/>
  <c r="G6297" s="1"/>
  <c r="E401" i="339" s="1"/>
  <c r="G6279" i="16"/>
  <c r="G6263"/>
  <c r="G6264" s="1"/>
  <c r="G6265" s="1"/>
  <c r="E399" i="339" s="1"/>
  <c r="G6199" i="16"/>
  <c r="G6167"/>
  <c r="G6152"/>
  <c r="G6153" s="1"/>
  <c r="G6154" s="1"/>
  <c r="E392" i="339" s="1"/>
  <c r="G6134" i="16"/>
  <c r="G6135" s="1"/>
  <c r="G6136" s="1"/>
  <c r="E391" i="339" s="1"/>
  <c r="G6099" i="16"/>
  <c r="G6100" s="1"/>
  <c r="G6101" s="1"/>
  <c r="G6083"/>
  <c r="G6084" s="1"/>
  <c r="G6085" s="1"/>
  <c r="E388" i="339" s="1"/>
  <c r="G6064" i="16"/>
  <c r="G6065" s="1"/>
  <c r="G6066" s="1"/>
  <c r="E387" i="339" s="1"/>
  <c r="G6048" i="16"/>
  <c r="G6049" s="1"/>
  <c r="G6050" s="1"/>
  <c r="E386" i="339" s="1"/>
  <c r="G6032" i="16"/>
  <c r="G6033" s="1"/>
  <c r="G6014"/>
  <c r="G6015" s="1"/>
  <c r="G6016" s="1"/>
  <c r="E384" i="339" s="1"/>
  <c r="G5911" i="16"/>
  <c r="G5912" s="1"/>
  <c r="G5913" s="1"/>
  <c r="E378" i="339" s="1"/>
  <c r="G5788" i="16"/>
  <c r="G5789" s="1"/>
  <c r="G5790" s="1"/>
  <c r="E369" i="339" s="1"/>
  <c r="G5996" i="16"/>
  <c r="G5997" s="1"/>
  <c r="G5878"/>
  <c r="G5879" s="1"/>
  <c r="G5880" s="1"/>
  <c r="E374" i="339" s="1"/>
  <c r="G5607" i="16"/>
  <c r="G5608" s="1"/>
  <c r="G5609" s="1"/>
  <c r="E358" i="339" s="1"/>
  <c r="G5978" i="16"/>
  <c r="G5979" s="1"/>
  <c r="G5980" s="1"/>
  <c r="E382" i="339" s="1"/>
  <c r="G5961" i="16"/>
  <c r="G5962" s="1"/>
  <c r="G5963" s="1"/>
  <c r="E381" i="339" s="1"/>
  <c r="G5722" i="16"/>
  <c r="G5723" s="1"/>
  <c r="G5724" s="1"/>
  <c r="E365" i="339" s="1"/>
  <c r="G5927" i="16"/>
  <c r="G5928" s="1"/>
  <c r="G5929" s="1"/>
  <c r="E379" i="339" s="1"/>
  <c r="G5894" i="16"/>
  <c r="G5859"/>
  <c r="G5860" s="1"/>
  <c r="G5861" s="1"/>
  <c r="E373" i="339" s="1"/>
  <c r="G5842" i="16"/>
  <c r="G5843" s="1"/>
  <c r="G5844" s="1"/>
  <c r="E372" i="339" s="1"/>
  <c r="G5706" i="16"/>
  <c r="G5707" s="1"/>
  <c r="G5708" s="1"/>
  <c r="E364" i="339" s="1"/>
  <c r="G5754" i="16"/>
  <c r="G5755" s="1"/>
  <c r="G5756" s="1"/>
  <c r="E367" i="339" s="1"/>
  <c r="G5823" i="16"/>
  <c r="G5771"/>
  <c r="G5772" s="1"/>
  <c r="G5773" s="1"/>
  <c r="E368" i="339" s="1"/>
  <c r="G5737" i="16"/>
  <c r="G5738" s="1"/>
  <c r="G5739" s="1"/>
  <c r="E366" i="339" s="1"/>
  <c r="G5689" i="16"/>
  <c r="G5690" s="1"/>
  <c r="G5691" s="1"/>
  <c r="E363" i="339" s="1"/>
  <c r="G4528" i="16"/>
  <c r="G4529" s="1"/>
  <c r="G4530" s="1"/>
  <c r="E287" i="339" s="1"/>
  <c r="G4864" i="16"/>
  <c r="G4865" s="1"/>
  <c r="G4866" s="1"/>
  <c r="E307" i="339" s="1"/>
  <c r="G4784" i="16"/>
  <c r="G4785" s="1"/>
  <c r="G4786" s="1"/>
  <c r="E302" i="339" s="1"/>
  <c r="G5401" i="16"/>
  <c r="G5402" s="1"/>
  <c r="G5403" s="1"/>
  <c r="G4960"/>
  <c r="G4961" s="1"/>
  <c r="G4962" s="1"/>
  <c r="E313" i="339" s="1"/>
  <c r="G5658" i="16"/>
  <c r="G5659" s="1"/>
  <c r="G5660" s="1"/>
  <c r="E361" i="339" s="1"/>
  <c r="G5641" i="16"/>
  <c r="G5642" s="1"/>
  <c r="G5643" s="1"/>
  <c r="E360" i="339" s="1"/>
  <c r="G5624" i="16"/>
  <c r="G5625" s="1"/>
  <c r="G5626" s="1"/>
  <c r="E359" i="339" s="1"/>
  <c r="G5577" i="16"/>
  <c r="G5578" s="1"/>
  <c r="G5590"/>
  <c r="G5591" s="1"/>
  <c r="G5592" s="1"/>
  <c r="E357" i="339" s="1"/>
  <c r="G5560" i="16"/>
  <c r="G5524"/>
  <c r="G5503"/>
  <c r="G5504" s="1"/>
  <c r="G5505" s="1"/>
  <c r="E352" i="339" s="1"/>
  <c r="G5490" i="16"/>
  <c r="G5491" s="1"/>
  <c r="G5492" s="1"/>
  <c r="E351" i="339" s="1"/>
  <c r="G5477" i="16"/>
  <c r="G5478" s="1"/>
  <c r="G5479" s="1"/>
  <c r="E350" i="339" s="1"/>
  <c r="G4285" i="16"/>
  <c r="G4286" s="1"/>
  <c r="G4287" s="1"/>
  <c r="E270" i="339" s="1"/>
  <c r="G5417" i="16"/>
  <c r="G5418" s="1"/>
  <c r="G5419" s="1"/>
  <c r="E344" i="339" s="1"/>
  <c r="G5433" i="16"/>
  <c r="G4912"/>
  <c r="G4913" s="1"/>
  <c r="G4914" s="1"/>
  <c r="E310" i="339" s="1"/>
  <c r="G5046" i="16"/>
  <c r="G5047" s="1"/>
  <c r="G5048" s="1"/>
  <c r="E318" i="339" s="1"/>
  <c r="G4944" i="16"/>
  <c r="G4945" s="1"/>
  <c r="G4946" s="1"/>
  <c r="E312" i="339" s="1"/>
  <c r="G5385" i="16"/>
  <c r="G5386" s="1"/>
  <c r="G5387" s="1"/>
  <c r="E342" i="339" s="1"/>
  <c r="G5370" i="16"/>
  <c r="H5371" s="1"/>
  <c r="G5354"/>
  <c r="G5355" s="1"/>
  <c r="G5356" s="1"/>
  <c r="E340" i="339" s="1"/>
  <c r="G5339" i="16"/>
  <c r="G5340" s="1"/>
  <c r="G5341" s="1"/>
  <c r="E339" i="339" s="1"/>
  <c r="G5325" i="16"/>
  <c r="H5326" s="1"/>
  <c r="G5309"/>
  <c r="G5294"/>
  <c r="G5295" s="1"/>
  <c r="G5296" s="1"/>
  <c r="E336" i="339" s="1"/>
  <c r="G5279" i="16"/>
  <c r="G5280" s="1"/>
  <c r="G5281" s="1"/>
  <c r="E335" i="339" s="1"/>
  <c r="G5249" i="16"/>
  <c r="G5250" s="1"/>
  <c r="G5251" s="1"/>
  <c r="G5204"/>
  <c r="G5205" s="1"/>
  <c r="G5206" s="1"/>
  <c r="E330" i="339" s="1"/>
  <c r="G5174" i="16"/>
  <c r="G5175" s="1"/>
  <c r="G5176" s="1"/>
  <c r="E328" i="339" s="1"/>
  <c r="G5159" i="16"/>
  <c r="G5160" s="1"/>
  <c r="G5161" s="1"/>
  <c r="E327" i="339" s="1"/>
  <c r="G5144" i="16"/>
  <c r="G5129"/>
  <c r="G5097"/>
  <c r="G5098" s="1"/>
  <c r="G5099" s="1"/>
  <c r="E321" i="339" s="1"/>
  <c r="G5079" i="16"/>
  <c r="G5080" s="1"/>
  <c r="G5081" s="1"/>
  <c r="E320" i="339" s="1"/>
  <c r="G5063" i="16"/>
  <c r="G4928"/>
  <c r="G4929" s="1"/>
  <c r="G4930" s="1"/>
  <c r="E311" i="339" s="1"/>
  <c r="G4976" i="16"/>
  <c r="G4896"/>
  <c r="G4564"/>
  <c r="G4565" s="1"/>
  <c r="G4566" s="1"/>
  <c r="E289" i="339" s="1"/>
  <c r="G4880" i="16"/>
  <c r="G4881" s="1"/>
  <c r="G4882" s="1"/>
  <c r="E308" i="339" s="1"/>
  <c r="G4832" i="16"/>
  <c r="G4833" s="1"/>
  <c r="G4848"/>
  <c r="G4849" s="1"/>
  <c r="G4850" s="1"/>
  <c r="E306" i="339" s="1"/>
  <c r="G4816" i="16"/>
  <c r="G4800"/>
  <c r="G4801" s="1"/>
  <c r="G4802" s="1"/>
  <c r="E303" i="339" s="1"/>
  <c r="G4768" i="16"/>
  <c r="G4769" s="1"/>
  <c r="G4770" s="1"/>
  <c r="E301" i="339" s="1"/>
  <c r="G4752" i="16"/>
  <c r="G4753" s="1"/>
  <c r="G4754" s="1"/>
  <c r="E300" i="339" s="1"/>
  <c r="G4702" i="16"/>
  <c r="G4703" s="1"/>
  <c r="G4704" s="1"/>
  <c r="E297" i="339" s="1"/>
  <c r="G4685" i="16"/>
  <c r="G4686" s="1"/>
  <c r="G4687" s="1"/>
  <c r="G4668"/>
  <c r="G4669" s="1"/>
  <c r="G4670" s="1"/>
  <c r="E295" i="339" s="1"/>
  <c r="G4651" i="16"/>
  <c r="G4634"/>
  <c r="G4635" s="1"/>
  <c r="G4636" s="1"/>
  <c r="G4617"/>
  <c r="G4618" s="1"/>
  <c r="G4619" s="1"/>
  <c r="E292" i="339" s="1"/>
  <c r="G4580" i="16"/>
  <c r="G4581" s="1"/>
  <c r="G4582" s="1"/>
  <c r="E290" i="339" s="1"/>
  <c r="G4301" i="16"/>
  <c r="G4302" s="1"/>
  <c r="G4303" s="1"/>
  <c r="E271" i="339" s="1"/>
  <c r="G4512" i="16"/>
  <c r="G4513" s="1"/>
  <c r="G4514" s="1"/>
  <c r="E286" i="339" s="1"/>
  <c r="G4496" i="16"/>
  <c r="G4497" s="1"/>
  <c r="G4498" s="1"/>
  <c r="E285" i="339" s="1"/>
  <c r="G4480" i="16"/>
  <c r="G4464"/>
  <c r="G4250"/>
  <c r="G4251" s="1"/>
  <c r="G4252" s="1"/>
  <c r="E268" i="339" s="1"/>
  <c r="G4448" i="16"/>
  <c r="G4431"/>
  <c r="G4413"/>
  <c r="G4398"/>
  <c r="G4399" s="1"/>
  <c r="G4400" s="1"/>
  <c r="G4152"/>
  <c r="G4153" s="1"/>
  <c r="G4154" s="1"/>
  <c r="E262" i="339" s="1"/>
  <c r="G4269" i="16"/>
  <c r="G4270" s="1"/>
  <c r="G4271" s="1"/>
  <c r="E269" i="339" s="1"/>
  <c r="G4382" i="16"/>
  <c r="G4366"/>
  <c r="G4367" s="1"/>
  <c r="H4368" s="1"/>
  <c r="G4350"/>
  <c r="G4351" s="1"/>
  <c r="G4352" s="1"/>
  <c r="E274" i="339" s="1"/>
  <c r="G4317" i="16"/>
  <c r="G4318" s="1"/>
  <c r="G4319" s="1"/>
  <c r="E272" i="339" s="1"/>
  <c r="G4334" i="16"/>
  <c r="G4335" s="1"/>
  <c r="G4336" s="1"/>
  <c r="E273" i="339" s="1"/>
  <c r="G4234" i="16"/>
  <c r="G4235" s="1"/>
  <c r="G4236" s="1"/>
  <c r="E267" i="339" s="1"/>
  <c r="G4218" i="16"/>
  <c r="G4219" s="1"/>
  <c r="G4220" s="1"/>
  <c r="E266" i="339" s="1"/>
  <c r="G4202" i="16"/>
  <c r="G4186"/>
  <c r="G4187" s="1"/>
  <c r="G4188" s="1"/>
  <c r="E264" i="339" s="1"/>
  <c r="G4168" i="16"/>
  <c r="G4136"/>
  <c r="G4137" s="1"/>
  <c r="G4138" s="1"/>
  <c r="E261" i="339" s="1"/>
  <c r="G4120" i="16"/>
  <c r="G4121" s="1"/>
  <c r="H4122" s="1"/>
  <c r="G3365"/>
  <c r="G3366" s="1"/>
  <c r="G3367" s="1"/>
  <c r="E214" i="339" s="1"/>
  <c r="G4104" i="16"/>
  <c r="G4105" s="1"/>
  <c r="G4106" s="1"/>
  <c r="E259" i="339" s="1"/>
  <c r="G4088" i="16"/>
  <c r="G3991"/>
  <c r="G3992" s="1"/>
  <c r="G3993" s="1"/>
  <c r="E250" i="339" s="1"/>
  <c r="G3860" i="16"/>
  <c r="G3861" s="1"/>
  <c r="G3862" s="1"/>
  <c r="E243" i="339" s="1"/>
  <c r="G3958" i="16"/>
  <c r="G3959" s="1"/>
  <c r="G3960" s="1"/>
  <c r="E249" i="339" s="1"/>
  <c r="G3908" i="16"/>
  <c r="G3909" s="1"/>
  <c r="G3910" s="1"/>
  <c r="E246" i="339" s="1"/>
  <c r="G3892" i="16"/>
  <c r="G3893" s="1"/>
  <c r="G3876"/>
  <c r="G3844"/>
  <c r="G3845" s="1"/>
  <c r="G3846" s="1"/>
  <c r="E242" i="339" s="1"/>
  <c r="G3828" i="16"/>
  <c r="G3829" s="1"/>
  <c r="G3830" s="1"/>
  <c r="E241" i="339" s="1"/>
  <c r="G3812" i="16"/>
  <c r="G3677"/>
  <c r="G3678" s="1"/>
  <c r="G3679" s="1"/>
  <c r="E232" i="339" s="1"/>
  <c r="H3730" i="16"/>
  <c r="H235" i="339" s="1"/>
  <c r="G3796" i="16"/>
  <c r="G3797" s="1"/>
  <c r="G3798" s="1"/>
  <c r="E239" i="339" s="1"/>
  <c r="H3714" i="16"/>
  <c r="H234" i="339" s="1"/>
  <c r="G5009" i="16"/>
  <c r="G3134"/>
  <c r="G3135" s="1"/>
  <c r="G3136" s="1"/>
  <c r="E201" i="339" s="1"/>
  <c r="G3645" i="16"/>
  <c r="G3646" s="1"/>
  <c r="G3647" s="1"/>
  <c r="E230" i="339" s="1"/>
  <c r="G3417" i="16"/>
  <c r="G3418" s="1"/>
  <c r="G3419" s="1"/>
  <c r="E217" i="339" s="1"/>
  <c r="G3693" i="16"/>
  <c r="G3694" s="1"/>
  <c r="G3695" s="1"/>
  <c r="E233" i="339" s="1"/>
  <c r="G3661" i="16"/>
  <c r="G3662" s="1"/>
  <c r="G3663" s="1"/>
  <c r="G3595"/>
  <c r="G3596" s="1"/>
  <c r="G3597" s="1"/>
  <c r="E227" i="339" s="1"/>
  <c r="G3579" i="16"/>
  <c r="G3563"/>
  <c r="G3546"/>
  <c r="G3547" s="1"/>
  <c r="G3548" s="1"/>
  <c r="E224" i="339" s="1"/>
  <c r="G3435" i="16"/>
  <c r="G3436" s="1"/>
  <c r="G3437" s="1"/>
  <c r="E218" i="339" s="1"/>
  <c r="G3529" i="16"/>
  <c r="G3530" s="1"/>
  <c r="G3531" s="1"/>
  <c r="E223" i="339" s="1"/>
  <c r="H223" s="1"/>
  <c r="G3453" i="16"/>
  <c r="G3454" s="1"/>
  <c r="G3455" s="1"/>
  <c r="E219" i="339" s="1"/>
  <c r="G3399" i="16"/>
  <c r="G3400" s="1"/>
  <c r="G3401" s="1"/>
  <c r="E216" i="339" s="1"/>
  <c r="G3381" i="16"/>
  <c r="G3382" s="1"/>
  <c r="G3383" s="1"/>
  <c r="E215" i="339" s="1"/>
  <c r="G3349" i="16"/>
  <c r="G3350" s="1"/>
  <c r="G3351" s="1"/>
  <c r="G3333"/>
  <c r="G3278"/>
  <c r="G3279" s="1"/>
  <c r="G3280" s="1"/>
  <c r="E209" i="339" s="1"/>
  <c r="G3260" i="16"/>
  <c r="G3261" s="1"/>
  <c r="G3262" s="1"/>
  <c r="E208" i="339" s="1"/>
  <c r="G3242" i="16"/>
  <c r="G3224"/>
  <c r="G3225" s="1"/>
  <c r="G3226" s="1"/>
  <c r="E206" i="339" s="1"/>
  <c r="G3188" i="16"/>
  <c r="G3189" s="1"/>
  <c r="G3190" s="1"/>
  <c r="E204" i="339" s="1"/>
  <c r="G3170" i="16"/>
  <c r="G3171" s="1"/>
  <c r="G3172" s="1"/>
  <c r="E203" i="339" s="1"/>
  <c r="G3152" i="16"/>
  <c r="G3153" s="1"/>
  <c r="G3154" s="1"/>
  <c r="E202" i="339" s="1"/>
  <c r="G3116" i="16"/>
  <c r="G3117" s="1"/>
  <c r="G3118" s="1"/>
  <c r="E200" i="339" s="1"/>
  <c r="G3008" i="16"/>
  <c r="G3009" s="1"/>
  <c r="G3010" s="1"/>
  <c r="E194" i="339" s="1"/>
  <c r="G3080" i="16"/>
  <c r="G3081" s="1"/>
  <c r="G3082" s="1"/>
  <c r="E198" i="339" s="1"/>
  <c r="G3062" i="16"/>
  <c r="G3063" s="1"/>
  <c r="G3064" s="1"/>
  <c r="E197" i="339" s="1"/>
  <c r="G3044" i="16"/>
  <c r="G3045" s="1"/>
  <c r="G3046" s="1"/>
  <c r="E196" i="339" s="1"/>
  <c r="G3026" i="16"/>
  <c r="G2689"/>
  <c r="G2690" s="1"/>
  <c r="G2691" s="1"/>
  <c r="E173" i="339" s="1"/>
  <c r="G2990" i="16"/>
  <c r="G2954"/>
  <c r="G2955" s="1"/>
  <c r="G2956" s="1"/>
  <c r="E191" i="339" s="1"/>
  <c r="G2972" i="16"/>
  <c r="G2936"/>
  <c r="G2918"/>
  <c r="G2919" s="1"/>
  <c r="G2920" s="1"/>
  <c r="E189" i="339" s="1"/>
  <c r="G2900" i="16"/>
  <c r="G2901" s="1"/>
  <c r="G2902" s="1"/>
  <c r="E188" i="339" s="1"/>
  <c r="G2882" i="16"/>
  <c r="G2883" s="1"/>
  <c r="G2884" s="1"/>
  <c r="E187" i="339" s="1"/>
  <c r="G2865" i="16"/>
  <c r="G2866" s="1"/>
  <c r="G2867" s="1"/>
  <c r="E186" i="339" s="1"/>
  <c r="G2848" i="16"/>
  <c r="G2849" s="1"/>
  <c r="G2850" s="1"/>
  <c r="E185" i="339" s="1"/>
  <c r="G6668" i="16"/>
  <c r="G2799"/>
  <c r="G2800" s="1"/>
  <c r="G2801" s="1"/>
  <c r="E180" i="339" s="1"/>
  <c r="G2783" i="16"/>
  <c r="G2784" s="1"/>
  <c r="G2785" s="1"/>
  <c r="E179" i="339" s="1"/>
  <c r="G2753" i="16"/>
  <c r="G2754" s="1"/>
  <c r="G2768"/>
  <c r="G2769" s="1"/>
  <c r="G2770" s="1"/>
  <c r="E178" i="339" s="1"/>
  <c r="G2641" i="16"/>
  <c r="G2642" s="1"/>
  <c r="G2643" s="1"/>
  <c r="E170" i="339" s="1"/>
  <c r="G2737" i="16"/>
  <c r="G2738" s="1"/>
  <c r="G2739" s="1"/>
  <c r="E176" i="339" s="1"/>
  <c r="G2561" i="16"/>
  <c r="G2562" s="1"/>
  <c r="G2563" s="1"/>
  <c r="G2673"/>
  <c r="G2674" s="1"/>
  <c r="G2675" s="1"/>
  <c r="E172" i="339" s="1"/>
  <c r="G2705" i="16"/>
  <c r="G2657"/>
  <c r="G2658" s="1"/>
  <c r="G2659" s="1"/>
  <c r="E171" i="339" s="1"/>
  <c r="G2496" i="16"/>
  <c r="G2497" s="1"/>
  <c r="G2498" s="1"/>
  <c r="E159" i="339" s="1"/>
  <c r="G2625" i="16"/>
  <c r="G2626" s="1"/>
  <c r="G2627" s="1"/>
  <c r="E169" i="339" s="1"/>
  <c r="G2609" i="16"/>
  <c r="G2610" s="1"/>
  <c r="G2611" s="1"/>
  <c r="E168" i="339" s="1"/>
  <c r="G2593" i="16"/>
  <c r="G2594" s="1"/>
  <c r="G2595" s="1"/>
  <c r="E167" i="339" s="1"/>
  <c r="G2545" i="16"/>
  <c r="G2546" s="1"/>
  <c r="G2547" s="1"/>
  <c r="E164" i="339" s="1"/>
  <c r="G2529" i="16"/>
  <c r="G2530" s="1"/>
  <c r="G2531" s="1"/>
  <c r="E163" i="339" s="1"/>
  <c r="F7600" i="16" s="1"/>
  <c r="G2513"/>
  <c r="G2480"/>
  <c r="G2481" s="1"/>
  <c r="G2482" s="1"/>
  <c r="E158" i="339" s="1"/>
  <c r="G2393" i="16"/>
  <c r="G2394" s="1"/>
  <c r="G2395" s="1"/>
  <c r="E153" i="339" s="1"/>
  <c r="G2375" i="16"/>
  <c r="G2376" s="1"/>
  <c r="G2377" s="1"/>
  <c r="E152" i="339" s="1"/>
  <c r="G2447" i="16"/>
  <c r="H2448" s="1"/>
  <c r="G2464"/>
  <c r="G2357"/>
  <c r="G2358" s="1"/>
  <c r="G2359" s="1"/>
  <c r="E151" i="339" s="1"/>
  <c r="G2429" i="16"/>
  <c r="G2411"/>
  <c r="G451"/>
  <c r="G452" s="1"/>
  <c r="H453" s="1"/>
  <c r="E34" i="339" s="1"/>
  <c r="H34" s="1"/>
  <c r="G2339" i="16"/>
  <c r="G2271"/>
  <c r="G2272" s="1"/>
  <c r="G2273" s="1"/>
  <c r="E146" i="339" s="1"/>
  <c r="F7599" i="16" s="1"/>
  <c r="F7510"/>
  <c r="G7906"/>
  <c r="F7946"/>
  <c r="F7966" s="1"/>
  <c r="G7966" s="1"/>
  <c r="G7477"/>
  <c r="G2305"/>
  <c r="G2306" s="1"/>
  <c r="G2288"/>
  <c r="G2289" s="1"/>
  <c r="G2290" s="1"/>
  <c r="E147" i="339" s="1"/>
  <c r="G7475" i="16"/>
  <c r="G1885"/>
  <c r="G1886" s="1"/>
  <c r="G1887" s="1"/>
  <c r="E121" i="339" s="1"/>
  <c r="G7461" i="16"/>
  <c r="F7842"/>
  <c r="G7842" s="1"/>
  <c r="F7529"/>
  <c r="G7529" s="1"/>
  <c r="G2254"/>
  <c r="G2255" s="1"/>
  <c r="G2256" s="1"/>
  <c r="E145" i="339" s="1"/>
  <c r="F7905" i="16"/>
  <c r="F7925" s="1"/>
  <c r="G7888"/>
  <c r="F7507"/>
  <c r="G1285"/>
  <c r="G1286" s="1"/>
  <c r="G1287" s="1"/>
  <c r="E85" i="339" s="1"/>
  <c r="G80" i="16"/>
  <c r="G81" s="1"/>
  <c r="H82" s="1"/>
  <c r="G199"/>
  <c r="G200" s="1"/>
  <c r="G201" s="1"/>
  <c r="E13" i="339" s="1"/>
  <c r="G1935" i="16"/>
  <c r="G1936" s="1"/>
  <c r="G1937" s="1"/>
  <c r="E124" i="339" s="1"/>
  <c r="G2032" i="16"/>
  <c r="G2033" s="1"/>
  <c r="H2034" s="1"/>
  <c r="G1773"/>
  <c r="G2219"/>
  <c r="G2220" s="1"/>
  <c r="G2221" s="1"/>
  <c r="E143" i="339" s="1"/>
  <c r="G2236" i="16"/>
  <c r="G2237" s="1"/>
  <c r="G2238" s="1"/>
  <c r="E144" i="339" s="1"/>
  <c r="G2185" i="16"/>
  <c r="G2186" s="1"/>
  <c r="G2187" s="1"/>
  <c r="E141" i="339" s="1"/>
  <c r="G214" i="16"/>
  <c r="G215" s="1"/>
  <c r="H216" s="1"/>
  <c r="E14" i="339" s="1"/>
  <c r="H14" s="1"/>
  <c r="G2202" i="16"/>
  <c r="G2203" s="1"/>
  <c r="G2204" s="1"/>
  <c r="E142" i="339" s="1"/>
  <c r="G2116" i="16"/>
  <c r="G2099"/>
  <c r="G2100" s="1"/>
  <c r="G2101" s="1"/>
  <c r="E134" i="339" s="1"/>
  <c r="G2082" i="16"/>
  <c r="G2066"/>
  <c r="G2049"/>
  <c r="G2050" s="1"/>
  <c r="G2051" s="1"/>
  <c r="E131" i="339" s="1"/>
  <c r="G1982" i="16"/>
  <c r="G1983" s="1"/>
  <c r="G1984" s="1"/>
  <c r="E127" i="339" s="1"/>
  <c r="G1967" i="16"/>
  <c r="G1952"/>
  <c r="G1919"/>
  <c r="G1920" s="1"/>
  <c r="G1921" s="1"/>
  <c r="E123" i="339" s="1"/>
  <c r="G1902" i="16"/>
  <c r="G1903" s="1"/>
  <c r="G1868"/>
  <c r="G1869" s="1"/>
  <c r="G1836"/>
  <c r="G1837" s="1"/>
  <c r="G1838" s="1"/>
  <c r="E118" i="339" s="1"/>
  <c r="G1821" i="16"/>
  <c r="G1822" s="1"/>
  <c r="G1823" s="1"/>
  <c r="E117" i="339" s="1"/>
  <c r="G1806" i="16"/>
  <c r="G1752"/>
  <c r="G1735"/>
  <c r="G1736" s="1"/>
  <c r="G1719"/>
  <c r="G1704"/>
  <c r="G1705" s="1"/>
  <c r="G1706" s="1"/>
  <c r="E110" i="339" s="1"/>
  <c r="G1688" i="16"/>
  <c r="G1674"/>
  <c r="G1657"/>
  <c r="G1645"/>
  <c r="H1646" s="1"/>
  <c r="G1633"/>
  <c r="G1634" s="1"/>
  <c r="E104" i="339" s="1"/>
  <c r="F7927" i="16"/>
  <c r="G7927" s="1"/>
  <c r="G1396"/>
  <c r="G1397" s="1"/>
  <c r="G1398" s="1"/>
  <c r="E91" i="339" s="1"/>
  <c r="G1620" i="16"/>
  <c r="G1621" s="1"/>
  <c r="E103" i="339" s="1"/>
  <c r="F7839" i="16"/>
  <c r="G7839" s="1"/>
  <c r="G1601"/>
  <c r="H1602" s="1"/>
  <c r="H1583"/>
  <c r="G1583"/>
  <c r="E101" i="339" s="1"/>
  <c r="G1480" i="16"/>
  <c r="G1220"/>
  <c r="G1221" s="1"/>
  <c r="G1222" s="1"/>
  <c r="E81" i="339" s="1"/>
  <c r="G1465" i="16"/>
  <c r="G1450"/>
  <c r="G1436"/>
  <c r="G1437" s="1"/>
  <c r="E94" i="339" s="1"/>
  <c r="H302" i="16"/>
  <c r="F6778"/>
  <c r="F6797" s="1"/>
  <c r="F6816" s="1"/>
  <c r="G6816" s="1"/>
  <c r="G6718"/>
  <c r="G6740"/>
  <c r="G1423"/>
  <c r="H1424" s="1"/>
  <c r="G1409"/>
  <c r="G1377"/>
  <c r="G1378" s="1"/>
  <c r="H1379" s="1"/>
  <c r="G1243"/>
  <c r="G1244" s="1"/>
  <c r="G512"/>
  <c r="G513" s="1"/>
  <c r="H514" s="1"/>
  <c r="G1339"/>
  <c r="G1266"/>
  <c r="G6738"/>
  <c r="G7444"/>
  <c r="G1002"/>
  <c r="G967"/>
  <c r="G6719"/>
  <c r="G949"/>
  <c r="G950" s="1"/>
  <c r="G932"/>
  <c r="G933" s="1"/>
  <c r="H5465"/>
  <c r="H347" i="339" s="1"/>
  <c r="F7505" i="16"/>
  <c r="G915"/>
  <c r="G916" s="1"/>
  <c r="G899"/>
  <c r="G884"/>
  <c r="G870"/>
  <c r="G871" s="1"/>
  <c r="G854"/>
  <c r="G764"/>
  <c r="H5266"/>
  <c r="H334" i="339" s="1"/>
  <c r="G21" i="16"/>
  <c r="G22" s="1"/>
  <c r="G710"/>
  <c r="H2579"/>
  <c r="G692"/>
  <c r="G672"/>
  <c r="G654"/>
  <c r="G636"/>
  <c r="H5450"/>
  <c r="H346" i="339" s="1"/>
  <c r="G617" i="16"/>
  <c r="G563"/>
  <c r="G564" s="1"/>
  <c r="G565" s="1"/>
  <c r="E43" i="339" s="1"/>
  <c r="G599" i="16"/>
  <c r="G7497"/>
  <c r="F7944"/>
  <c r="G7944" s="1"/>
  <c r="G579"/>
  <c r="G7474"/>
  <c r="G7463"/>
  <c r="G546"/>
  <c r="G529"/>
  <c r="G229"/>
  <c r="G230" s="1"/>
  <c r="G231" s="1"/>
  <c r="E15" i="339" s="1"/>
  <c r="G495" i="16"/>
  <c r="H185"/>
  <c r="H12" i="339" s="1"/>
  <c r="H5191" i="16"/>
  <c r="G465"/>
  <c r="H466" s="1"/>
  <c r="G2721"/>
  <c r="G63"/>
  <c r="G64" s="1"/>
  <c r="G65" s="1"/>
  <c r="E6" i="339" s="1"/>
  <c r="H362" i="16"/>
  <c r="H27" i="339" s="1"/>
  <c r="G434" i="16"/>
  <c r="G1562"/>
  <c r="G421"/>
  <c r="G408"/>
  <c r="G127"/>
  <c r="G128" s="1"/>
  <c r="H314"/>
  <c r="H23" i="339" s="1"/>
  <c r="H326" i="16"/>
  <c r="H24" i="339" s="1"/>
  <c r="H350" i="16"/>
  <c r="H26" i="339" s="1"/>
  <c r="G396" i="16"/>
  <c r="G7466"/>
  <c r="H374"/>
  <c r="H28" i="339" s="1"/>
  <c r="G384" i="16"/>
  <c r="G43"/>
  <c r="G44" s="1"/>
  <c r="G45" s="1"/>
  <c r="E5" i="339" s="1"/>
  <c r="G1539" i="16"/>
  <c r="G336"/>
  <c r="G108"/>
  <c r="G109" s="1"/>
  <c r="G110" s="1"/>
  <c r="G111" s="1"/>
  <c r="E8" i="339" s="1"/>
  <c r="G5004" i="16"/>
  <c r="G287"/>
  <c r="G268"/>
  <c r="G254"/>
  <c r="H255" s="1"/>
  <c r="G6737"/>
  <c r="G241"/>
  <c r="G1501"/>
  <c r="G4987"/>
  <c r="F7530"/>
  <c r="G7530" s="1"/>
  <c r="G7496"/>
  <c r="F6776"/>
  <c r="G6757"/>
  <c r="H1853"/>
  <c r="G7536"/>
  <c r="G7502"/>
  <c r="G7508"/>
  <c r="G7542"/>
  <c r="F6775"/>
  <c r="G6756"/>
  <c r="G6763"/>
  <c r="G6764" s="1"/>
  <c r="G7537"/>
  <c r="G7503"/>
  <c r="H6393"/>
  <c r="F8078"/>
  <c r="G8078" s="1"/>
  <c r="G8079" s="1"/>
  <c r="G8057"/>
  <c r="G8058" s="1"/>
  <c r="H6457"/>
  <c r="G18" i="343"/>
  <c r="G203"/>
  <c r="H541" i="339"/>
  <c r="H542"/>
  <c r="E291" l="1"/>
  <c r="E296"/>
  <c r="E231"/>
  <c r="E293"/>
  <c r="E343"/>
  <c r="E165"/>
  <c r="F7624" i="16"/>
  <c r="F7691"/>
  <c r="F7649"/>
  <c r="F7692"/>
  <c r="F7625"/>
  <c r="F7650"/>
  <c r="E389" i="339"/>
  <c r="H389" s="1"/>
  <c r="H101"/>
  <c r="E213"/>
  <c r="H213" s="1"/>
  <c r="E501"/>
  <c r="H501" s="1"/>
  <c r="E514"/>
  <c r="H514" s="1"/>
  <c r="E62"/>
  <c r="H62" s="1"/>
  <c r="E277"/>
  <c r="H277" s="1"/>
  <c r="E333"/>
  <c r="H333" s="1"/>
  <c r="E425"/>
  <c r="H425" s="1"/>
  <c r="E426"/>
  <c r="H426" s="1"/>
  <c r="E515"/>
  <c r="H515" s="1"/>
  <c r="E523"/>
  <c r="H523" s="1"/>
  <c r="F7646" i="16"/>
  <c r="G7646" s="1"/>
  <c r="G7647" s="1"/>
  <c r="F7621"/>
  <c r="G7621" s="1"/>
  <c r="G7622" s="1"/>
  <c r="F7539"/>
  <c r="G7539" s="1"/>
  <c r="G7507"/>
  <c r="F7541"/>
  <c r="G7541" s="1"/>
  <c r="G7510"/>
  <c r="F7544"/>
  <c r="G7544" s="1"/>
  <c r="G1774"/>
  <c r="G1775" s="1"/>
  <c r="F1789"/>
  <c r="F1996" s="1"/>
  <c r="H223" i="343"/>
  <c r="G223" s="1"/>
  <c r="F797" i="16"/>
  <c r="F815" s="1"/>
  <c r="H6185"/>
  <c r="H394" i="339" s="1"/>
  <c r="H4548" i="16"/>
  <c r="H288" i="339" s="1"/>
  <c r="H5547" i="16"/>
  <c r="H354" i="339" s="1"/>
  <c r="G8570" i="16"/>
  <c r="G8571" s="1"/>
  <c r="G8522"/>
  <c r="G8523" s="1"/>
  <c r="G8387"/>
  <c r="G8388" s="1"/>
  <c r="H4600"/>
  <c r="H5030"/>
  <c r="H317" i="339" s="1"/>
  <c r="G7843" i="16"/>
  <c r="G7844" s="1"/>
  <c r="H6642"/>
  <c r="H422" i="339" s="1"/>
  <c r="H6489" i="16"/>
  <c r="H413" i="339" s="1"/>
  <c r="H5946" i="16"/>
  <c r="H380" i="339" s="1"/>
  <c r="H5807" i="16"/>
  <c r="H370" i="339" s="1"/>
  <c r="G6674" i="16"/>
  <c r="G6675" s="1"/>
  <c r="G6676" s="1"/>
  <c r="E424" i="339" s="1"/>
  <c r="H6608" i="16"/>
  <c r="H420" i="339" s="1"/>
  <c r="G6658" i="16"/>
  <c r="H6659" s="1"/>
  <c r="E423" i="339" s="1"/>
  <c r="H423" s="1"/>
  <c r="H6625" i="16"/>
  <c r="H421" i="339" s="1"/>
  <c r="H6591" i="16"/>
  <c r="H419" i="339" s="1"/>
  <c r="H6574" i="16"/>
  <c r="H418" i="339" s="1"/>
  <c r="H6540" i="16"/>
  <c r="H416" i="339" s="1"/>
  <c r="H6506" i="16"/>
  <c r="H414" i="339" s="1"/>
  <c r="G6556" i="16"/>
  <c r="H6557" s="1"/>
  <c r="G6522"/>
  <c r="G6523" s="1"/>
  <c r="E415" i="339" s="1"/>
  <c r="H6473" i="16"/>
  <c r="H412" i="339" s="1"/>
  <c r="H6425" i="16"/>
  <c r="H409" i="339" s="1"/>
  <c r="H6409" i="16"/>
  <c r="H408" i="339" s="1"/>
  <c r="G6440" i="16"/>
  <c r="G6441" s="1"/>
  <c r="E410" i="339" s="1"/>
  <c r="G6376" i="16"/>
  <c r="H6377" s="1"/>
  <c r="G6360"/>
  <c r="H6361" s="1"/>
  <c r="H6345"/>
  <c r="H404" i="339" s="1"/>
  <c r="H6265" i="16"/>
  <c r="H399" i="339" s="1"/>
  <c r="H6313" i="16"/>
  <c r="H402" i="339" s="1"/>
  <c r="H6329" i="16"/>
  <c r="H403" i="339" s="1"/>
  <c r="H6297" i="16"/>
  <c r="H401" i="339" s="1"/>
  <c r="G6280" i="16"/>
  <c r="G6281" s="1"/>
  <c r="E400" i="339" s="1"/>
  <c r="G6200" i="16"/>
  <c r="H6201" s="1"/>
  <c r="H6136"/>
  <c r="H391" i="339" s="1"/>
  <c r="H6154" i="16"/>
  <c r="H392" i="339" s="1"/>
  <c r="G6168" i="16"/>
  <c r="G6169" s="1"/>
  <c r="E393" i="339" s="1"/>
  <c r="H6085" i="16"/>
  <c r="H388" i="339" s="1"/>
  <c r="H6050" i="16"/>
  <c r="H386" i="339" s="1"/>
  <c r="H6066" i="16"/>
  <c r="H387" i="339" s="1"/>
  <c r="G6034" i="16"/>
  <c r="E385" i="339" s="1"/>
  <c r="H6034" i="16"/>
  <c r="H6016"/>
  <c r="H384" i="339" s="1"/>
  <c r="G5998" i="16"/>
  <c r="E383" i="339" s="1"/>
  <c r="H5998" i="16"/>
  <c r="H5913"/>
  <c r="H378" i="339" s="1"/>
  <c r="H5963" i="16"/>
  <c r="H381" i="339" s="1"/>
  <c r="H5609" i="16"/>
  <c r="H358" i="339" s="1"/>
  <c r="H5980" i="16"/>
  <c r="H382" i="339" s="1"/>
  <c r="H5880" i="16"/>
  <c r="H374" i="339" s="1"/>
  <c r="H5929" i="16"/>
  <c r="H379" i="339" s="1"/>
  <c r="H5844" i="16"/>
  <c r="H372" i="339" s="1"/>
  <c r="H5861" i="16"/>
  <c r="H373" i="339" s="1"/>
  <c r="G5895" i="16"/>
  <c r="G5896" s="1"/>
  <c r="E375" i="339" s="1"/>
  <c r="H375" s="1"/>
  <c r="H5708" i="16"/>
  <c r="H364" i="339" s="1"/>
  <c r="H5773" i="16"/>
  <c r="H368" i="339" s="1"/>
  <c r="H5790" i="16"/>
  <c r="H369" i="339" s="1"/>
  <c r="G5824" i="16"/>
  <c r="H5825" s="1"/>
  <c r="H5756"/>
  <c r="H367" i="339" s="1"/>
  <c r="H5691" i="16"/>
  <c r="H363" i="339" s="1"/>
  <c r="H5739" i="16"/>
  <c r="H366" i="339" s="1"/>
  <c r="H5724" i="16"/>
  <c r="H365" i="339" s="1"/>
  <c r="H5660" i="16"/>
  <c r="H361" i="339" s="1"/>
  <c r="H4866" i="16"/>
  <c r="H307" i="339" s="1"/>
  <c r="H5626" i="16"/>
  <c r="H359" i="339" s="1"/>
  <c r="G5579" i="16"/>
  <c r="E356" i="339" s="1"/>
  <c r="H5579" i="16"/>
  <c r="H5592"/>
  <c r="H357" i="339" s="1"/>
  <c r="G5561" i="16"/>
  <c r="G5562" s="1"/>
  <c r="E355" i="339" s="1"/>
  <c r="H5505" i="16"/>
  <c r="H352" i="339" s="1"/>
  <c r="G5525" i="16"/>
  <c r="H5526" s="1"/>
  <c r="H5492"/>
  <c r="H351" i="339" s="1"/>
  <c r="H5419" i="16"/>
  <c r="H344" i="339" s="1"/>
  <c r="H5479" i="16"/>
  <c r="H350" i="339" s="1"/>
  <c r="G5434" i="16"/>
  <c r="H5435" s="1"/>
  <c r="H5387"/>
  <c r="H342" i="339" s="1"/>
  <c r="H4946" i="16"/>
  <c r="H312" i="339" s="1"/>
  <c r="H5403" i="16"/>
  <c r="H5048"/>
  <c r="H318" i="339" s="1"/>
  <c r="G5371" i="16"/>
  <c r="E341" i="339" s="1"/>
  <c r="H341" s="1"/>
  <c r="H5341" i="16"/>
  <c r="H339" i="339" s="1"/>
  <c r="H5356" i="16"/>
  <c r="H340" i="339" s="1"/>
  <c r="G5326" i="16"/>
  <c r="E338" i="339" s="1"/>
  <c r="H338" s="1"/>
  <c r="G5310" i="16"/>
  <c r="G5311" s="1"/>
  <c r="E337" i="339" s="1"/>
  <c r="H5296" i="16"/>
  <c r="H336" i="339" s="1"/>
  <c r="H5281" i="16"/>
  <c r="H335" i="339" s="1"/>
  <c r="H5206" i="16"/>
  <c r="H330" i="339" s="1"/>
  <c r="H5176" i="16"/>
  <c r="H328" i="339" s="1"/>
  <c r="H5161" i="16"/>
  <c r="H327" i="339" s="1"/>
  <c r="G5145" i="16"/>
  <c r="G5146" s="1"/>
  <c r="E326" i="339" s="1"/>
  <c r="G5130" i="16"/>
  <c r="G5131" s="1"/>
  <c r="E325" i="339" s="1"/>
  <c r="H5115" i="16"/>
  <c r="H322" i="339" s="1"/>
  <c r="H5099" i="16"/>
  <c r="H321" i="339" s="1"/>
  <c r="H5081" i="16"/>
  <c r="H320" i="339" s="1"/>
  <c r="H4930" i="16"/>
  <c r="H311" i="339" s="1"/>
  <c r="G5064" i="16"/>
  <c r="H5065" s="1"/>
  <c r="G5010"/>
  <c r="G5011" s="1"/>
  <c r="G5012" s="1"/>
  <c r="E316" i="339" s="1"/>
  <c r="H4914" i="16"/>
  <c r="G4993"/>
  <c r="G4994" s="1"/>
  <c r="G4995" s="1"/>
  <c r="E315" i="339" s="1"/>
  <c r="H4962" i="16"/>
  <c r="G4977"/>
  <c r="H4978" s="1"/>
  <c r="H313" i="339"/>
  <c r="H4882" i="16"/>
  <c r="H308" i="339" s="1"/>
  <c r="H310"/>
  <c r="H4566" i="16"/>
  <c r="H289" i="339" s="1"/>
  <c r="G4897" i="16"/>
  <c r="H4898" s="1"/>
  <c r="H4802"/>
  <c r="H303" i="339" s="1"/>
  <c r="H4850" i="16"/>
  <c r="H306" i="339" s="1"/>
  <c r="G4834" i="16"/>
  <c r="E305" i="339" s="1"/>
  <c r="H4834" i="16"/>
  <c r="G4817"/>
  <c r="H4818" s="1"/>
  <c r="H4770"/>
  <c r="H301" i="339" s="1"/>
  <c r="H4687" i="16"/>
  <c r="H296" i="339" s="1"/>
  <c r="H4754" i="16"/>
  <c r="H300" i="339" s="1"/>
  <c r="H4704" i="16"/>
  <c r="H297" i="339" s="1"/>
  <c r="H4721" i="16"/>
  <c r="H298" i="339" s="1"/>
  <c r="H4670" i="16"/>
  <c r="H295" i="339" s="1"/>
  <c r="H4636" i="16"/>
  <c r="H293" i="339" s="1"/>
  <c r="H4582" i="16"/>
  <c r="H290" i="339" s="1"/>
  <c r="G4652" i="16"/>
  <c r="H4653" s="1"/>
  <c r="H4514"/>
  <c r="H286" i="339" s="1"/>
  <c r="H4619" i="16"/>
  <c r="H292" i="339" s="1"/>
  <c r="H4530" i="16"/>
  <c r="H287" i="339" s="1"/>
  <c r="H4498" i="16"/>
  <c r="H285" i="339" s="1"/>
  <c r="H4252" i="16"/>
  <c r="H268" i="339" s="1"/>
  <c r="G4481" i="16"/>
  <c r="H4482" s="1"/>
  <c r="G4465"/>
  <c r="G4466" s="1"/>
  <c r="E283" i="339" s="1"/>
  <c r="G4449" i="16"/>
  <c r="H4450" s="1"/>
  <c r="G4432"/>
  <c r="H4433" s="1"/>
  <c r="I4433" s="1"/>
  <c r="G4414"/>
  <c r="G4415" s="1"/>
  <c r="E278" i="339" s="1"/>
  <c r="H4154" i="16"/>
  <c r="H262" i="339" s="1"/>
  <c r="G4383" i="16"/>
  <c r="G4384" s="1"/>
  <c r="G4368"/>
  <c r="E275" i="339" s="1"/>
  <c r="H275" s="1"/>
  <c r="H4319" i="16"/>
  <c r="H272" i="339" s="1"/>
  <c r="H4352" i="16"/>
  <c r="H274" i="339" s="1"/>
  <c r="H4287" i="16"/>
  <c r="H270" i="339" s="1"/>
  <c r="H4336" i="16"/>
  <c r="H273" i="339" s="1"/>
  <c r="H4303" i="16"/>
  <c r="H271" i="339" s="1"/>
  <c r="H4220" i="16"/>
  <c r="H266" i="339" s="1"/>
  <c r="H4188" i="16"/>
  <c r="H264" i="339" s="1"/>
  <c r="G4203" i="16"/>
  <c r="G4204" s="1"/>
  <c r="E265" i="339" s="1"/>
  <c r="H3960" i="16"/>
  <c r="H249" i="339" s="1"/>
  <c r="H4138" i="16"/>
  <c r="H261" i="339" s="1"/>
  <c r="G4169" i="16"/>
  <c r="H4170" s="1"/>
  <c r="H3367"/>
  <c r="H214" i="339" s="1"/>
  <c r="H3513" i="16"/>
  <c r="H222" i="339" s="1"/>
  <c r="H3862" i="16"/>
  <c r="H243" i="339" s="1"/>
  <c r="G4122" i="16"/>
  <c r="E260" i="339" s="1"/>
  <c r="H4106" i="16"/>
  <c r="H259" i="339" s="1"/>
  <c r="H3830" i="16"/>
  <c r="H241" i="339" s="1"/>
  <c r="G4089" i="16"/>
  <c r="H4090" s="1"/>
  <c r="H3910"/>
  <c r="H246" i="339" s="1"/>
  <c r="H3846" i="16"/>
  <c r="H242" i="339" s="1"/>
  <c r="G3894" i="16"/>
  <c r="H3894"/>
  <c r="G3877"/>
  <c r="H3878" s="1"/>
  <c r="H3679"/>
  <c r="H232" i="339" s="1"/>
  <c r="G3813" i="16"/>
  <c r="H3814" s="1"/>
  <c r="H3798"/>
  <c r="H239" i="339" s="1"/>
  <c r="H3695" i="16"/>
  <c r="H233" i="339" s="1"/>
  <c r="H3136" i="16"/>
  <c r="H201" i="339" s="1"/>
  <c r="H2498" i="16"/>
  <c r="H159" i="339" s="1"/>
  <c r="H3419" i="16"/>
  <c r="H217" i="339" s="1"/>
  <c r="H3647" i="16"/>
  <c r="H230" i="339" s="1"/>
  <c r="H3597" i="16"/>
  <c r="H227" i="339" s="1"/>
  <c r="G3630" i="16"/>
  <c r="H3631" s="1"/>
  <c r="H3548"/>
  <c r="H224" i="339" s="1"/>
  <c r="G3580" i="16"/>
  <c r="H3581" s="1"/>
  <c r="G3564"/>
  <c r="H3565" s="1"/>
  <c r="I3531"/>
  <c r="H3437"/>
  <c r="H218" i="339" s="1"/>
  <c r="H3401" i="16"/>
  <c r="H216" i="339" s="1"/>
  <c r="H3455" i="16"/>
  <c r="H3383"/>
  <c r="H215" i="339" s="1"/>
  <c r="H3172" i="16"/>
  <c r="H203" i="339" s="1"/>
  <c r="H3319" i="16"/>
  <c r="H211" i="339" s="1"/>
  <c r="G3334" i="16"/>
  <c r="H3335" s="1"/>
  <c r="H3262"/>
  <c r="H3280"/>
  <c r="G3243"/>
  <c r="G3244" s="1"/>
  <c r="E207" i="339" s="1"/>
  <c r="H3190" i="16"/>
  <c r="H204" i="339" s="1"/>
  <c r="H3010" i="16"/>
  <c r="H194" i="339" s="1"/>
  <c r="H3064" i="16"/>
  <c r="H197" i="339" s="1"/>
  <c r="H3154" i="16"/>
  <c r="H202" i="339" s="1"/>
  <c r="H3118" i="16"/>
  <c r="H200" i="339" s="1"/>
  <c r="H3082" i="16"/>
  <c r="H198" i="339" s="1"/>
  <c r="H2691" i="16"/>
  <c r="H173" i="339" s="1"/>
  <c r="H3046" i="16"/>
  <c r="H196" i="339" s="1"/>
  <c r="G3027" i="16"/>
  <c r="H3028" s="1"/>
  <c r="H2956"/>
  <c r="H191" i="339" s="1"/>
  <c r="G2991" i="16"/>
  <c r="H2992" s="1"/>
  <c r="H2902"/>
  <c r="H188" i="339" s="1"/>
  <c r="G2973" i="16"/>
  <c r="H2974" s="1"/>
  <c r="H2920"/>
  <c r="H189" i="339" s="1"/>
  <c r="G2937" i="16"/>
  <c r="H2938" s="1"/>
  <c r="H2867"/>
  <c r="H186" i="339" s="1"/>
  <c r="H2884" i="16"/>
  <c r="H187" i="339" s="1"/>
  <c r="H2801" i="16"/>
  <c r="H180" i="339" s="1"/>
  <c r="H2675" i="16"/>
  <c r="H172" i="339" s="1"/>
  <c r="H2785" i="16"/>
  <c r="H179" i="339" s="1"/>
  <c r="G2755" i="16"/>
  <c r="E177" i="339" s="1"/>
  <c r="H2755" i="16"/>
  <c r="H2770"/>
  <c r="H178" i="339" s="1"/>
  <c r="H2659" i="16"/>
  <c r="H171" i="339" s="1"/>
  <c r="H2643" i="16"/>
  <c r="H170" i="339" s="1"/>
  <c r="H2739" i="16"/>
  <c r="H176" i="339" s="1"/>
  <c r="G2722" i="16"/>
  <c r="G2723" s="1"/>
  <c r="E175" i="339" s="1"/>
  <c r="G2706" i="16"/>
  <c r="H2707" s="1"/>
  <c r="H2627"/>
  <c r="H169" i="339" s="1"/>
  <c r="H2482" i="16"/>
  <c r="H158" i="339" s="1"/>
  <c r="H2547" i="16"/>
  <c r="H164" i="339" s="1"/>
  <c r="H2531" i="16"/>
  <c r="H2611"/>
  <c r="H168" i="339" s="1"/>
  <c r="H2595" i="16"/>
  <c r="H167" i="339" s="1"/>
  <c r="H2563" i="16"/>
  <c r="H260" i="339"/>
  <c r="H2395" i="16"/>
  <c r="H153" i="339" s="1"/>
  <c r="G2514" i="16"/>
  <c r="H2515" s="1"/>
  <c r="G2465"/>
  <c r="H2466" s="1"/>
  <c r="G2448"/>
  <c r="G2449" s="1"/>
  <c r="E156" i="339" s="1"/>
  <c r="H2377" i="16"/>
  <c r="H152" i="339" s="1"/>
  <c r="H2359" i="16"/>
  <c r="H151" i="339" s="1"/>
  <c r="G2430" i="16"/>
  <c r="H2431" s="1"/>
  <c r="G2412"/>
  <c r="H2413" s="1"/>
  <c r="H4786"/>
  <c r="H302" i="339" s="1"/>
  <c r="H5676" i="16"/>
  <c r="H362" i="339" s="1"/>
  <c r="G2340" i="16"/>
  <c r="H2341" s="1"/>
  <c r="G2307"/>
  <c r="H2307"/>
  <c r="G2323"/>
  <c r="H2324" s="1"/>
  <c r="G7946"/>
  <c r="H2273"/>
  <c r="H146" i="339" s="1"/>
  <c r="H2290" i="16"/>
  <c r="H147" i="339" s="1"/>
  <c r="G7905" i="16"/>
  <c r="G7908" s="1"/>
  <c r="H2256"/>
  <c r="H145" i="339" s="1"/>
  <c r="H2238" i="16"/>
  <c r="H144" i="339" s="1"/>
  <c r="H1937" i="16"/>
  <c r="H124" i="339" s="1"/>
  <c r="G216" i="16"/>
  <c r="H2221"/>
  <c r="H143" i="339" s="1"/>
  <c r="H2187" i="16"/>
  <c r="H2204"/>
  <c r="H142" i="339" s="1"/>
  <c r="H1437" i="16"/>
  <c r="H94" i="339" s="1"/>
  <c r="H2167" i="16"/>
  <c r="H137" i="339" s="1"/>
  <c r="G2117" i="16"/>
  <c r="H2118" s="1"/>
  <c r="H2101"/>
  <c r="H134" i="339" s="1"/>
  <c r="H2051" i="16"/>
  <c r="H131" i="339" s="1"/>
  <c r="G2083" i="16"/>
  <c r="H2084" s="1"/>
  <c r="G2067"/>
  <c r="H2068" s="1"/>
  <c r="G2034"/>
  <c r="E130" i="339" s="1"/>
  <c r="H130" s="1"/>
  <c r="H1984" i="16"/>
  <c r="H127" i="339" s="1"/>
  <c r="G1968" i="16"/>
  <c r="G1969" s="1"/>
  <c r="E126" i="339" s="1"/>
  <c r="G1953" i="16"/>
  <c r="H1954" s="1"/>
  <c r="H1921"/>
  <c r="H123" i="339" s="1"/>
  <c r="G1870" i="16"/>
  <c r="E120" i="339" s="1"/>
  <c r="H1870" i="16"/>
  <c r="G1904"/>
  <c r="E122" i="339" s="1"/>
  <c r="H1904" i="16"/>
  <c r="H1887"/>
  <c r="H121" i="339" s="1"/>
  <c r="H1838" i="16"/>
  <c r="H118" i="339" s="1"/>
  <c r="H1823" i="16"/>
  <c r="H117" i="339" s="1"/>
  <c r="G1807" i="16"/>
  <c r="G1808" s="1"/>
  <c r="E116" i="339" s="1"/>
  <c r="G1737" i="16"/>
  <c r="H1737"/>
  <c r="G1753"/>
  <c r="G1754" s="1"/>
  <c r="E113" i="339" s="1"/>
  <c r="G1720" i="16"/>
  <c r="H1721" s="1"/>
  <c r="H1706"/>
  <c r="G1689"/>
  <c r="G1690" s="1"/>
  <c r="E108" i="339" s="1"/>
  <c r="G1675" i="16"/>
  <c r="H1676" s="1"/>
  <c r="G1658"/>
  <c r="H1659" s="1"/>
  <c r="H1621"/>
  <c r="H103" i="339" s="1"/>
  <c r="F7947" i="16"/>
  <c r="F7967" s="1"/>
  <c r="G7967" s="1"/>
  <c r="G1646"/>
  <c r="E105" i="339" s="1"/>
  <c r="H105" s="1"/>
  <c r="H1634" i="16"/>
  <c r="H104" i="339" s="1"/>
  <c r="G7505" i="16"/>
  <c r="G1602"/>
  <c r="E102" i="339" s="1"/>
  <c r="H102" s="1"/>
  <c r="G1563" i="16"/>
  <c r="H1564" s="1"/>
  <c r="G1540"/>
  <c r="H1541" s="1"/>
  <c r="G1502"/>
  <c r="H1503" s="1"/>
  <c r="G6722"/>
  <c r="H1205"/>
  <c r="H80" i="339" s="1"/>
  <c r="G1481" i="16"/>
  <c r="G1482" s="1"/>
  <c r="E97" i="339" s="1"/>
  <c r="H1398" i="16"/>
  <c r="H91" i="339" s="1"/>
  <c r="G1323" i="16"/>
  <c r="E87" i="339" s="1"/>
  <c r="H1323" i="16"/>
  <c r="G1466"/>
  <c r="G1467" s="1"/>
  <c r="E96" i="339" s="1"/>
  <c r="G1451" i="16"/>
  <c r="G1452" s="1"/>
  <c r="E95" i="339" s="1"/>
  <c r="H166"/>
  <c r="G6797" i="16"/>
  <c r="G1424"/>
  <c r="E93" i="339" s="1"/>
  <c r="H93" s="1"/>
  <c r="G6741" i="16"/>
  <c r="F6835"/>
  <c r="F6854" s="1"/>
  <c r="G6778"/>
  <c r="G23"/>
  <c r="E4" i="339" s="1"/>
  <c r="G1410" i="16"/>
  <c r="H1411" s="1"/>
  <c r="H3663"/>
  <c r="G1245"/>
  <c r="E82" i="339" s="1"/>
  <c r="H1245" i="16"/>
  <c r="G1379"/>
  <c r="E90" i="339" s="1"/>
  <c r="H90" s="1"/>
  <c r="H2850" i="16"/>
  <c r="H185" i="339" s="1"/>
  <c r="G1340" i="16"/>
  <c r="H1341" s="1"/>
  <c r="H1287"/>
  <c r="H85" i="339" s="1"/>
  <c r="G1304" i="16"/>
  <c r="H1305" s="1"/>
  <c r="H1222"/>
  <c r="H81" i="339" s="1"/>
  <c r="H250"/>
  <c r="G1267" i="16"/>
  <c r="H1268" s="1"/>
  <c r="H4236"/>
  <c r="H267" i="339" s="1"/>
  <c r="G1042" i="16"/>
  <c r="E72" i="339" s="1"/>
  <c r="H1042" i="16"/>
  <c r="G1184"/>
  <c r="H1185" s="1"/>
  <c r="F6114" s="1"/>
  <c r="G6114" s="1"/>
  <c r="G1123"/>
  <c r="H1124" s="1"/>
  <c r="G934"/>
  <c r="G935" s="1"/>
  <c r="E66" i="339" s="1"/>
  <c r="G1082" i="16"/>
  <c r="H1083" s="1"/>
  <c r="G1003"/>
  <c r="H1004" s="1"/>
  <c r="G968"/>
  <c r="G969" s="1"/>
  <c r="E68" i="339" s="1"/>
  <c r="G951" i="16"/>
  <c r="G917"/>
  <c r="G900"/>
  <c r="G901" s="1"/>
  <c r="E64" i="339" s="1"/>
  <c r="H23" i="16"/>
  <c r="G885"/>
  <c r="G886" s="1"/>
  <c r="E63" i="339" s="1"/>
  <c r="G855" i="16"/>
  <c r="G856" s="1"/>
  <c r="E61" i="339" s="1"/>
  <c r="H3226" i="16"/>
  <c r="G782"/>
  <c r="G765"/>
  <c r="G766" s="1"/>
  <c r="E56" i="339" s="1"/>
  <c r="G7478" i="16"/>
  <c r="G747"/>
  <c r="H748" s="1"/>
  <c r="G729"/>
  <c r="H730" s="1"/>
  <c r="G711"/>
  <c r="H712" s="1"/>
  <c r="G693"/>
  <c r="H694" s="1"/>
  <c r="G673"/>
  <c r="H674" s="1"/>
  <c r="G655"/>
  <c r="H656" s="1"/>
  <c r="F7964"/>
  <c r="G7964" s="1"/>
  <c r="G637"/>
  <c r="H638" s="1"/>
  <c r="G618"/>
  <c r="H619" s="1"/>
  <c r="H65"/>
  <c r="H6" i="339" s="1"/>
  <c r="G600" i="16"/>
  <c r="G601" s="1"/>
  <c r="E45" i="339" s="1"/>
  <c r="G580" i="16"/>
  <c r="H581" s="1"/>
  <c r="H565"/>
  <c r="H43" i="339" s="1"/>
  <c r="G547" i="16"/>
  <c r="G548" s="1"/>
  <c r="E42" i="339" s="1"/>
  <c r="H2562" i="16"/>
  <c r="G530"/>
  <c r="H531" s="1"/>
  <c r="G514"/>
  <c r="E40" i="339" s="1"/>
  <c r="H40" s="1"/>
  <c r="G496" i="16"/>
  <c r="H497" s="1"/>
  <c r="H329" i="339"/>
  <c r="G466" i="16"/>
  <c r="E35" i="339" s="1"/>
  <c r="H35" s="1"/>
  <c r="H5643" i="16"/>
  <c r="G453"/>
  <c r="H129"/>
  <c r="G129"/>
  <c r="E9" i="339" s="1"/>
  <c r="G435" i="16"/>
  <c r="H436" s="1"/>
  <c r="H4738"/>
  <c r="G422"/>
  <c r="G423" s="1"/>
  <c r="E32" i="339" s="1"/>
  <c r="G409" i="16"/>
  <c r="G410" s="1"/>
  <c r="E31" i="339" s="1"/>
  <c r="H201" i="16"/>
  <c r="H13" i="339" s="1"/>
  <c r="G397" i="16"/>
  <c r="G398" s="1"/>
  <c r="E30" i="339" s="1"/>
  <c r="H4271" i="16"/>
  <c r="G385"/>
  <c r="H386" s="1"/>
  <c r="H45"/>
  <c r="H5" i="339" s="1"/>
  <c r="G337" i="16"/>
  <c r="H338" s="1"/>
  <c r="G288"/>
  <c r="H289" s="1"/>
  <c r="G269"/>
  <c r="G270" s="1"/>
  <c r="E18" i="339" s="1"/>
  <c r="G255" i="16"/>
  <c r="E17" i="339" s="1"/>
  <c r="H17" s="1"/>
  <c r="G242" i="16"/>
  <c r="G243" s="1"/>
  <c r="E16" i="339" s="1"/>
  <c r="H231" i="16"/>
  <c r="H15" i="339" s="1"/>
  <c r="H173" i="16"/>
  <c r="H11" i="339" s="1"/>
  <c r="G6760" i="16"/>
  <c r="G82"/>
  <c r="G150"/>
  <c r="H151" s="1"/>
  <c r="H111"/>
  <c r="H8" i="339" s="1"/>
  <c r="H119"/>
  <c r="F6795" i="16"/>
  <c r="G6776"/>
  <c r="F6794"/>
  <c r="G6775"/>
  <c r="G6782"/>
  <c r="G6783" s="1"/>
  <c r="H22" i="339"/>
  <c r="F7596" i="16"/>
  <c r="F7688" s="1"/>
  <c r="G7925"/>
  <c r="G7928" s="1"/>
  <c r="F7945"/>
  <c r="H411" i="339"/>
  <c r="H540"/>
  <c r="H407"/>
  <c r="H524"/>
  <c r="H534"/>
  <c r="G102" i="343"/>
  <c r="H536" i="339"/>
  <c r="H530"/>
  <c r="H535"/>
  <c r="H533"/>
  <c r="H537"/>
  <c r="G144" i="343"/>
  <c r="H531" i="339"/>
  <c r="H291" l="1"/>
  <c r="H343"/>
  <c r="H165"/>
  <c r="E245"/>
  <c r="H245" s="1"/>
  <c r="E7"/>
  <c r="H7" s="1"/>
  <c r="E148"/>
  <c r="H148" s="1"/>
  <c r="F7769" i="16"/>
  <c r="F7716"/>
  <c r="F7768"/>
  <c r="F7715"/>
  <c r="H72" i="339"/>
  <c r="H87"/>
  <c r="H120"/>
  <c r="H356"/>
  <c r="E521"/>
  <c r="H521" s="1"/>
  <c r="H9"/>
  <c r="H4"/>
  <c r="F8238" i="16"/>
  <c r="F8273" s="1"/>
  <c r="G8273" s="1"/>
  <c r="E112" i="339"/>
  <c r="H112" s="1"/>
  <c r="H177"/>
  <c r="H305"/>
  <c r="H385"/>
  <c r="E532"/>
  <c r="H532" s="1"/>
  <c r="E276"/>
  <c r="H276" s="1"/>
  <c r="E529"/>
  <c r="H529" s="1"/>
  <c r="H82"/>
  <c r="H383"/>
  <c r="H110"/>
  <c r="F7661" i="16"/>
  <c r="G7661" s="1"/>
  <c r="G7662" s="1"/>
  <c r="F7636"/>
  <c r="G7636" s="1"/>
  <c r="G7637" s="1"/>
  <c r="H163" i="339"/>
  <c r="G7650" i="16"/>
  <c r="G7625"/>
  <c r="G7691"/>
  <c r="G7649"/>
  <c r="G7624"/>
  <c r="G7688"/>
  <c r="G7689" s="1"/>
  <c r="F7712"/>
  <c r="G7712" s="1"/>
  <c r="G7713" s="1"/>
  <c r="G7512"/>
  <c r="H1775"/>
  <c r="F8237"/>
  <c r="G1776"/>
  <c r="E114" i="339" s="1"/>
  <c r="F2012" i="16"/>
  <c r="G2012" s="1"/>
  <c r="G2014" s="1"/>
  <c r="G2015" s="1"/>
  <c r="G1996"/>
  <c r="G1997" s="1"/>
  <c r="G1998" s="1"/>
  <c r="G1789"/>
  <c r="G1790" s="1"/>
  <c r="G1791" s="1"/>
  <c r="G1792" s="1"/>
  <c r="G1793" s="1"/>
  <c r="E115" i="339" s="1"/>
  <c r="G797" i="16"/>
  <c r="G799" s="1"/>
  <c r="G800" s="1"/>
  <c r="G6768"/>
  <c r="G6769" s="1"/>
  <c r="G6770" s="1"/>
  <c r="G6749"/>
  <c r="G6750" s="1"/>
  <c r="G6751" s="1"/>
  <c r="G6730"/>
  <c r="G6731" s="1"/>
  <c r="G6732" s="1"/>
  <c r="H6676"/>
  <c r="H424" i="339" s="1"/>
  <c r="G6659" i="16"/>
  <c r="H6523"/>
  <c r="H415" i="339" s="1"/>
  <c r="G6557" i="16"/>
  <c r="E417" i="339" s="1"/>
  <c r="H417" s="1"/>
  <c r="H6441" i="16"/>
  <c r="H410" i="339" s="1"/>
  <c r="G6361" i="16"/>
  <c r="E405" i="339" s="1"/>
  <c r="H405" s="1"/>
  <c r="G6377" i="16"/>
  <c r="E406" i="339" s="1"/>
  <c r="H406" s="1"/>
  <c r="H6281" i="16"/>
  <c r="H400" i="339" s="1"/>
  <c r="G6201" i="16"/>
  <c r="E395" i="339" s="1"/>
  <c r="H395" s="1"/>
  <c r="H6169" i="16"/>
  <c r="H393" i="339" s="1"/>
  <c r="H5896" i="16"/>
  <c r="G5825"/>
  <c r="E371" i="339" s="1"/>
  <c r="H371" s="1"/>
  <c r="H5562" i="16"/>
  <c r="H355" i="339" s="1"/>
  <c r="G5526" i="16"/>
  <c r="E353" i="339" s="1"/>
  <c r="H353" s="1"/>
  <c r="G5435" i="16"/>
  <c r="E345" i="339" s="1"/>
  <c r="H345" s="1"/>
  <c r="H5311" i="16"/>
  <c r="H337" i="339" s="1"/>
  <c r="H5146" i="16"/>
  <c r="H326" i="339" s="1"/>
  <c r="H5131" i="16"/>
  <c r="H325" i="339" s="1"/>
  <c r="G5065" i="16"/>
  <c r="H5012"/>
  <c r="H316" i="339" s="1"/>
  <c r="H4995" i="16"/>
  <c r="H315" i="339" s="1"/>
  <c r="G4978" i="16"/>
  <c r="G4898"/>
  <c r="E309" i="339" s="1"/>
  <c r="H309" s="1"/>
  <c r="G4818" i="16"/>
  <c r="E304" i="339" s="1"/>
  <c r="H304" s="1"/>
  <c r="G4653" i="16"/>
  <c r="G4482"/>
  <c r="E284" i="339" s="1"/>
  <c r="H284" s="1"/>
  <c r="H4466" i="16"/>
  <c r="H283" i="339" s="1"/>
  <c r="G4450" i="16"/>
  <c r="E282" i="339" s="1"/>
  <c r="H282" s="1"/>
  <c r="H4415" i="16"/>
  <c r="H278" i="339" s="1"/>
  <c r="G4433" i="16"/>
  <c r="H4204"/>
  <c r="H265" i="339" s="1"/>
  <c r="G4170" i="16"/>
  <c r="E263" i="339" s="1"/>
  <c r="H263" s="1"/>
  <c r="G4090" i="16"/>
  <c r="E258" i="339" s="1"/>
  <c r="H258" s="1"/>
  <c r="G3878" i="16"/>
  <c r="E244" i="339" s="1"/>
  <c r="H244" s="1"/>
  <c r="G3814" i="16"/>
  <c r="E240" i="339" s="1"/>
  <c r="H240" s="1"/>
  <c r="G3631" i="16"/>
  <c r="E229" i="339" s="1"/>
  <c r="H229" s="1"/>
  <c r="G3581" i="16"/>
  <c r="E226" i="339" s="1"/>
  <c r="H226" s="1"/>
  <c r="G3565" i="16"/>
  <c r="E225" i="339" s="1"/>
  <c r="H225" s="1"/>
  <c r="G3335" i="16"/>
  <c r="E212" i="339" s="1"/>
  <c r="H212" s="1"/>
  <c r="H3244" i="16"/>
  <c r="G3028"/>
  <c r="E195" i="339" s="1"/>
  <c r="H195" s="1"/>
  <c r="G2992" i="16"/>
  <c r="E193" i="339" s="1"/>
  <c r="H193" s="1"/>
  <c r="G2974" i="16"/>
  <c r="E192" i="339" s="1"/>
  <c r="H192" s="1"/>
  <c r="G2938" i="16"/>
  <c r="E190" i="339" s="1"/>
  <c r="H190" s="1"/>
  <c r="H2723" i="16"/>
  <c r="H175" i="339" s="1"/>
  <c r="G2707" i="16"/>
  <c r="E174" i="339" s="1"/>
  <c r="H174" s="1"/>
  <c r="G2515" i="16"/>
  <c r="E162" i="339" s="1"/>
  <c r="H162" s="1"/>
  <c r="G2466" i="16"/>
  <c r="E157" i="339" s="1"/>
  <c r="H157" s="1"/>
  <c r="H2449" i="16"/>
  <c r="H156" i="339" s="1"/>
  <c r="G2431" i="16"/>
  <c r="E155" i="339" s="1"/>
  <c r="H155" s="1"/>
  <c r="G2413" i="16"/>
  <c r="E154" i="339" s="1"/>
  <c r="H154" s="1"/>
  <c r="G2341" i="16"/>
  <c r="E150" i="339" s="1"/>
  <c r="H150" s="1"/>
  <c r="G7546" i="16"/>
  <c r="G2324"/>
  <c r="E149" i="339" s="1"/>
  <c r="H149" s="1"/>
  <c r="G2118" i="16"/>
  <c r="E135" i="339" s="1"/>
  <c r="H135" s="1"/>
  <c r="G7947" i="16"/>
  <c r="G2084"/>
  <c r="E133" i="339" s="1"/>
  <c r="H133" s="1"/>
  <c r="G2068" i="16"/>
  <c r="E132" i="339" s="1"/>
  <c r="H132" s="1"/>
  <c r="F7611" i="16"/>
  <c r="F7703" s="1"/>
  <c r="G1954"/>
  <c r="H1969"/>
  <c r="H126" i="339" s="1"/>
  <c r="H122"/>
  <c r="H1808" i="16"/>
  <c r="H116" i="339" s="1"/>
  <c r="H1690" i="16"/>
  <c r="H108" i="339" s="1"/>
  <c r="H1754" i="16"/>
  <c r="H113" i="339" s="1"/>
  <c r="G1721" i="16"/>
  <c r="E111" i="339" s="1"/>
  <c r="H111" s="1"/>
  <c r="G1676" i="16"/>
  <c r="E107" i="339" s="1"/>
  <c r="H107" s="1"/>
  <c r="G1659" i="16"/>
  <c r="E106" i="339" s="1"/>
  <c r="H106" s="1"/>
  <c r="H1482" i="16"/>
  <c r="H97" i="339" s="1"/>
  <c r="H1467" i="16"/>
  <c r="H96" i="339" s="1"/>
  <c r="G1541" i="16"/>
  <c r="E99" i="339" s="1"/>
  <c r="H99" s="1"/>
  <c r="G1564" i="16"/>
  <c r="E100" i="339" s="1"/>
  <c r="H100" s="1"/>
  <c r="G6835" i="16"/>
  <c r="G1503"/>
  <c r="E98" i="339" s="1"/>
  <c r="H98" s="1"/>
  <c r="H1452" i="16"/>
  <c r="H95" i="339" s="1"/>
  <c r="G1411" i="16"/>
  <c r="E92" i="339" s="1"/>
  <c r="H92" s="1"/>
  <c r="H231"/>
  <c r="G1341" i="16"/>
  <c r="E88" i="339" s="1"/>
  <c r="H88" s="1"/>
  <c r="G1305" i="16"/>
  <c r="E86" i="339" s="1"/>
  <c r="H86" s="1"/>
  <c r="G1268" i="16"/>
  <c r="E83" i="339" s="1"/>
  <c r="H83" s="1"/>
  <c r="G1185" i="16"/>
  <c r="E79" i="339" s="1"/>
  <c r="H79" s="1"/>
  <c r="H141"/>
  <c r="G1083" i="16"/>
  <c r="E74" i="339" s="1"/>
  <c r="H74" s="1"/>
  <c r="H935" i="16"/>
  <c r="H66" i="339" s="1"/>
  <c r="G1124" i="16"/>
  <c r="E76" i="339" s="1"/>
  <c r="H76" s="1"/>
  <c r="G1004" i="16"/>
  <c r="E70" i="339" s="1"/>
  <c r="H70" s="1"/>
  <c r="H969" i="16"/>
  <c r="H952"/>
  <c r="G952"/>
  <c r="E67" i="339" s="1"/>
  <c r="H901" i="16"/>
  <c r="H64" i="339" s="1"/>
  <c r="H918" i="16"/>
  <c r="G918"/>
  <c r="E65" i="339" s="1"/>
  <c r="H886" i="16"/>
  <c r="H63" i="339" s="1"/>
  <c r="H856" i="16"/>
  <c r="H61" i="339" s="1"/>
  <c r="H206"/>
  <c r="H766" i="16"/>
  <c r="H56" i="339" s="1"/>
  <c r="G783" i="16"/>
  <c r="H784" s="1"/>
  <c r="G748"/>
  <c r="E55" i="339" s="1"/>
  <c r="H55" s="1"/>
  <c r="G730" i="16"/>
  <c r="E54" i="339" s="1"/>
  <c r="H54" s="1"/>
  <c r="G694" i="16"/>
  <c r="E52" i="339" s="1"/>
  <c r="H52" s="1"/>
  <c r="F6112" i="16"/>
  <c r="G6112" s="1"/>
  <c r="F6116" s="1"/>
  <c r="G712"/>
  <c r="E53" i="339" s="1"/>
  <c r="G656" i="16"/>
  <c r="E50" i="339" s="1"/>
  <c r="H50" s="1"/>
  <c r="G674" i="16"/>
  <c r="E51" i="339" s="1"/>
  <c r="H51" s="1"/>
  <c r="G638" i="16"/>
  <c r="F1352"/>
  <c r="G1352" s="1"/>
  <c r="G1358" s="1"/>
  <c r="H601"/>
  <c r="H45" i="339" s="1"/>
  <c r="G619" i="16"/>
  <c r="E46" i="339" s="1"/>
  <c r="H46" s="1"/>
  <c r="G581" i="16"/>
  <c r="E44" i="339" s="1"/>
  <c r="H44" s="1"/>
  <c r="H360"/>
  <c r="H548" i="16"/>
  <c r="H42" i="339" s="1"/>
  <c r="G531" i="16"/>
  <c r="E41" i="339" s="1"/>
  <c r="H41" s="1"/>
  <c r="G497" i="16"/>
  <c r="G436"/>
  <c r="H299" i="339"/>
  <c r="H423" i="16"/>
  <c r="H32" i="339" s="1"/>
  <c r="H410" i="16"/>
  <c r="H31" i="339" s="1"/>
  <c r="H398" i="16"/>
  <c r="H30" i="339" s="1"/>
  <c r="H269"/>
  <c r="G386" i="16"/>
  <c r="E29" i="339" s="1"/>
  <c r="H29" s="1"/>
  <c r="G338" i="16"/>
  <c r="E25" i="339" s="1"/>
  <c r="H25" s="1"/>
  <c r="H270" i="16"/>
  <c r="H18" i="339" s="1"/>
  <c r="I289" i="16"/>
  <c r="J289" s="1"/>
  <c r="G289"/>
  <c r="E19" i="339" s="1"/>
  <c r="H19" s="1"/>
  <c r="H243" i="16"/>
  <c r="H16" i="339" s="1"/>
  <c r="G151" i="16"/>
  <c r="E10" i="339" s="1"/>
  <c r="H10" s="1"/>
  <c r="G6779" i="16"/>
  <c r="G6795"/>
  <c r="F6814"/>
  <c r="G6794"/>
  <c r="F6813"/>
  <c r="G6801"/>
  <c r="G6802" s="1"/>
  <c r="F833"/>
  <c r="G833" s="1"/>
  <c r="G835" s="1"/>
  <c r="G815"/>
  <c r="G817" s="1"/>
  <c r="G7596"/>
  <c r="G7597" s="1"/>
  <c r="F7965"/>
  <c r="G7965" s="1"/>
  <c r="G7968" s="1"/>
  <c r="G7945"/>
  <c r="G6854"/>
  <c r="F6873"/>
  <c r="E281" i="339" l="1"/>
  <c r="H281" s="1"/>
  <c r="E319"/>
  <c r="H319" s="1"/>
  <c r="E125"/>
  <c r="H125" s="1"/>
  <c r="E49"/>
  <c r="F7628" i="16" s="1"/>
  <c r="G7628" s="1"/>
  <c r="G7629" s="1"/>
  <c r="G8238"/>
  <c r="F8188"/>
  <c r="F8226" s="1"/>
  <c r="G8226" s="1"/>
  <c r="E39" i="339"/>
  <c r="H39" s="1"/>
  <c r="E314"/>
  <c r="H314" s="1"/>
  <c r="E431"/>
  <c r="H431" s="1"/>
  <c r="E33"/>
  <c r="H33" s="1"/>
  <c r="E294"/>
  <c r="H294" s="1"/>
  <c r="E429"/>
  <c r="H429" s="1"/>
  <c r="H67"/>
  <c r="E430"/>
  <c r="H430" s="1"/>
  <c r="H114"/>
  <c r="G7651" i="16"/>
  <c r="G7768"/>
  <c r="F7657"/>
  <c r="G7657" s="1"/>
  <c r="F7632"/>
  <c r="G7632" s="1"/>
  <c r="G7715"/>
  <c r="F7656"/>
  <c r="G7656" s="1"/>
  <c r="F7631"/>
  <c r="G7631" s="1"/>
  <c r="F7658"/>
  <c r="G7658" s="1"/>
  <c r="F7633"/>
  <c r="G7633" s="1"/>
  <c r="G7599"/>
  <c r="G7626"/>
  <c r="G7600"/>
  <c r="G7703"/>
  <c r="G7704" s="1"/>
  <c r="F7727"/>
  <c r="G7727" s="1"/>
  <c r="G7728" s="1"/>
  <c r="F8272"/>
  <c r="G8272" s="1"/>
  <c r="G8275" s="1"/>
  <c r="G8300" s="1"/>
  <c r="G8301" s="1"/>
  <c r="G8302" s="1"/>
  <c r="G8237"/>
  <c r="G1999"/>
  <c r="H2000" s="1"/>
  <c r="G2016"/>
  <c r="G2017" s="1"/>
  <c r="E129" i="339" s="1"/>
  <c r="G6787" i="16"/>
  <c r="G6788" s="1"/>
  <c r="G6789" s="1"/>
  <c r="G7948"/>
  <c r="G7611"/>
  <c r="G7612" s="1"/>
  <c r="H1793"/>
  <c r="H115" i="339" s="1"/>
  <c r="G1359" i="16"/>
  <c r="F7608"/>
  <c r="F7700" s="1"/>
  <c r="H68" i="339"/>
  <c r="F7607" i="16"/>
  <c r="F7699" s="1"/>
  <c r="H65" i="339"/>
  <c r="G836" i="16"/>
  <c r="G818"/>
  <c r="G801"/>
  <c r="G802" s="1"/>
  <c r="E58" i="339" s="1"/>
  <c r="G784" i="16"/>
  <c r="E57" i="339" s="1"/>
  <c r="H57" s="1"/>
  <c r="H6116" i="16"/>
  <c r="G6116"/>
  <c r="G6117" s="1"/>
  <c r="G6118" s="1"/>
  <c r="F7606"/>
  <c r="F7698" s="1"/>
  <c r="H53" i="339"/>
  <c r="G6798" i="16"/>
  <c r="G6814"/>
  <c r="F6833"/>
  <c r="F6832"/>
  <c r="G6813"/>
  <c r="G6820"/>
  <c r="G6821" s="1"/>
  <c r="F7765"/>
  <c r="G7765" s="1"/>
  <c r="G7766" s="1"/>
  <c r="G6873"/>
  <c r="F6892"/>
  <c r="F7780"/>
  <c r="G7780" s="1"/>
  <c r="G7781" s="1"/>
  <c r="F7603" l="1"/>
  <c r="F7695" s="1"/>
  <c r="G7695" s="1"/>
  <c r="G7696" s="1"/>
  <c r="F7653"/>
  <c r="G7653" s="1"/>
  <c r="G7654" s="1"/>
  <c r="G7664" s="1"/>
  <c r="G7665" s="1"/>
  <c r="G7666" s="1"/>
  <c r="E479" i="339" s="1"/>
  <c r="H49"/>
  <c r="G8240" i="16"/>
  <c r="G8265" s="1"/>
  <c r="G8266" s="1"/>
  <c r="G8267" s="1"/>
  <c r="E512" i="339" s="1"/>
  <c r="H512" s="1"/>
  <c r="G8188" i="16"/>
  <c r="E513" i="339"/>
  <c r="H513" s="1"/>
  <c r="E432"/>
  <c r="H432" s="1"/>
  <c r="F7739" i="16"/>
  <c r="F8189" s="1"/>
  <c r="G7601"/>
  <c r="G7639"/>
  <c r="G7640" s="1"/>
  <c r="G7641" s="1"/>
  <c r="E478" i="339" s="1"/>
  <c r="G7634" i="16"/>
  <c r="G7659"/>
  <c r="G7700"/>
  <c r="F7724"/>
  <c r="G7724" s="1"/>
  <c r="G7698"/>
  <c r="F7722"/>
  <c r="G7722" s="1"/>
  <c r="G7699"/>
  <c r="F7723"/>
  <c r="G7723" s="1"/>
  <c r="G7692"/>
  <c r="G7693" s="1"/>
  <c r="G7716"/>
  <c r="G7717" s="1"/>
  <c r="G2000"/>
  <c r="E128" i="339" s="1"/>
  <c r="H128" s="1"/>
  <c r="H2017" i="16"/>
  <c r="H129" i="339" s="1"/>
  <c r="G6806" i="16"/>
  <c r="G6807" s="1"/>
  <c r="G6808" s="1"/>
  <c r="G6119"/>
  <c r="G6120" s="1"/>
  <c r="E390" i="339" s="1"/>
  <c r="H390" s="1"/>
  <c r="G1360" i="16"/>
  <c r="G1361" s="1"/>
  <c r="E89" i="339" s="1"/>
  <c r="G7608" i="16"/>
  <c r="G7607"/>
  <c r="G837"/>
  <c r="H838" s="1"/>
  <c r="H802"/>
  <c r="H58" i="339" s="1"/>
  <c r="G819" i="16"/>
  <c r="H820" s="1"/>
  <c r="G7606"/>
  <c r="F8190"/>
  <c r="G6833"/>
  <c r="F6852"/>
  <c r="G6817"/>
  <c r="F6851"/>
  <c r="G6832"/>
  <c r="G6839"/>
  <c r="G6840" s="1"/>
  <c r="F7736"/>
  <c r="G7736" s="1"/>
  <c r="G7737" s="1"/>
  <c r="F6911"/>
  <c r="G6892"/>
  <c r="F7751"/>
  <c r="G7751" s="1"/>
  <c r="G7752" s="1"/>
  <c r="G7603" l="1"/>
  <c r="G7604" s="1"/>
  <c r="G7614" s="1"/>
  <c r="F7719"/>
  <c r="G7719" s="1"/>
  <c r="G7720" s="1"/>
  <c r="E433" i="339"/>
  <c r="H433" s="1"/>
  <c r="G7739" i="16"/>
  <c r="G7725"/>
  <c r="G7701"/>
  <c r="G7705" s="1"/>
  <c r="G6825"/>
  <c r="G6826" s="1"/>
  <c r="G6827" s="1"/>
  <c r="H1361"/>
  <c r="H89" i="339" s="1"/>
  <c r="F7777" i="16"/>
  <c r="G7777" s="1"/>
  <c r="G7609"/>
  <c r="F7776"/>
  <c r="G7776" s="1"/>
  <c r="G838"/>
  <c r="E60" i="339" s="1"/>
  <c r="H60" s="1"/>
  <c r="G820" i="16"/>
  <c r="E59" i="339" s="1"/>
  <c r="H59" s="1"/>
  <c r="F7775" i="16"/>
  <c r="G7775" s="1"/>
  <c r="F7772"/>
  <c r="G7772" s="1"/>
  <c r="G7773" s="1"/>
  <c r="G7769"/>
  <c r="G7770" s="1"/>
  <c r="F7740"/>
  <c r="G7740" s="1"/>
  <c r="G6836"/>
  <c r="F6871"/>
  <c r="G6852"/>
  <c r="F6870"/>
  <c r="G6851"/>
  <c r="G6858"/>
  <c r="G6859" s="1"/>
  <c r="G8190"/>
  <c r="F8228"/>
  <c r="G8228" s="1"/>
  <c r="F6930"/>
  <c r="G6911"/>
  <c r="G8189"/>
  <c r="F8227"/>
  <c r="G8227" s="1"/>
  <c r="G42" i="346" l="1"/>
  <c r="G43" s="1"/>
  <c r="J44" s="1"/>
  <c r="G7729" i="16"/>
  <c r="G7730" s="1"/>
  <c r="G7731" s="1"/>
  <c r="E482" i="339" s="1"/>
  <c r="E434"/>
  <c r="H434" s="1"/>
  <c r="G7615" i="16"/>
  <c r="G7616" s="1"/>
  <c r="G7741"/>
  <c r="G7706"/>
  <c r="G7707" s="1"/>
  <c r="E481" i="339" s="1"/>
  <c r="G8229" i="16"/>
  <c r="G8230" s="1"/>
  <c r="G8191"/>
  <c r="G8192" s="1"/>
  <c r="G6844"/>
  <c r="G6845" s="1"/>
  <c r="G6846" s="1"/>
  <c r="F7748"/>
  <c r="G7748" s="1"/>
  <c r="G7778"/>
  <c r="F7747"/>
  <c r="G7747" s="1"/>
  <c r="F7746"/>
  <c r="G7746" s="1"/>
  <c r="F7743"/>
  <c r="G7743" s="1"/>
  <c r="G7744" s="1"/>
  <c r="G6855"/>
  <c r="F6890"/>
  <c r="G6871"/>
  <c r="F6889"/>
  <c r="G6870"/>
  <c r="G6877"/>
  <c r="G6878" s="1"/>
  <c r="F6949"/>
  <c r="G6930"/>
  <c r="E435" i="339" l="1"/>
  <c r="H435" s="1"/>
  <c r="E477"/>
  <c r="H477" s="1"/>
  <c r="G8231" i="16"/>
  <c r="G8232" s="1"/>
  <c r="G8193"/>
  <c r="G8194" s="1"/>
  <c r="G7782"/>
  <c r="G7783" s="1"/>
  <c r="G7784" s="1"/>
  <c r="H481" i="339"/>
  <c r="G6863" i="16"/>
  <c r="G6864" s="1"/>
  <c r="G6865" s="1"/>
  <c r="G7749"/>
  <c r="G6874"/>
  <c r="F6909"/>
  <c r="G6890"/>
  <c r="F6908"/>
  <c r="G6889"/>
  <c r="G6896"/>
  <c r="G6897" s="1"/>
  <c r="F6967"/>
  <c r="G6949"/>
  <c r="E436" i="339" l="1"/>
  <c r="H436" s="1"/>
  <c r="E510"/>
  <c r="H510" s="1"/>
  <c r="E511"/>
  <c r="H511" s="1"/>
  <c r="E484"/>
  <c r="H484" s="1"/>
  <c r="G7758" i="16"/>
  <c r="G7759" s="1"/>
  <c r="G7760" s="1"/>
  <c r="H482" i="339"/>
  <c r="G6882" i="16"/>
  <c r="G6893"/>
  <c r="G6909"/>
  <c r="F6928"/>
  <c r="G6908"/>
  <c r="F6927"/>
  <c r="G6915"/>
  <c r="G6916" s="1"/>
  <c r="G6934"/>
  <c r="G6935" s="1"/>
  <c r="F6985"/>
  <c r="G6967"/>
  <c r="E483" i="339" l="1"/>
  <c r="H483" s="1"/>
  <c r="G6901" i="16"/>
  <c r="G6902" s="1"/>
  <c r="G6903" s="1"/>
  <c r="G6883"/>
  <c r="G6884" s="1"/>
  <c r="G6912"/>
  <c r="F6947"/>
  <c r="G6928"/>
  <c r="G6927"/>
  <c r="F6946"/>
  <c r="G6985"/>
  <c r="F7003"/>
  <c r="E437" i="339" l="1"/>
  <c r="H437" s="1"/>
  <c r="E438"/>
  <c r="H438" s="1"/>
  <c r="G6920" i="16"/>
  <c r="G6921" s="1"/>
  <c r="G6922" s="1"/>
  <c r="G6931"/>
  <c r="G6947"/>
  <c r="F6965"/>
  <c r="F6964"/>
  <c r="G6946"/>
  <c r="G7003"/>
  <c r="F7022"/>
  <c r="E439" i="339" l="1"/>
  <c r="H439" s="1"/>
  <c r="G6939" i="16"/>
  <c r="G6940" s="1"/>
  <c r="G6941" s="1"/>
  <c r="G6950"/>
  <c r="G6965"/>
  <c r="F6983"/>
  <c r="F6982"/>
  <c r="G6964"/>
  <c r="F7041"/>
  <c r="G7022"/>
  <c r="E440" i="339" l="1"/>
  <c r="H440" s="1"/>
  <c r="G6957" i="16"/>
  <c r="G6958" s="1"/>
  <c r="G6959" s="1"/>
  <c r="G6968"/>
  <c r="G6975" s="1"/>
  <c r="G6976" s="1"/>
  <c r="G6977" s="1"/>
  <c r="E442" i="339" s="1"/>
  <c r="F7001" i="16"/>
  <c r="G6983"/>
  <c r="F7000"/>
  <c r="G6982"/>
  <c r="G7041"/>
  <c r="F7060"/>
  <c r="E441" i="339" l="1"/>
  <c r="H441" s="1"/>
  <c r="G6986" i="16"/>
  <c r="H442" i="339"/>
  <c r="F7020" i="16"/>
  <c r="G7001"/>
  <c r="G7000"/>
  <c r="F7019"/>
  <c r="F7079"/>
  <c r="G7060"/>
  <c r="G6993" l="1"/>
  <c r="G6994" s="1"/>
  <c r="G6995" s="1"/>
  <c r="G7004"/>
  <c r="G7020"/>
  <c r="F7039"/>
  <c r="F7038"/>
  <c r="G7019"/>
  <c r="F7098"/>
  <c r="G7079"/>
  <c r="E443" i="339" l="1"/>
  <c r="H443" s="1"/>
  <c r="G7011" i="16"/>
  <c r="G7012" s="1"/>
  <c r="G7013" s="1"/>
  <c r="G7023"/>
  <c r="G7039"/>
  <c r="F7058"/>
  <c r="G7038"/>
  <c r="F7057"/>
  <c r="F7117"/>
  <c r="G7098"/>
  <c r="E444" i="339" l="1"/>
  <c r="H444" s="1"/>
  <c r="G7031" i="16"/>
  <c r="G7032" s="1"/>
  <c r="G7033" s="1"/>
  <c r="G7042"/>
  <c r="G7058"/>
  <c r="F7077"/>
  <c r="G7057"/>
  <c r="F7076"/>
  <c r="F7136"/>
  <c r="G7117"/>
  <c r="E447" i="339" l="1"/>
  <c r="H447" s="1"/>
  <c r="G7050" i="16"/>
  <c r="G7051" s="1"/>
  <c r="G7052" s="1"/>
  <c r="G7061"/>
  <c r="F7096"/>
  <c r="G7077"/>
  <c r="G7076"/>
  <c r="F7095"/>
  <c r="G7136"/>
  <c r="F7154"/>
  <c r="E448" i="339" l="1"/>
  <c r="H448" s="1"/>
  <c r="G7069" i="16"/>
  <c r="G7070" s="1"/>
  <c r="G7071" s="1"/>
  <c r="G7080"/>
  <c r="F7115"/>
  <c r="G7096"/>
  <c r="F7114"/>
  <c r="G7095"/>
  <c r="G7154"/>
  <c r="F7172"/>
  <c r="E449" i="339" l="1"/>
  <c r="H449" s="1"/>
  <c r="G7088" i="16"/>
  <c r="G7099"/>
  <c r="F7134"/>
  <c r="G7115"/>
  <c r="F7133"/>
  <c r="G7114"/>
  <c r="G7172"/>
  <c r="F7190"/>
  <c r="G7107" l="1"/>
  <c r="G7108" s="1"/>
  <c r="G7109" s="1"/>
  <c r="G7089"/>
  <c r="G7090" s="1"/>
  <c r="G7118"/>
  <c r="G7134"/>
  <c r="F7152"/>
  <c r="G7133"/>
  <c r="F7151"/>
  <c r="G7190"/>
  <c r="F7208"/>
  <c r="E451" i="339" l="1"/>
  <c r="H451" s="1"/>
  <c r="E450"/>
  <c r="H450" s="1"/>
  <c r="G7126" i="16"/>
  <c r="G7127" s="1"/>
  <c r="G7128" s="1"/>
  <c r="E452" i="339" s="1"/>
  <c r="H452" s="1"/>
  <c r="G7137" i="16"/>
  <c r="F7170"/>
  <c r="G7152"/>
  <c r="G7151"/>
  <c r="F7169"/>
  <c r="G7208"/>
  <c r="F7226"/>
  <c r="G7144" l="1"/>
  <c r="G7145" s="1"/>
  <c r="G7146" s="1"/>
  <c r="G7155"/>
  <c r="F7188"/>
  <c r="G7170"/>
  <c r="G7169"/>
  <c r="F7187"/>
  <c r="G7226"/>
  <c r="F7244"/>
  <c r="E453" i="339" l="1"/>
  <c r="H453" s="1"/>
  <c r="G7162" i="16"/>
  <c r="G7163" s="1"/>
  <c r="G7164" s="1"/>
  <c r="G7173"/>
  <c r="G7188"/>
  <c r="F7206"/>
  <c r="F7205"/>
  <c r="G7187"/>
  <c r="F7262"/>
  <c r="G7244"/>
  <c r="E454" i="339" l="1"/>
  <c r="H454" s="1"/>
  <c r="G7180" i="16"/>
  <c r="G7181" s="1"/>
  <c r="G7182" s="1"/>
  <c r="G7191"/>
  <c r="F7224"/>
  <c r="G7206"/>
  <c r="F7223"/>
  <c r="G7205"/>
  <c r="F7280"/>
  <c r="G7262"/>
  <c r="E455" i="339" l="1"/>
  <c r="H455" s="1"/>
  <c r="G7198" i="16"/>
  <c r="G7209"/>
  <c r="G7224"/>
  <c r="F7242"/>
  <c r="G7223"/>
  <c r="F7241"/>
  <c r="G7280"/>
  <c r="F7298"/>
  <c r="G7216" l="1"/>
  <c r="G7217" s="1"/>
  <c r="G7218" s="1"/>
  <c r="G7199"/>
  <c r="G7200" s="1"/>
  <c r="G7227"/>
  <c r="F7260"/>
  <c r="G7242"/>
  <c r="G7241"/>
  <c r="F7259"/>
  <c r="F7316"/>
  <c r="G7298"/>
  <c r="E457" i="339" l="1"/>
  <c r="H457" s="1"/>
  <c r="E456"/>
  <c r="H456" s="1"/>
  <c r="G7234" i="16"/>
  <c r="G7235" s="1"/>
  <c r="G7236" s="1"/>
  <c r="G7245"/>
  <c r="G7260"/>
  <c r="F7278"/>
  <c r="F7277"/>
  <c r="G7259"/>
  <c r="G7316"/>
  <c r="F7334"/>
  <c r="E458" i="339" l="1"/>
  <c r="H458" s="1"/>
  <c r="G7252" i="16"/>
  <c r="G7253" s="1"/>
  <c r="G7254" s="1"/>
  <c r="G7263"/>
  <c r="G7278"/>
  <c r="F7296"/>
  <c r="G7277"/>
  <c r="F7295"/>
  <c r="F7352"/>
  <c r="G7334"/>
  <c r="E459" i="339" l="1"/>
  <c r="H459" s="1"/>
  <c r="G7270" i="16"/>
  <c r="G7271" s="1"/>
  <c r="G7272" s="1"/>
  <c r="G7281"/>
  <c r="G7296"/>
  <c r="F7314"/>
  <c r="G7295"/>
  <c r="F7313"/>
  <c r="G7352"/>
  <c r="F7370"/>
  <c r="E460" i="339" l="1"/>
  <c r="H460" s="1"/>
  <c r="G7288" i="16"/>
  <c r="G7289" s="1"/>
  <c r="G7290" s="1"/>
  <c r="G7299"/>
  <c r="G7314"/>
  <c r="F7332"/>
  <c r="G7313"/>
  <c r="F7331"/>
  <c r="F7388"/>
  <c r="G7370"/>
  <c r="E461" i="339" l="1"/>
  <c r="H461" s="1"/>
  <c r="G7306" i="16"/>
  <c r="G7317"/>
  <c r="G7324" s="1"/>
  <c r="G7325" s="1"/>
  <c r="G7326" s="1"/>
  <c r="E463" i="339" s="1"/>
  <c r="G7332" i="16"/>
  <c r="F7350"/>
  <c r="G7331"/>
  <c r="F7349"/>
  <c r="G7388"/>
  <c r="F7406"/>
  <c r="G7307" l="1"/>
  <c r="G7308" s="1"/>
  <c r="H463" i="339"/>
  <c r="G7335" i="16"/>
  <c r="F7368"/>
  <c r="G7350"/>
  <c r="F7367"/>
  <c r="G7349"/>
  <c r="F7424"/>
  <c r="G7406"/>
  <c r="E462" i="339" l="1"/>
  <c r="H462" s="1"/>
  <c r="G7342" i="16"/>
  <c r="G7353"/>
  <c r="F7386"/>
  <c r="G7368"/>
  <c r="F7385"/>
  <c r="G7367"/>
  <c r="G7424"/>
  <c r="F7458"/>
  <c r="G7360" l="1"/>
  <c r="G7361" s="1"/>
  <c r="G7362" s="1"/>
  <c r="G7343"/>
  <c r="G7344" s="1"/>
  <c r="G7371"/>
  <c r="G7386"/>
  <c r="F7404"/>
  <c r="G7385"/>
  <c r="F7403"/>
  <c r="G8107"/>
  <c r="G8109" s="1"/>
  <c r="F7878"/>
  <c r="G7878" s="1"/>
  <c r="G7879" s="1"/>
  <c r="F7938"/>
  <c r="G7938" s="1"/>
  <c r="G7939" s="1"/>
  <c r="G8013"/>
  <c r="G8015" s="1"/>
  <c r="G8047"/>
  <c r="G8049" s="1"/>
  <c r="G8059" s="1"/>
  <c r="F7858"/>
  <c r="G7858" s="1"/>
  <c r="G7859" s="1"/>
  <c r="G8125"/>
  <c r="G8127" s="1"/>
  <c r="F7526"/>
  <c r="G7526" s="1"/>
  <c r="F7835"/>
  <c r="G7835" s="1"/>
  <c r="G7837" s="1"/>
  <c r="F7813"/>
  <c r="G7813" s="1"/>
  <c r="G7815" s="1"/>
  <c r="G7826" s="1"/>
  <c r="G8143"/>
  <c r="G8145" s="1"/>
  <c r="F7898"/>
  <c r="G7898" s="1"/>
  <c r="G7899" s="1"/>
  <c r="F7791"/>
  <c r="G7791" s="1"/>
  <c r="G7793" s="1"/>
  <c r="G7804" s="1"/>
  <c r="G7805" s="1"/>
  <c r="G7806" s="1"/>
  <c r="F7918"/>
  <c r="G7918" s="1"/>
  <c r="G7919" s="1"/>
  <c r="G7929" s="1"/>
  <c r="G7930" s="1"/>
  <c r="G7931" s="1"/>
  <c r="E493" i="339" s="1"/>
  <c r="F7580" i="16"/>
  <c r="G7580" s="1"/>
  <c r="G7581" s="1"/>
  <c r="F7958"/>
  <c r="G7958" s="1"/>
  <c r="G7959" s="1"/>
  <c r="G7969" s="1"/>
  <c r="F7978"/>
  <c r="G7978" s="1"/>
  <c r="G7979" s="1"/>
  <c r="G7983" s="1"/>
  <c r="G8068"/>
  <c r="G8070" s="1"/>
  <c r="G8089"/>
  <c r="G8091" s="1"/>
  <c r="G7992"/>
  <c r="G7994" s="1"/>
  <c r="G8004" s="1"/>
  <c r="G8005" s="1"/>
  <c r="G8006" s="1"/>
  <c r="E499" i="339" s="1"/>
  <c r="G7458" i="16"/>
  <c r="F7561"/>
  <c r="G7561" s="1"/>
  <c r="G7562" s="1"/>
  <c r="G7570" s="1"/>
  <c r="G7571" s="1"/>
  <c r="G7572" s="1"/>
  <c r="E475" i="339" s="1"/>
  <c r="F7492" i="16"/>
  <c r="G7492" s="1"/>
  <c r="E485" i="339" l="1"/>
  <c r="H485" s="1"/>
  <c r="E464"/>
  <c r="H464" s="1"/>
  <c r="E465"/>
  <c r="H465" s="1"/>
  <c r="G8152" i="16"/>
  <c r="G8153" s="1"/>
  <c r="G8154" s="1"/>
  <c r="G8134"/>
  <c r="G8135" s="1"/>
  <c r="G8136" s="1"/>
  <c r="G8116"/>
  <c r="G8117" s="1"/>
  <c r="G8118" s="1"/>
  <c r="G8098"/>
  <c r="G8099" s="1"/>
  <c r="G8100" s="1"/>
  <c r="G8080"/>
  <c r="G8060"/>
  <c r="G8061" s="1"/>
  <c r="G8025"/>
  <c r="G8026" s="1"/>
  <c r="G8027" s="1"/>
  <c r="G7984"/>
  <c r="G7985" s="1"/>
  <c r="G7970"/>
  <c r="G7971" s="1"/>
  <c r="G7949"/>
  <c r="G7950" s="1"/>
  <c r="G7951" s="1"/>
  <c r="G7909"/>
  <c r="G7910" s="1"/>
  <c r="G7911" s="1"/>
  <c r="G7889"/>
  <c r="G7869"/>
  <c r="G7870" s="1"/>
  <c r="G7871" s="1"/>
  <c r="G7848"/>
  <c r="G7849" s="1"/>
  <c r="G7850" s="1"/>
  <c r="G7589"/>
  <c r="G7590" s="1"/>
  <c r="G7591" s="1"/>
  <c r="G7378"/>
  <c r="G7379" s="1"/>
  <c r="G7380" s="1"/>
  <c r="G7389"/>
  <c r="F7422"/>
  <c r="G7404"/>
  <c r="F7421"/>
  <c r="G7403"/>
  <c r="H475" i="339"/>
  <c r="H493"/>
  <c r="H499"/>
  <c r="E476" l="1"/>
  <c r="H476" s="1"/>
  <c r="E498"/>
  <c r="H498" s="1"/>
  <c r="E504"/>
  <c r="H504" s="1"/>
  <c r="E492"/>
  <c r="H492" s="1"/>
  <c r="E500"/>
  <c r="H500" s="1"/>
  <c r="E505"/>
  <c r="H505" s="1"/>
  <c r="E487"/>
  <c r="H487" s="1"/>
  <c r="E494"/>
  <c r="H494" s="1"/>
  <c r="E502"/>
  <c r="H502" s="1"/>
  <c r="E506"/>
  <c r="H506" s="1"/>
  <c r="E466"/>
  <c r="H466" s="1"/>
  <c r="E490"/>
  <c r="H490" s="1"/>
  <c r="E495"/>
  <c r="H495" s="1"/>
  <c r="E507"/>
  <c r="H507" s="1"/>
  <c r="G8081" i="16"/>
  <c r="G8082" s="1"/>
  <c r="G7890"/>
  <c r="G7891" s="1"/>
  <c r="G7827"/>
  <c r="G7828" s="1"/>
  <c r="G7396"/>
  <c r="G7397" s="1"/>
  <c r="G7398" s="1"/>
  <c r="G7407"/>
  <c r="F7456"/>
  <c r="G7422"/>
  <c r="F7455"/>
  <c r="G7421"/>
  <c r="E503" i="339" l="1"/>
  <c r="H503" s="1"/>
  <c r="E467"/>
  <c r="H467" s="1"/>
  <c r="E486"/>
  <c r="H486" s="1"/>
  <c r="E491"/>
  <c r="H491" s="1"/>
  <c r="G7414" i="16"/>
  <c r="G7415" s="1"/>
  <c r="G7416" s="1"/>
  <c r="G7425"/>
  <c r="F7524"/>
  <c r="G7524" s="1"/>
  <c r="F7490"/>
  <c r="G7490" s="1"/>
  <c r="G7456"/>
  <c r="F7523"/>
  <c r="G7523" s="1"/>
  <c r="G7455"/>
  <c r="F7489"/>
  <c r="G7489" s="1"/>
  <c r="E468" i="339" l="1"/>
  <c r="H468" s="1"/>
  <c r="G7448" i="16"/>
  <c r="G7449" s="1"/>
  <c r="G7450" s="1"/>
  <c r="G7493"/>
  <c r="G7459"/>
  <c r="G7527"/>
  <c r="E469" i="339" l="1"/>
  <c r="H469" s="1"/>
  <c r="G7550" i="16"/>
  <c r="G7551" s="1"/>
  <c r="G7552" s="1"/>
  <c r="G7516"/>
  <c r="G7517" s="1"/>
  <c r="G7518" s="1"/>
  <c r="G7482"/>
  <c r="G7483" s="1"/>
  <c r="G7484" s="1"/>
  <c r="E470" i="339" l="1"/>
  <c r="H470" s="1"/>
  <c r="E471"/>
  <c r="H471" s="1"/>
  <c r="E472"/>
  <c r="H472" s="1"/>
</calcChain>
</file>

<file path=xl/sharedStrings.xml><?xml version="1.0" encoding="utf-8"?>
<sst xmlns="http://schemas.openxmlformats.org/spreadsheetml/2006/main" count="48058" uniqueCount="4914">
  <si>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</si>
  <si>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</si>
  <si>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</si>
  <si>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</si>
  <si>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</si>
  <si>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</si>
  <si>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</si>
  <si>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</si>
  <si>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</si>
  <si>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</si>
  <si>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</si>
  <si>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</si>
  <si>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</si>
  <si>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</si>
  <si>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</si>
  <si>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</si>
  <si>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</si>
  <si>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</si>
  <si>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</si>
  <si>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</si>
  <si>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</si>
  <si>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</si>
  <si>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</si>
  <si>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</si>
  <si>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</si>
  <si>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</si>
  <si>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</si>
  <si>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</si>
  <si>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</si>
  <si>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</si>
  <si>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</si>
  <si>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</si>
  <si>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</si>
  <si>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</si>
  <si>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</si>
  <si>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</si>
  <si>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</si>
  <si>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</si>
  <si>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</si>
  <si>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</si>
  <si>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</si>
  <si>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</si>
  <si>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</si>
  <si>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</si>
  <si>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</si>
  <si>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</si>
  <si>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</si>
  <si>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</si>
  <si>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</si>
  <si>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</si>
  <si>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</si>
  <si>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</si>
  <si>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</si>
  <si>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</si>
  <si>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</si>
  <si>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</si>
  <si>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</si>
  <si>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</si>
  <si>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</si>
  <si>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</si>
  <si>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</si>
  <si>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</si>
  <si>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</si>
  <si>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</si>
  <si>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</si>
  <si>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</si>
  <si>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</si>
  <si>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</si>
  <si>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</si>
  <si>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</si>
  <si>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</si>
  <si>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</si>
  <si>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</si>
  <si>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</si>
  <si>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</si>
  <si>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</si>
  <si>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</si>
  <si>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</si>
  <si>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</si>
  <si>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</si>
  <si>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</si>
  <si>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</si>
  <si>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</si>
  <si>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</si>
  <si>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</si>
  <si>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</si>
  <si>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</si>
  <si>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</si>
  <si>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</si>
  <si>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</si>
  <si>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</si>
  <si>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</si>
  <si>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</si>
  <si>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</si>
  <si>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</si>
  <si>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</si>
  <si>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</si>
  <si>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</si>
  <si>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</si>
  <si>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</si>
  <si>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</si>
  <si>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</si>
  <si>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</si>
  <si>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</si>
  <si>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</si>
  <si>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</si>
  <si>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</si>
  <si>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</si>
  <si>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</si>
  <si>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</si>
  <si>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</si>
  <si>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</si>
  <si>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</si>
  <si>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</si>
  <si>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</si>
  <si>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</si>
  <si>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</si>
  <si>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</si>
  <si>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</si>
  <si>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</si>
  <si>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</si>
  <si>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</si>
  <si>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</si>
  <si>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</si>
  <si>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</si>
  <si>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</si>
  <si>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</si>
  <si>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</si>
  <si>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</si>
  <si>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</si>
  <si>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</si>
  <si>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</si>
  <si>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</si>
  <si>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</si>
  <si>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</si>
  <si>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</si>
  <si>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</si>
  <si>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</si>
  <si>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</si>
  <si>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</si>
  <si>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</si>
  <si>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</si>
  <si>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</si>
  <si>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</si>
  <si>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</si>
  <si>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</si>
  <si>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</si>
  <si>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</si>
  <si>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</si>
  <si>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</si>
  <si>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</si>
  <si>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</si>
  <si>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</si>
  <si>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</si>
  <si>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</si>
  <si>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</si>
  <si>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</si>
  <si>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</si>
  <si>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</si>
  <si>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</si>
  <si>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</si>
  <si>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</si>
  <si>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</si>
  <si>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</si>
  <si>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</si>
  <si>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</si>
  <si>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</si>
  <si>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</si>
  <si>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</si>
  <si>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</si>
  <si>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</si>
  <si>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</si>
  <si>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</si>
  <si>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</si>
  <si>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</si>
  <si>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</si>
  <si>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</si>
  <si>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</si>
  <si>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</si>
  <si>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</si>
  <si>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</si>
  <si>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</si>
  <si>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</si>
  <si>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</si>
  <si>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</si>
  <si>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</si>
  <si>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</si>
  <si>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</si>
  <si>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</si>
  <si>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</si>
  <si>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</si>
  <si>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</si>
  <si>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</si>
  <si>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</si>
  <si>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</si>
  <si>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</si>
  <si>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</si>
  <si>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</si>
  <si>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</si>
  <si>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</si>
  <si>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</si>
  <si>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</si>
  <si>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</si>
  <si>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</si>
  <si>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</si>
  <si>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</si>
  <si>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</si>
  <si>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</si>
  <si>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</si>
  <si>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</si>
  <si>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</si>
  <si>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</si>
  <si>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</si>
  <si>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</si>
  <si>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</si>
  <si>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</si>
  <si>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</si>
  <si>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</si>
  <si>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</si>
  <si>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</si>
  <si>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</si>
  <si>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</si>
  <si>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</si>
  <si>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</si>
  <si>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</si>
  <si>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</si>
  <si>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</si>
  <si>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</si>
  <si>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</si>
  <si>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</si>
  <si>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</si>
  <si>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</si>
  <si>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</si>
  <si>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</si>
  <si>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</si>
  <si>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</si>
  <si>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</si>
  <si>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</si>
  <si>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</si>
  <si>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</si>
  <si>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</si>
  <si>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</si>
  <si>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</si>
  <si>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</si>
  <si>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</si>
  <si>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</si>
  <si>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</si>
  <si>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</si>
  <si>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</si>
  <si>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</si>
  <si>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</si>
  <si>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</si>
  <si>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</si>
  <si>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</si>
  <si>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</si>
  <si>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</si>
  <si>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</si>
  <si>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</si>
  <si>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</si>
  <si>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</si>
  <si>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</si>
  <si>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</si>
  <si>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</si>
  <si>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</si>
  <si>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</si>
  <si>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</si>
  <si>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</si>
  <si>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</si>
  <si>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</si>
  <si>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</si>
  <si>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</si>
  <si>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</si>
  <si>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</si>
  <si>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</si>
  <si>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</si>
  <si>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</si>
  <si>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</si>
  <si>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</si>
  <si>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</si>
  <si>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</si>
  <si>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</si>
  <si>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</si>
  <si>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</si>
  <si>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</si>
  <si>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</si>
  <si>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</si>
  <si>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</si>
  <si>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</si>
  <si>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</si>
  <si>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</si>
  <si>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</si>
  <si>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</si>
  <si>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</si>
  <si>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</si>
  <si>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</si>
  <si>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</si>
  <si>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</si>
  <si>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</si>
  <si>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</si>
  <si>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</si>
  <si>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</si>
  <si>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</si>
  <si>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</si>
  <si>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</si>
  <si>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</si>
  <si>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</si>
  <si>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</si>
  <si>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</si>
  <si>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</si>
  <si>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</si>
  <si>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</si>
  <si>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</si>
  <si>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</si>
  <si>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</si>
  <si>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</si>
  <si>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</si>
  <si>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</si>
  <si>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</si>
  <si>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</si>
  <si>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</si>
  <si>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</si>
  <si>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</si>
  <si>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</si>
  <si>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</si>
  <si>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</si>
  <si>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</si>
  <si>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</si>
  <si>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</si>
  <si>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</si>
  <si>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</si>
  <si>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</si>
  <si>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</si>
  <si>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</si>
  <si>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</si>
  <si>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</si>
  <si>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</si>
  <si>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</si>
  <si>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</si>
  <si>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</si>
  <si>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</si>
  <si>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</si>
  <si>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</si>
  <si>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</si>
  <si>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</si>
  <si>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</si>
  <si>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</si>
  <si>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</si>
  <si>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</si>
  <si>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</si>
  <si>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</si>
  <si>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</si>
  <si>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</si>
  <si>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</si>
  <si>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</si>
  <si>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</si>
  <si>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</si>
  <si>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</si>
  <si>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</si>
  <si>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</si>
  <si>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</si>
  <si>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</si>
  <si>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</si>
  <si>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</si>
  <si>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</si>
  <si>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</si>
  <si>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</si>
  <si>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</si>
  <si>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</si>
  <si>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</si>
  <si>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</si>
  <si>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</si>
  <si>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</si>
  <si>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</si>
  <si>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</si>
  <si>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</si>
  <si>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</si>
  <si>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</si>
  <si>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</si>
  <si>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</si>
  <si>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</si>
  <si>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</si>
  <si>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</si>
  <si>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</si>
  <si>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</si>
  <si>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</si>
  <si>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</si>
  <si>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</si>
  <si>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</si>
  <si>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</si>
  <si>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</si>
  <si>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</si>
  <si>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</si>
  <si>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</si>
  <si>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</si>
  <si>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</si>
  <si>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</si>
  <si>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</si>
  <si>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</si>
  <si>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</si>
  <si>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</si>
  <si>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</si>
  <si>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</si>
  <si>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</si>
  <si>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</si>
  <si>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</si>
  <si>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</si>
  <si>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</si>
  <si>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</si>
  <si>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</si>
  <si>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</si>
  <si>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</si>
  <si>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</si>
  <si>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</si>
  <si>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</si>
  <si>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</si>
  <si>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</si>
  <si>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</si>
  <si>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</si>
  <si>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</si>
  <si>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</si>
  <si>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</si>
  <si>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</si>
  <si>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</si>
  <si>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</si>
  <si>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</si>
  <si>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</si>
  <si>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</si>
  <si>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</si>
  <si>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</si>
  <si>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</si>
  <si>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</si>
  <si>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</si>
  <si>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</si>
  <si>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</si>
  <si>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</si>
  <si>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</si>
  <si>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</si>
  <si>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</si>
  <si>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</si>
  <si>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</si>
  <si>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</si>
  <si>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</si>
  <si>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</si>
  <si>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</si>
  <si>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</si>
  <si>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</si>
  <si>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</si>
  <si>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</si>
  <si>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</si>
  <si>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</si>
  <si>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</si>
  <si>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</si>
  <si>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</si>
  <si>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</si>
  <si>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</si>
  <si>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</si>
  <si>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</si>
  <si>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</si>
  <si>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</si>
  <si>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</si>
  <si>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</si>
  <si>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</si>
  <si>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</si>
  <si>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</si>
  <si>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</si>
  <si>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</si>
  <si>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</si>
  <si>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</si>
  <si>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</si>
  <si>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</si>
  <si>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</si>
  <si>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</si>
  <si>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</si>
  <si>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</si>
  <si>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</si>
  <si>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</si>
  <si>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</si>
  <si>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</si>
  <si>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</si>
  <si>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</si>
  <si>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</si>
  <si>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</si>
  <si>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</si>
  <si>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</si>
  <si>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</si>
  <si>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</si>
  <si>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</si>
  <si>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</si>
  <si>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</si>
  <si>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</si>
  <si>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</si>
  <si>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</si>
  <si>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</si>
  <si>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</si>
  <si>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</si>
  <si>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</si>
  <si>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</si>
  <si>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</si>
  <si>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</si>
  <si>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</si>
  <si>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</si>
  <si>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</si>
  <si>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</si>
  <si>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</si>
  <si>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</si>
  <si>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</si>
  <si>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</si>
  <si>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</si>
  <si>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</si>
  <si>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</si>
  <si>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</si>
  <si>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</si>
  <si>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</si>
  <si>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</si>
  <si>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</si>
  <si>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</si>
  <si>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</si>
  <si>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</si>
  <si>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</si>
  <si>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</si>
  <si>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</si>
  <si>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</si>
  <si>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</si>
  <si>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</si>
  <si>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</si>
  <si>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</si>
  <si>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</si>
  <si>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</si>
  <si>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</si>
  <si>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</si>
  <si>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</si>
  <si>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</si>
  <si>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</si>
  <si>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</si>
  <si>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</si>
  <si>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</si>
  <si>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</si>
  <si>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</si>
  <si>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</si>
  <si>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</si>
  <si>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</si>
  <si>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</si>
  <si>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</si>
  <si>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</si>
  <si>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</si>
  <si>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</si>
  <si>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</si>
  <si>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</si>
  <si>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</si>
  <si>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</si>
  <si>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</si>
  <si>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</si>
  <si>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</si>
  <si>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</si>
  <si>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</si>
  <si>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</si>
  <si>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</si>
  <si>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</si>
  <si>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</si>
  <si>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</si>
  <si>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</si>
  <si>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</si>
  <si>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</si>
  <si>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</si>
  <si>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</si>
  <si>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</si>
  <si>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</si>
  <si>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</si>
  <si>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</si>
  <si>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</si>
  <si>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</si>
  <si>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</si>
  <si>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</si>
  <si>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</si>
  <si>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</si>
  <si>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</si>
  <si>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</si>
  <si>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</si>
  <si>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</si>
  <si>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</si>
  <si>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</si>
  <si>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</si>
  <si>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</si>
  <si>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</si>
  <si>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</si>
  <si>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</si>
  <si>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</si>
  <si>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</si>
  <si>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</si>
  <si>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</si>
  <si>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</si>
  <si>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</si>
  <si>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</si>
  <si>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</si>
  <si>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</si>
  <si>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</si>
  <si>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</si>
  <si>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</si>
  <si>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</si>
  <si>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</si>
  <si>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</si>
  <si>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</si>
  <si>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</si>
  <si>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</si>
  <si>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</si>
  <si>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</si>
  <si>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</si>
  <si>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</si>
  <si>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</si>
  <si>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</si>
  <si>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</si>
  <si>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</si>
  <si>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</si>
  <si>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</si>
  <si>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</si>
  <si>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</si>
  <si>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</si>
  <si>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</si>
  <si>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</si>
  <si>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</si>
  <si>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</si>
  <si>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</si>
  <si>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</si>
  <si>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</si>
  <si>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</si>
  <si>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</si>
  <si>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</si>
  <si>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</si>
  <si>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</si>
  <si>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</si>
  <si>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</si>
  <si>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</si>
  <si>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</si>
  <si>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</si>
  <si>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</si>
  <si>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</si>
  <si>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</si>
  <si>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</si>
  <si>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</si>
  <si>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</si>
  <si>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</si>
  <si>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</si>
  <si>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</si>
  <si>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</si>
  <si>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</si>
  <si>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</si>
  <si>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</si>
  <si>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</si>
  <si>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</si>
  <si>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</si>
  <si>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</si>
  <si>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</si>
  <si>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</si>
  <si>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</si>
  <si>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</si>
  <si>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</si>
  <si>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</si>
  <si>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</si>
  <si>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</si>
  <si>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</si>
  <si>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</si>
  <si>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</si>
  <si>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</si>
  <si>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</si>
  <si>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</si>
  <si>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</si>
  <si>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</si>
  <si>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</si>
  <si>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</si>
  <si>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</si>
  <si>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</si>
  <si>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</si>
  <si>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</si>
  <si>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</si>
  <si>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</si>
  <si>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</si>
  <si>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</si>
  <si>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</si>
  <si>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</si>
  <si>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</si>
  <si>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</si>
  <si>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</si>
  <si>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</si>
  <si>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</si>
  <si>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</si>
  <si>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</si>
  <si>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</si>
  <si>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</si>
  <si>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</si>
  <si>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</si>
  <si>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</si>
  <si>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</si>
  <si>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</si>
  <si>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</si>
  <si>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</si>
  <si>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</si>
  <si>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</si>
  <si>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</si>
  <si>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</si>
  <si>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</si>
  <si>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</si>
  <si>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</si>
  <si>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</si>
  <si>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</si>
  <si>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</si>
  <si>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</si>
  <si>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</si>
  <si>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</si>
  <si>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</si>
  <si>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</si>
  <si>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</si>
  <si>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</si>
  <si>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</si>
  <si>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</si>
  <si>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</si>
  <si>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</si>
  <si>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</si>
  <si>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</si>
  <si>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</si>
  <si>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</si>
  <si>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</si>
  <si>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</si>
  <si>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</si>
  <si>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</si>
  <si>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</si>
  <si>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</si>
  <si>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</si>
  <si>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</si>
  <si>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</si>
  <si>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</si>
  <si>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</si>
  <si>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</si>
  <si>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</si>
  <si>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</si>
  <si>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</si>
  <si>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</si>
  <si>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</si>
  <si>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</si>
  <si>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</si>
  <si>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</si>
  <si>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</si>
  <si>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</si>
  <si>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</si>
  <si>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</si>
  <si>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</si>
  <si>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</si>
  <si>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</si>
  <si>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</si>
  <si>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</si>
  <si>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</si>
  <si>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</si>
  <si>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</si>
  <si>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</si>
  <si>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</si>
  <si>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</si>
  <si>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</si>
  <si>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</si>
  <si>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</si>
  <si>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</si>
  <si>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</si>
  <si>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</si>
  <si>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</si>
  <si>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</si>
  <si>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</si>
  <si>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</si>
  <si>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</si>
  <si>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</si>
  <si>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</si>
  <si>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</si>
  <si>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</si>
  <si>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</si>
  <si>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</si>
  <si>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</si>
  <si>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</si>
  <si>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</si>
  <si>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</si>
  <si>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</si>
  <si>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</si>
  <si>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</si>
  <si>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</si>
  <si>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</si>
  <si>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</si>
  <si>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</si>
  <si>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</si>
  <si>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</si>
  <si>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</si>
  <si>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</si>
  <si>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</si>
  <si>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</si>
  <si>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</si>
  <si>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</si>
  <si>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</si>
  <si>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</si>
  <si>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</si>
  <si>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</si>
  <si>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</si>
  <si>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</si>
  <si>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</si>
  <si>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</si>
  <si>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</si>
  <si>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</si>
  <si>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</si>
  <si>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</si>
  <si>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</si>
  <si>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</si>
  <si>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</si>
  <si>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</si>
  <si>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</si>
  <si>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</si>
  <si>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</si>
  <si>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</si>
  <si>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</si>
  <si>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</si>
  <si>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</si>
  <si>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</si>
  <si>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</si>
  <si>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</si>
  <si>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</si>
  <si>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</si>
  <si>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</si>
  <si>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</si>
  <si>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</si>
  <si>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</si>
  <si>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</si>
  <si>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</si>
  <si>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</si>
  <si>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</si>
  <si>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</si>
  <si>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</si>
  <si>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</si>
  <si>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</si>
  <si>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</si>
  <si>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</si>
  <si>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</si>
  <si>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</si>
  <si>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</si>
  <si>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</si>
  <si>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</si>
  <si>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</si>
  <si>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</si>
  <si>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</si>
  <si>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</si>
  <si>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</si>
  <si>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</si>
  <si>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</si>
  <si>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</si>
  <si>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</si>
  <si>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</si>
  <si>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</si>
  <si>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</si>
  <si>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</si>
  <si>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</si>
  <si>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</si>
  <si>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</si>
  <si>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</si>
  <si>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</si>
  <si>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</si>
  <si>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</si>
  <si>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</si>
  <si>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</si>
  <si>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</si>
  <si>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</si>
  <si>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</si>
  <si>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</si>
  <si>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</si>
  <si>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</si>
  <si>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</si>
  <si>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</si>
  <si>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</si>
  <si>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</si>
  <si>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</si>
  <si>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</si>
  <si>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</si>
  <si>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</si>
  <si>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</si>
  <si>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</si>
  <si>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</si>
  <si>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</si>
  <si>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</si>
  <si>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</si>
  <si>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</si>
  <si>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</si>
  <si>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</si>
  <si>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</si>
  <si>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</si>
  <si>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</si>
  <si>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</si>
  <si>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</si>
  <si>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</si>
  <si>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</si>
  <si>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</si>
  <si>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</si>
  <si>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</si>
  <si>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</si>
  <si>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</si>
  <si>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</si>
  <si>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</si>
  <si>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</si>
  <si>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</si>
  <si>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</si>
  <si>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</si>
  <si>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</si>
  <si>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</si>
  <si>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</si>
  <si>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</si>
  <si>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</si>
  <si>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</si>
  <si>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</si>
  <si>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</si>
  <si>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</si>
  <si>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</si>
  <si>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</si>
  <si>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</si>
  <si>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</si>
  <si>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</si>
  <si>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</si>
  <si>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</si>
  <si>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</si>
  <si>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</si>
  <si>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</si>
  <si>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</si>
  <si>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</si>
  <si>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</si>
  <si>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</si>
  <si>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</si>
  <si>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</si>
  <si>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</si>
  <si>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</si>
  <si>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</si>
  <si>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</si>
  <si>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</si>
  <si>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</si>
  <si>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</si>
  <si>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</si>
  <si>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</si>
  <si>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</si>
  <si>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</si>
  <si>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</si>
  <si>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</si>
  <si>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</si>
  <si>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</si>
  <si>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</si>
  <si>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</si>
  <si>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</si>
  <si>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</si>
  <si>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</si>
  <si>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</si>
  <si>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</si>
  <si>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</si>
  <si>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</si>
  <si>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</si>
  <si>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</si>
  <si>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</si>
  <si>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</si>
  <si>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</si>
  <si>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</si>
  <si>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</si>
  <si>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</si>
  <si>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</si>
  <si>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</si>
  <si>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</si>
  <si>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</si>
  <si>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</si>
  <si>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</si>
  <si>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</si>
  <si>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</si>
  <si>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</si>
  <si>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</si>
  <si>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</si>
  <si>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</si>
  <si>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</si>
  <si>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</si>
  <si>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</si>
  <si>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</si>
  <si>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</si>
  <si>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</si>
  <si>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</si>
  <si>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</si>
  <si>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</si>
  <si>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</si>
  <si>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</si>
  <si>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</si>
  <si>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</si>
  <si>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</si>
  <si>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</si>
  <si>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</si>
  <si>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</si>
  <si>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</si>
  <si>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</si>
  <si>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</si>
  <si>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</si>
  <si>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</si>
  <si>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</si>
  <si>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</si>
  <si>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</si>
  <si>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</si>
  <si>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</si>
  <si>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</si>
  <si>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</si>
  <si>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</si>
  <si>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</si>
  <si>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</si>
  <si>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</si>
  <si>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</si>
  <si>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</si>
  <si>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</si>
  <si>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</si>
  <si>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</si>
  <si>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</si>
  <si>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</si>
  <si>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</si>
  <si>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</si>
  <si>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</si>
  <si>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</si>
  <si>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</si>
  <si>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</si>
  <si>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</si>
  <si>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</si>
  <si>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</si>
  <si>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</si>
  <si>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</si>
  <si>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</si>
  <si>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</si>
  <si>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</si>
  <si>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</si>
  <si>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</si>
  <si>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</si>
  <si>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</si>
  <si>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</si>
  <si>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</si>
  <si>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</si>
  <si>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</si>
  <si>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</si>
  <si>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</si>
  <si>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</si>
  <si>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</si>
  <si>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</si>
  <si>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</si>
  <si>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</si>
  <si>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</si>
  <si>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</si>
  <si>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</si>
  <si>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</si>
  <si>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</si>
  <si>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</si>
  <si>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</si>
  <si>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</si>
  <si>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</si>
  <si>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</si>
  <si>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</si>
  <si>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</si>
  <si>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</si>
  <si>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</si>
  <si>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</si>
  <si>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</si>
  <si>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</si>
  <si>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</si>
  <si>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</si>
  <si>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</si>
  <si>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</si>
  <si>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</si>
  <si>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</si>
  <si>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</si>
  <si>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</si>
  <si>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</si>
  <si>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</si>
  <si>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</si>
  <si>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</si>
  <si>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</si>
  <si>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</si>
  <si>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</si>
  <si>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</si>
  <si>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</si>
  <si>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</si>
  <si>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</si>
  <si>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</si>
  <si>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</si>
  <si>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</si>
  <si>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</si>
  <si>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</si>
  <si>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</si>
  <si>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</si>
  <si>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</si>
  <si>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</si>
  <si>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</si>
  <si>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</si>
  <si>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</si>
  <si>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</si>
  <si>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</si>
  <si>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</si>
  <si>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</si>
  <si>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</si>
  <si>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</si>
  <si>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</si>
  <si>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</si>
  <si>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</si>
  <si>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</si>
  <si>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</si>
  <si>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</si>
  <si>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</si>
  <si>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</si>
  <si>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</si>
  <si>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</si>
  <si>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</si>
  <si>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</si>
  <si>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</si>
  <si>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</si>
  <si>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</si>
  <si>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</si>
  <si>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</si>
  <si>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</si>
  <si>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</si>
  <si>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</si>
  <si>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</si>
  <si>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</si>
  <si>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</si>
  <si>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</si>
  <si>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</si>
  <si>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</si>
  <si>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</si>
  <si>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</si>
  <si>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</si>
  <si>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</si>
  <si>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</si>
  <si>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</si>
  <si>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</si>
  <si>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</si>
  <si>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</si>
  <si>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</si>
  <si>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</si>
  <si>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</si>
  <si>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</si>
  <si>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</si>
  <si>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</si>
  <si>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</si>
  <si>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</si>
  <si>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</si>
  <si>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</si>
  <si>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</si>
  <si>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</si>
  <si>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</si>
  <si>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</si>
  <si>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</si>
  <si>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</si>
  <si>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</si>
  <si>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</si>
  <si>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</si>
  <si>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</si>
  <si>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</si>
  <si>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</si>
  <si>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</si>
  <si>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</si>
  <si>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</si>
  <si>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</si>
  <si>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</si>
  <si>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</si>
  <si>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</si>
  <si>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</si>
  <si>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</si>
  <si>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</si>
  <si>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</si>
  <si>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</si>
  <si>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</si>
  <si>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</si>
  <si>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</si>
  <si>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</si>
  <si>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</si>
  <si>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</si>
  <si>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</si>
  <si>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</si>
  <si>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</si>
  <si>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</si>
  <si>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</si>
  <si>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</si>
  <si>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</si>
  <si>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</si>
  <si>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</si>
  <si>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</si>
  <si>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</si>
  <si>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</si>
  <si>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</si>
  <si>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</si>
  <si>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</si>
  <si>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</si>
  <si>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</si>
  <si>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</si>
  <si>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</si>
  <si>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</si>
  <si>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</si>
  <si>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</si>
  <si>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</si>
  <si>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</si>
  <si>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</si>
  <si>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</si>
  <si>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</si>
  <si>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</si>
  <si>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</si>
  <si>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</si>
  <si>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</si>
  <si>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</si>
  <si>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</si>
  <si>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</si>
  <si>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</si>
  <si>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</si>
  <si>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</si>
  <si>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</si>
  <si>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</si>
  <si>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</si>
  <si>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</si>
  <si>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</si>
  <si>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</si>
  <si>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</si>
  <si>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</si>
  <si>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</si>
  <si>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</si>
  <si>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</si>
  <si>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</si>
  <si>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</si>
  <si>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</si>
  <si>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</si>
  <si>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</si>
  <si>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</si>
  <si>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</si>
  <si>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</si>
  <si>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</si>
  <si>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</si>
  <si>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</si>
  <si>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</si>
  <si>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</si>
  <si>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</si>
  <si>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</si>
  <si>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</si>
  <si>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</si>
  <si>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</si>
  <si>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</si>
  <si>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</si>
  <si>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</si>
  <si>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</si>
  <si>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</si>
  <si>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</si>
  <si>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</si>
  <si>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</si>
  <si>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</si>
  <si>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</si>
  <si>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</si>
  <si>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</si>
  <si>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</si>
  <si>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</si>
  <si>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</si>
  <si>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</si>
  <si>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</si>
  <si>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</si>
  <si>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</si>
  <si>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</si>
  <si>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</si>
  <si>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</si>
  <si>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</si>
  <si>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</si>
  <si>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</si>
  <si>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</si>
  <si>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</si>
  <si>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</si>
  <si>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</si>
  <si>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</si>
  <si>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</si>
  <si>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</si>
  <si>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</si>
  <si>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</si>
  <si>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</si>
  <si>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</si>
  <si>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</si>
  <si>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</si>
  <si>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</si>
  <si>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</si>
  <si>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</si>
  <si>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</si>
  <si>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</si>
  <si>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</si>
  <si>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</si>
  <si>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</si>
  <si>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</si>
  <si>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</si>
  <si>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</si>
  <si>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</si>
  <si>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</si>
  <si>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</si>
  <si>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</si>
  <si>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</si>
  <si>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</si>
  <si>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</si>
  <si>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</si>
  <si>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</si>
  <si>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</si>
  <si>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</si>
  <si>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</si>
  <si>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</si>
  <si>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</si>
  <si>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</si>
  <si>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</si>
  <si>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</si>
  <si>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</si>
  <si>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</si>
  <si>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</si>
  <si>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</si>
  <si>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</si>
  <si>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</si>
  <si>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</si>
  <si>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</si>
  <si>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</si>
  <si>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</si>
  <si>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</si>
  <si>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</si>
  <si>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</si>
  <si>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</si>
  <si>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</si>
  <si>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</si>
  <si>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</si>
  <si>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</si>
  <si>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</si>
  <si>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</si>
  <si>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</si>
  <si>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</si>
  <si>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</si>
  <si>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</si>
  <si>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</si>
  <si>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</si>
  <si>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</si>
  <si>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</si>
  <si>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</si>
  <si>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</si>
  <si>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</si>
  <si>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</si>
  <si>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</si>
  <si>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</si>
  <si>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</si>
  <si>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</si>
  <si>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</si>
  <si>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</si>
  <si>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</si>
  <si>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</si>
  <si>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</si>
  <si>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</si>
  <si>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</si>
  <si>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</si>
  <si>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</si>
  <si>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</si>
  <si>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</si>
  <si>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</si>
  <si>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</si>
  <si>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</si>
  <si>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</si>
  <si>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</si>
  <si>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</si>
  <si>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</si>
  <si>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</si>
  <si>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</si>
  <si>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</si>
  <si>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</si>
  <si>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</si>
  <si>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</si>
  <si>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</si>
  <si>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</si>
  <si>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</si>
  <si>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</si>
  <si>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</si>
  <si>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</si>
  <si>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</si>
  <si>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</si>
  <si>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</si>
  <si>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</si>
  <si>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</si>
  <si>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</si>
  <si>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</si>
  <si>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</si>
  <si>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</si>
  <si>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</si>
  <si>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</si>
  <si>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</si>
  <si>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</si>
  <si>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</si>
  <si>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</si>
  <si>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</si>
  <si>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</si>
  <si>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</si>
  <si>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</si>
  <si>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</si>
  <si>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</si>
  <si>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</si>
  <si>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</si>
  <si>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</si>
  <si>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</si>
  <si>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</si>
  <si>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</si>
  <si>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</si>
  <si>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</si>
  <si>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</si>
  <si>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</si>
  <si>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</si>
  <si>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</si>
  <si>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</si>
  <si>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</si>
  <si>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</si>
  <si>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</si>
  <si>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</si>
  <si>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</si>
  <si>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</si>
  <si>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</si>
  <si>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</si>
  <si>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</si>
  <si>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</si>
  <si>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</si>
  <si>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</si>
  <si>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</si>
  <si>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</si>
  <si>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</si>
  <si>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</si>
  <si>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</si>
  <si>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</si>
  <si>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</si>
  <si>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</si>
  <si>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</si>
  <si>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</si>
  <si>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</si>
  <si>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</si>
  <si>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</si>
  <si>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</si>
  <si>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</si>
  <si>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</si>
  <si>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</si>
  <si>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</si>
  <si>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</si>
  <si>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</si>
  <si>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</si>
  <si>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</si>
  <si>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</si>
  <si>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</si>
  <si>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</si>
  <si>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</si>
  <si>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</si>
  <si>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</si>
  <si>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</si>
  <si>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</si>
  <si>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</si>
  <si>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</si>
  <si>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</si>
  <si>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</si>
  <si>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</si>
  <si>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</si>
  <si>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</si>
  <si>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</si>
  <si>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</si>
  <si>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</si>
  <si>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</si>
  <si>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</si>
  <si>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</si>
  <si>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</si>
  <si>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</si>
  <si>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</si>
  <si>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</si>
  <si>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</si>
  <si>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</si>
  <si>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</si>
  <si>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</si>
  <si>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</si>
  <si>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</si>
  <si>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</si>
  <si>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</si>
  <si>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</si>
  <si>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</si>
  <si>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</si>
  <si>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</si>
  <si>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</si>
  <si>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</si>
  <si>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</si>
  <si>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</si>
  <si>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</si>
  <si>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</si>
  <si>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</si>
  <si>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</si>
  <si>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</si>
  <si>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</si>
  <si>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</si>
  <si>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</si>
  <si>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</si>
  <si>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</si>
  <si>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</si>
  <si>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</si>
  <si>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</si>
  <si>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</si>
  <si>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</si>
  <si>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</si>
  <si>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</si>
  <si>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</si>
  <si>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</si>
  <si>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</si>
  <si>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</si>
  <si>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</si>
  <si>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</si>
  <si>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</si>
  <si>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</si>
  <si>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</si>
  <si>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</si>
  <si>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</si>
  <si>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</si>
  <si>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</si>
  <si>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</si>
  <si>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</si>
  <si>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</si>
  <si>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</si>
  <si>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</si>
  <si>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</si>
  <si>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</si>
  <si>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</si>
  <si>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</si>
  <si>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</si>
  <si>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</si>
  <si>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</si>
  <si>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</si>
  <si>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</si>
  <si>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</si>
  <si>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</si>
  <si>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</si>
  <si>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</si>
  <si>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</si>
  <si>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</si>
  <si>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</si>
  <si>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</si>
  <si>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</si>
  <si>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</si>
  <si>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</si>
  <si>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</si>
  <si>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</si>
  <si>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</si>
  <si>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</si>
  <si>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</si>
  <si>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</si>
  <si>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</si>
  <si>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</si>
  <si>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</si>
  <si>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</si>
  <si>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</si>
  <si>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</si>
  <si>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</si>
  <si>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</si>
  <si>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</si>
  <si>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</si>
  <si>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</si>
  <si>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</si>
  <si>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</si>
  <si>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</si>
  <si>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</si>
  <si>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</si>
  <si>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</si>
  <si>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</si>
  <si>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</si>
  <si>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</si>
  <si>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</si>
  <si>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</si>
  <si>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</si>
  <si>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</si>
  <si>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</si>
  <si>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</si>
  <si>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</si>
  <si>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</si>
  <si>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</si>
  <si>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</si>
  <si>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</si>
  <si>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</si>
  <si>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</si>
  <si>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</si>
  <si>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</si>
  <si>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</si>
  <si>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</si>
  <si>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</si>
  <si>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</si>
  <si>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</si>
  <si>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</si>
  <si>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</si>
  <si>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</si>
  <si>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</si>
  <si>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</si>
  <si>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</si>
  <si>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</si>
  <si>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</si>
  <si>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</si>
  <si>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</si>
  <si>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</si>
  <si>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</si>
  <si>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</si>
  <si>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</si>
  <si>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</si>
  <si>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</si>
  <si>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</si>
  <si>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</si>
  <si>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</si>
  <si>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</si>
  <si>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</si>
  <si>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</si>
  <si>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</si>
  <si>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</si>
  <si>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</si>
  <si>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</si>
  <si>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</si>
  <si>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</si>
  <si>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</si>
  <si>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</si>
  <si>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</si>
  <si>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</si>
  <si>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</si>
  <si>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</si>
  <si>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</si>
  <si>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</si>
  <si>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</si>
  <si>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</si>
  <si>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</si>
  <si>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</si>
  <si>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</si>
  <si>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</si>
  <si>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</si>
  <si>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</si>
  <si>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</si>
  <si>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</si>
  <si>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</si>
  <si>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</si>
  <si>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</si>
  <si>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</si>
  <si>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</si>
  <si>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</si>
  <si>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</si>
  <si>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</si>
  <si>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</si>
  <si>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</si>
  <si>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</si>
  <si>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</si>
  <si>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</si>
  <si>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</si>
  <si>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</si>
  <si>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</si>
  <si>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</si>
  <si>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</si>
  <si>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</si>
  <si>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</si>
  <si>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</si>
  <si>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</si>
  <si>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</si>
  <si>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</si>
  <si>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</si>
  <si>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</si>
  <si>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</si>
  <si>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</si>
  <si>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</si>
  <si>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</si>
  <si>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</si>
  <si>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</si>
  <si>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</si>
  <si>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</si>
  <si>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</si>
  <si>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</si>
  <si>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</si>
  <si>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</si>
  <si>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</si>
  <si>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</si>
  <si>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</si>
  <si>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</si>
  <si>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</si>
  <si>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</si>
  <si>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</si>
  <si>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</si>
  <si>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</si>
  <si>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</si>
  <si>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</si>
  <si>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</si>
  <si>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</si>
  <si>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</si>
  <si>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</si>
  <si>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</si>
  <si>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</si>
  <si>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</si>
  <si>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</si>
  <si>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</si>
  <si>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</si>
  <si>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</si>
  <si>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</si>
  <si>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</si>
  <si>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</si>
  <si>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</si>
  <si>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</si>
  <si>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</si>
  <si>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</si>
  <si>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</si>
  <si>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</si>
  <si>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</si>
  <si>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</si>
  <si>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</si>
  <si>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</si>
  <si>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</si>
  <si>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</si>
  <si>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</si>
  <si>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</si>
  <si>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</si>
  <si>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</si>
  <si>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</si>
  <si>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</si>
  <si>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</si>
  <si>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</si>
  <si>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</si>
  <si>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</si>
  <si>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</si>
  <si>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</si>
  <si>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</si>
  <si>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</si>
  <si>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</si>
  <si>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</si>
  <si>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</si>
  <si>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</si>
  <si>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</si>
  <si>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</si>
  <si>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</si>
  <si>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</si>
  <si>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</si>
  <si>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</si>
  <si>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</si>
  <si>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</si>
  <si>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</si>
  <si>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</si>
  <si>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</si>
  <si>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</si>
  <si>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</si>
  <si>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</si>
  <si>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</si>
  <si>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</si>
  <si>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</si>
  <si>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</si>
  <si>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</si>
  <si>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</si>
  <si>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</si>
  <si>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</si>
  <si>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</si>
  <si>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</si>
  <si>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</si>
  <si>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</si>
  <si>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</si>
  <si>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</si>
  <si>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</si>
  <si>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</si>
  <si>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</si>
  <si>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</si>
  <si>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</si>
  <si>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</si>
  <si>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</si>
  <si>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</si>
  <si>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</si>
  <si>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</si>
  <si>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</si>
  <si>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</si>
  <si>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</si>
  <si>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</si>
  <si>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</si>
  <si>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</si>
  <si>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</si>
  <si>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</si>
  <si>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</si>
  <si>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</si>
  <si>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</si>
  <si>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</si>
  <si>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</si>
  <si>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</si>
  <si>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</si>
  <si>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</si>
  <si>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</si>
  <si>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</si>
  <si>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</si>
  <si>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</si>
  <si>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</si>
  <si>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</si>
  <si>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</si>
  <si>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</si>
  <si>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</si>
  <si>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</si>
  <si>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</si>
  <si>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</si>
  <si>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</si>
  <si>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</si>
  <si>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</si>
  <si>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</si>
  <si>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</si>
  <si>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</si>
  <si>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</si>
  <si>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</si>
  <si>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</si>
  <si>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</si>
  <si>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</si>
  <si>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</si>
  <si>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</si>
  <si>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</si>
  <si>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</si>
  <si>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</si>
  <si>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</si>
  <si>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</si>
  <si>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</si>
  <si>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</si>
  <si>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</si>
  <si>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</si>
  <si>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</si>
  <si>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</si>
  <si>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</si>
  <si>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</si>
  <si>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</si>
  <si>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</si>
  <si>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</si>
  <si>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</si>
  <si>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</si>
  <si>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</si>
  <si>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</si>
  <si>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</si>
  <si>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</si>
  <si>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</si>
  <si>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</si>
  <si>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</si>
  <si>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</si>
  <si>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</si>
  <si>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</si>
  <si>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</si>
  <si>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</si>
  <si>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</si>
  <si>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</si>
  <si>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</si>
  <si>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</si>
  <si>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</si>
  <si>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</si>
  <si>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</si>
  <si>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</si>
  <si>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</si>
  <si>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</si>
  <si>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</si>
  <si>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</si>
  <si>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</si>
  <si>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</si>
  <si>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</si>
  <si>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</si>
  <si>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</si>
  <si>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</si>
  <si>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</si>
  <si>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</si>
  <si>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</si>
  <si>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</si>
  <si>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</si>
  <si>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</si>
  <si>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</si>
  <si>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</si>
  <si>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</si>
  <si>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</si>
  <si>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</si>
  <si>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</si>
  <si>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</si>
  <si>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</si>
  <si>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</si>
  <si>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</si>
  <si>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</si>
  <si>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</si>
  <si>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</si>
  <si>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</si>
  <si>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</si>
  <si>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</si>
  <si>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</si>
  <si>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</si>
  <si>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</si>
  <si>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</si>
  <si>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</si>
  <si>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</si>
  <si>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</si>
  <si>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</si>
  <si>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</si>
  <si>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</si>
  <si>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</si>
  <si>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</si>
  <si>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</si>
  <si>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</si>
  <si>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</si>
  <si>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</si>
  <si>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</si>
  <si>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</si>
  <si>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</si>
  <si>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</si>
  <si>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</si>
  <si>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</si>
  <si>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</si>
  <si>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</si>
  <si>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</si>
  <si>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</si>
  <si>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</si>
  <si>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</si>
  <si>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</si>
  <si>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</si>
  <si>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</si>
  <si>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</si>
  <si>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</si>
  <si>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</si>
  <si>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</si>
  <si>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</si>
  <si>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</si>
  <si>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</si>
  <si>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</si>
  <si>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</si>
  <si>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</si>
  <si>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</si>
  <si>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</si>
  <si>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</si>
  <si>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</si>
  <si>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</si>
  <si>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</si>
  <si>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</si>
  <si>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</si>
  <si>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</si>
  <si>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</si>
  <si>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</si>
  <si>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</si>
  <si>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</si>
  <si>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</si>
  <si>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</si>
  <si>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</si>
  <si>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</si>
  <si>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</si>
  <si>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</si>
  <si>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</si>
  <si>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</si>
  <si>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</si>
  <si>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</si>
  <si>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</si>
  <si>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</si>
  <si>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</si>
  <si>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</si>
  <si>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</si>
  <si>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</si>
  <si>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</si>
  <si>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</si>
  <si>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</si>
  <si>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</si>
  <si>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</si>
  <si>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</si>
  <si>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</si>
  <si>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</si>
  <si>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</si>
  <si>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</si>
  <si>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</si>
  <si>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</si>
  <si>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</si>
  <si>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</si>
  <si>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</si>
  <si>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</si>
  <si>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</si>
  <si>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</si>
  <si>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</si>
  <si>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</si>
  <si>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</si>
  <si>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</si>
  <si>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</si>
  <si>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</si>
  <si>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</si>
  <si>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</si>
  <si>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</si>
  <si>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</si>
  <si>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</si>
  <si>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</si>
  <si>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</si>
  <si>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</si>
  <si>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</si>
  <si>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</si>
  <si>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</si>
  <si>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</si>
  <si>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</si>
  <si>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</si>
  <si>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</si>
  <si>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</si>
  <si>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</si>
  <si>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</si>
  <si>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</si>
  <si>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</si>
  <si>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</si>
  <si>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</si>
  <si>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</si>
  <si>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</si>
  <si>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</si>
  <si>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</si>
  <si>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</si>
  <si>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</si>
  <si>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</si>
  <si>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</si>
  <si>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</si>
  <si>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</si>
  <si>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</si>
  <si>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</si>
  <si>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</si>
  <si>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</si>
  <si>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</si>
  <si>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</si>
  <si>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</si>
  <si>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</si>
  <si>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</si>
  <si>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</si>
  <si>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</si>
  <si>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</si>
  <si>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</si>
  <si>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</si>
  <si>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</si>
  <si>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</si>
  <si>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</si>
  <si>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</si>
  <si>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</si>
  <si>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</si>
  <si>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</si>
  <si>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</si>
  <si>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</si>
  <si>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</si>
  <si>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</si>
  <si>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</si>
  <si>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</si>
  <si>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</si>
  <si>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</si>
  <si>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</si>
  <si>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</si>
  <si>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</si>
  <si>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</si>
  <si>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</si>
  <si>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</si>
  <si>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</si>
  <si>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</si>
  <si>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</si>
  <si>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</si>
  <si>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</si>
  <si>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</si>
  <si>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</si>
  <si>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</si>
  <si>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</si>
  <si>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</si>
  <si>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</si>
  <si>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</si>
  <si>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</si>
  <si>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</si>
  <si>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</si>
  <si>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</si>
  <si>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</si>
  <si>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</si>
  <si>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</si>
  <si>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</si>
  <si>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</si>
  <si>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</si>
  <si>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</si>
  <si>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</si>
  <si>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</si>
  <si>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</si>
  <si>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</si>
  <si>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</si>
  <si>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</si>
  <si>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</si>
  <si>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</si>
  <si>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</si>
  <si>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</si>
  <si>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</si>
  <si>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</si>
  <si>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</si>
  <si>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</si>
  <si>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</si>
  <si>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</si>
  <si>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</si>
  <si>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</si>
  <si>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</si>
  <si>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</si>
  <si>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</si>
  <si>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</si>
  <si>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</si>
  <si>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</si>
  <si>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</si>
  <si>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</si>
  <si>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</si>
  <si>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</si>
  <si>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</si>
  <si>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</si>
  <si>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</si>
  <si>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</si>
  <si>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</si>
  <si>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</si>
  <si>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</si>
  <si>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</si>
  <si>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</si>
  <si>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</si>
  <si>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</si>
  <si>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</si>
  <si>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</si>
  <si>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</si>
  <si>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</si>
  <si>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</si>
  <si>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</si>
  <si>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</si>
  <si>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</si>
  <si>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</si>
  <si>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</si>
  <si>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</si>
  <si>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</si>
  <si>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</si>
  <si>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</si>
  <si>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</si>
  <si>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</si>
  <si>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</si>
  <si>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</si>
  <si>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</si>
  <si>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</si>
  <si>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</si>
  <si>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</si>
  <si>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</si>
  <si>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</si>
  <si>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</si>
  <si>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</si>
  <si>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</si>
  <si>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</si>
  <si>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</si>
  <si>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</si>
  <si>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</si>
  <si>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</si>
  <si>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</si>
  <si>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</si>
  <si>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</si>
  <si>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</si>
  <si>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</si>
  <si>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</si>
  <si>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</si>
  <si>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</si>
  <si>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</si>
  <si>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</si>
  <si>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</si>
  <si>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</si>
  <si>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</si>
  <si>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</si>
  <si>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</si>
  <si>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</si>
  <si>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</si>
  <si>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</si>
  <si>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</si>
  <si>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</si>
  <si>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</si>
  <si>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</si>
  <si>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</si>
  <si>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</si>
  <si>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</si>
  <si>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</si>
  <si>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</si>
  <si>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</si>
  <si>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</si>
  <si>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</si>
  <si>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</si>
  <si>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</si>
  <si>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</si>
  <si>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</si>
  <si>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</si>
  <si>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</si>
  <si>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</si>
  <si>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</si>
  <si>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</si>
  <si>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</si>
  <si>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</si>
  <si>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</si>
  <si>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</si>
  <si>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</si>
  <si>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</si>
  <si>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</si>
  <si>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</si>
  <si>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</si>
  <si>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</si>
  <si>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</si>
  <si>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</si>
  <si>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</si>
  <si>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</si>
  <si>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</si>
  <si>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</si>
  <si>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</si>
  <si>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</si>
  <si>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</si>
  <si>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</si>
  <si>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</si>
  <si>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</si>
  <si>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</si>
  <si>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</si>
  <si>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</si>
  <si>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</si>
  <si>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</si>
  <si>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</si>
  <si>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</si>
  <si>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</si>
  <si>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</si>
  <si>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</si>
  <si>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</si>
  <si>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</si>
  <si>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</si>
  <si>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</si>
  <si>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</si>
  <si>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</si>
  <si>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</si>
  <si>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</si>
  <si>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</si>
  <si>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</si>
  <si>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</si>
  <si>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</si>
  <si>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</si>
  <si>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</si>
  <si>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</si>
  <si>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</si>
  <si>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</si>
  <si>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</si>
  <si>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</si>
  <si>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</si>
  <si>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</si>
  <si>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</si>
  <si>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</si>
  <si>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</si>
  <si>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</si>
  <si>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</si>
  <si>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</si>
  <si>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</si>
  <si>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</si>
  <si>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</si>
  <si>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</si>
  <si>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</si>
  <si>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</si>
  <si>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</si>
  <si>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</si>
  <si>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</si>
  <si>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</si>
  <si>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</si>
  <si>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</si>
  <si>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</si>
  <si>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</si>
  <si>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</si>
  <si>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</si>
  <si>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</si>
  <si>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</si>
  <si>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</si>
  <si>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</si>
  <si>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</si>
  <si>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</si>
  <si>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</si>
  <si>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</si>
  <si>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</si>
  <si>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</si>
  <si>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</si>
  <si>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</si>
  <si>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</si>
  <si>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</si>
  <si>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</si>
  <si>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</si>
  <si>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</si>
  <si>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</si>
  <si>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</si>
  <si>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</si>
  <si>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</si>
  <si>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</si>
  <si>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</si>
  <si>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</si>
  <si>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</si>
  <si>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</si>
  <si>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</si>
  <si>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</si>
  <si>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</si>
  <si>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</si>
  <si>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</si>
  <si>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</si>
  <si>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</si>
  <si>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</si>
  <si>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</si>
  <si>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</si>
  <si>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</si>
  <si>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</si>
  <si>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</si>
  <si>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</si>
  <si>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</si>
  <si>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</si>
  <si>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</si>
  <si>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</si>
  <si>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</si>
  <si>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</si>
  <si>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</si>
  <si>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</si>
  <si>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</si>
  <si>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</si>
  <si>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</si>
  <si>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</si>
  <si>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</si>
  <si>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</si>
  <si>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</si>
  <si>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</si>
  <si>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</si>
  <si>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</si>
  <si>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</si>
  <si>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</si>
  <si>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</si>
  <si>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</si>
  <si>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</si>
  <si>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</si>
  <si>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</si>
  <si>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</si>
  <si>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</si>
  <si>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</si>
  <si>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</si>
  <si>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</si>
  <si>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</si>
  <si>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</si>
  <si>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</si>
  <si>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</si>
  <si>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</si>
  <si>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</si>
  <si>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</si>
  <si>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</si>
  <si>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</si>
  <si>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</si>
  <si>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</si>
  <si>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</si>
  <si>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</si>
  <si>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</si>
  <si>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</si>
  <si>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</si>
  <si>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</si>
  <si>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</si>
  <si>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</si>
  <si>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</si>
  <si>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</si>
  <si>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</si>
  <si>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</si>
  <si>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</si>
  <si>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</si>
  <si>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</si>
  <si>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</si>
  <si>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</si>
  <si>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</si>
  <si>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</si>
  <si>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</si>
  <si>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</si>
  <si>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</si>
  <si>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</si>
  <si>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</si>
  <si>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</si>
  <si>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</si>
  <si>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</si>
  <si>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</si>
  <si>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</si>
  <si>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</si>
  <si>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</si>
  <si>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</si>
  <si>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</si>
  <si>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</si>
  <si>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</si>
  <si>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</si>
  <si>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</si>
  <si>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</si>
  <si>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</si>
  <si>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</si>
  <si>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</si>
  <si>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</si>
  <si>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</si>
  <si>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</si>
  <si>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</si>
  <si>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</si>
  <si>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</si>
  <si>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</si>
  <si>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</si>
  <si>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</si>
  <si>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</si>
  <si>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</si>
  <si>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</si>
  <si>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</si>
  <si>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</si>
  <si>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</si>
  <si>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</si>
  <si>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</si>
  <si>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</si>
  <si>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</si>
  <si>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</si>
  <si>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</si>
  <si>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</si>
  <si>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</si>
  <si>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</si>
  <si>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</si>
  <si>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</si>
  <si>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</si>
  <si>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</si>
  <si>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</si>
  <si>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</si>
  <si>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</si>
  <si>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</si>
  <si>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</si>
  <si>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</si>
  <si>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</si>
  <si>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</si>
  <si>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</si>
  <si>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</si>
  <si>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</si>
  <si>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</si>
  <si>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</si>
  <si>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</si>
  <si>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</si>
  <si>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</si>
  <si>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</si>
  <si>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</si>
  <si>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</si>
  <si>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</si>
  <si>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</si>
  <si>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</si>
  <si>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</si>
  <si>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</si>
  <si>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</si>
  <si>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</si>
  <si>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</si>
  <si>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</si>
  <si>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</si>
  <si>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</si>
  <si>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</si>
  <si>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</si>
  <si>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</si>
  <si>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</si>
  <si>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</si>
  <si>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</si>
  <si>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</si>
  <si>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</si>
  <si>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</si>
  <si>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</si>
  <si>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</si>
  <si>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</si>
  <si>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</si>
  <si>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</si>
  <si>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</si>
  <si>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</si>
  <si>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</si>
  <si>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</si>
  <si>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</si>
  <si>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</si>
  <si>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</si>
  <si>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</si>
  <si>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</si>
  <si>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</si>
  <si>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</si>
  <si>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</si>
  <si>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</si>
  <si>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</si>
  <si>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</si>
  <si>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</si>
  <si>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</si>
  <si>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</si>
  <si>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</si>
  <si>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</si>
  <si>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</si>
  <si>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</si>
  <si>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</si>
  <si>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</si>
  <si>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</si>
  <si>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</si>
  <si>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</si>
  <si>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</si>
  <si>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</si>
  <si>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</si>
  <si>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</si>
  <si>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</si>
  <si>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</si>
  <si>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</si>
  <si>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</si>
  <si>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</si>
  <si>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</si>
  <si>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</si>
  <si>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</si>
  <si>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</si>
  <si>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</si>
  <si>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</si>
  <si>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</si>
  <si>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</si>
  <si>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</si>
  <si>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</si>
  <si>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</si>
  <si>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</si>
  <si>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</si>
  <si>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</si>
  <si>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</si>
  <si>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</si>
  <si>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</si>
  <si>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</si>
  <si>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</si>
  <si>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</si>
  <si>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</si>
  <si>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</si>
  <si>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</si>
  <si>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</si>
  <si>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</si>
  <si>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</si>
  <si>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</si>
  <si>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</si>
  <si>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</si>
  <si>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</si>
  <si>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</si>
  <si>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</si>
  <si>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</si>
  <si>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</si>
  <si>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</si>
  <si>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</si>
  <si>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</si>
  <si>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</si>
  <si>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</si>
  <si>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</si>
  <si>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</si>
  <si>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</si>
  <si>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</si>
  <si>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</si>
  <si>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</si>
  <si>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</si>
  <si>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</si>
  <si>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</si>
  <si>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</si>
  <si>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</si>
  <si>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</si>
  <si>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</si>
  <si>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</si>
  <si>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</si>
  <si>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</si>
  <si>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</si>
  <si>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</si>
  <si>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</si>
  <si>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</si>
  <si>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</si>
  <si>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</si>
  <si>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</si>
  <si>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</si>
  <si>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</si>
  <si>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</si>
  <si>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</si>
  <si>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</si>
  <si>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</si>
  <si>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</si>
  <si>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</si>
  <si>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</si>
  <si>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</si>
  <si>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</si>
  <si>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</si>
  <si>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</si>
  <si>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</si>
  <si>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</si>
  <si>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</si>
  <si>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</si>
  <si>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</si>
  <si>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</si>
  <si>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</si>
  <si>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</si>
  <si>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</si>
  <si>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</si>
  <si>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</si>
  <si>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</si>
  <si>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</si>
  <si>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</si>
  <si>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</si>
  <si>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</si>
  <si>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</si>
  <si>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</si>
  <si>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</si>
  <si>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</si>
  <si>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</si>
  <si>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</si>
  <si>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</si>
  <si>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</si>
  <si>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</si>
  <si>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</si>
  <si>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</si>
  <si>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</si>
  <si>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</si>
  <si>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</si>
  <si>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</si>
  <si>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</si>
  <si>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</si>
  <si>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</si>
  <si>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</si>
  <si>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</si>
  <si>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</si>
  <si>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</si>
  <si>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</si>
  <si>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</si>
  <si>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</si>
  <si>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</si>
  <si>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</si>
  <si>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</si>
  <si>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</si>
  <si>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</si>
  <si>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</si>
  <si>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</si>
  <si>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</si>
  <si>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</si>
  <si>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</si>
  <si>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</si>
  <si>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</si>
  <si>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</si>
  <si>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</si>
  <si>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</si>
  <si>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</si>
  <si>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</si>
  <si>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</si>
  <si>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</si>
  <si>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</si>
  <si>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</si>
  <si>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</si>
  <si>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</si>
  <si>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</si>
  <si>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</si>
  <si>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</si>
  <si>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</si>
  <si>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</si>
  <si>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</si>
  <si>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</si>
  <si>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</si>
  <si>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</si>
  <si>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</si>
  <si>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</si>
  <si>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</si>
  <si>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</si>
  <si>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</si>
  <si>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</si>
  <si>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</si>
  <si>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</si>
  <si>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</si>
  <si>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</si>
  <si>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</si>
  <si>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</si>
  <si>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</si>
  <si>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</si>
  <si>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</si>
  <si>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</si>
  <si>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</si>
  <si>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</si>
  <si>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</si>
  <si>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</si>
  <si>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</si>
  <si>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</si>
  <si>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</si>
  <si>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</si>
  <si>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</si>
  <si>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</si>
  <si>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</si>
  <si>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</si>
  <si>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</si>
  <si>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</si>
  <si>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</si>
  <si>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</si>
  <si>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</si>
  <si>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</si>
  <si>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</si>
  <si>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</si>
  <si>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</si>
  <si>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</si>
  <si>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</si>
  <si>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</si>
  <si>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</si>
  <si>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</si>
  <si>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</si>
  <si>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</si>
  <si>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</si>
  <si>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</si>
  <si>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</si>
  <si>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</si>
  <si>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</si>
  <si>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Koefisien peralatan yang digunakan pada A.8.4.1 ini adalah seperti yang tercantum pada tabel. Apabila ada tambahan peralatan yang digunakan. harus disesuaikan dengan spesifikasi dan gambar kerja.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</si>
  <si>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</si>
  <si>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</si>
  <si>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</si>
  <si>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</si>
  <si>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</si>
  <si>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</si>
  <si>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</si>
  <si>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</si>
  <si>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</si>
  <si>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</si>
  <si>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</si>
  <si>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</si>
  <si>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</si>
  <si>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</si>
  <si>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</si>
  <si>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</si>
  <si>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</si>
  <si>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</si>
  <si>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</si>
  <si>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</si>
  <si>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</si>
  <si>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</si>
  <si>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</si>
  <si>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</si>
  <si>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</si>
  <si>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</si>
  <si>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</si>
  <si>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</si>
  <si>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</si>
  <si>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</si>
  <si>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</si>
  <si>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</si>
  <si>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</si>
  <si>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</si>
  <si>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</si>
  <si>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</si>
  <si>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</si>
  <si>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</si>
  <si>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</si>
  <si>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</si>
  <si>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</si>
  <si>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</si>
  <si>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</si>
  <si>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</si>
  <si>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</si>
  <si>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</si>
  <si>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</si>
  <si>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</si>
  <si>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</si>
  <si>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</si>
  <si>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</si>
  <si>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</si>
  <si>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</si>
  <si>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</si>
  <si>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</si>
  <si>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</si>
  <si>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</si>
  <si>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</si>
  <si>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</si>
  <si>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</si>
  <si>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</si>
  <si>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</si>
  <si>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</si>
  <si>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</si>
  <si>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</si>
  <si>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</si>
  <si>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</si>
  <si>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</si>
  <si>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</si>
  <si>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</si>
  <si>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</si>
  <si>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</si>
  <si>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</si>
  <si>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</si>
  <si>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</si>
  <si>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urinoir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</si>
  <si>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</si>
  <si>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</si>
  <si>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</si>
  <si>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</si>
  <si>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</si>
  <si>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</si>
  <si>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</si>
  <si>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</si>
  <si>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</si>
  <si>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</si>
  <si>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</si>
  <si>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</si>
  <si>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</si>
  <si>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</si>
  <si>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</si>
  <si>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</si>
  <si>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</si>
  <si>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</si>
  <si>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</si>
  <si>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</si>
  <si>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</si>
  <si>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</si>
  <si>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</si>
  <si>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</si>
  <si>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</si>
  <si>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</si>
  <si>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</si>
  <si>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</si>
  <si>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</si>
  <si>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</si>
  <si>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</si>
  <si>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</si>
  <si>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</si>
  <si>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</si>
  <si>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</si>
  <si>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</si>
  <si>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</si>
  <si>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</si>
  <si>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</si>
  <si>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</si>
  <si>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</si>
  <si>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</si>
  <si>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</si>
  <si>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</si>
  <si>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</si>
  <si>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</si>
  <si>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</si>
  <si>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</si>
  <si>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(60 x 120) cm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</si>
  <si>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</si>
  <si>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</si>
  <si>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</si>
  <si>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</si>
  <si>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</si>
  <si>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lantai vynil ukuran 30cm x 30cm</t>
  </si>
  <si>
    <t>Pemasangan 1 m2 dinding batu tempel hitam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</si>
  <si>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</si>
  <si>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</si>
  <si>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</si>
  <si>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</si>
  <si>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</si>
  <si>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</si>
  <si>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</si>
  <si>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</si>
  <si>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</si>
  <si>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</si>
  <si>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</si>
  <si>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</si>
  <si>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</si>
  <si>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</si>
  <si>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</si>
  <si>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</si>
  <si>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</si>
  <si>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</si>
  <si>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</si>
  <si>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</si>
  <si>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</si>
  <si>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</si>
  <si>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</si>
  <si>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</si>
  <si>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</si>
  <si>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Pemasangan 1m2 lantai ubin PC abu-abu ukuran 40cm x40cm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</si>
  <si>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</si>
  <si>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</si>
  <si>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</si>
  <si>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</si>
  <si>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</si>
  <si>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</si>
  <si>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</si>
  <si>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</si>
  <si>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</si>
  <si>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</si>
  <si>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</si>
  <si>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</si>
  <si>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</si>
  <si>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</si>
  <si>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</si>
  <si>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</si>
  <si>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</si>
  <si>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</si>
  <si>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</si>
  <si>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</si>
  <si>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</si>
  <si>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</si>
  <si>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</si>
  <si>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</si>
  <si>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</si>
  <si>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</si>
  <si>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</si>
  <si>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</si>
  <si>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</si>
  <si>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</si>
  <si>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</si>
  <si>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</si>
  <si>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</si>
  <si>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</si>
  <si>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</si>
  <si>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</si>
  <si>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</si>
  <si>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</si>
  <si>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</si>
  <si>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</si>
  <si>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</si>
  <si>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</si>
  <si>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</si>
  <si>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</si>
  <si>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</si>
  <si>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</si>
  <si>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</si>
  <si>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</si>
  <si>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</si>
  <si>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</si>
  <si>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</si>
  <si>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</si>
  <si>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</si>
  <si>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</si>
  <si>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</si>
  <si>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</si>
  <si>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</si>
  <si>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</si>
  <si>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</si>
  <si>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</si>
  <si>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</si>
  <si>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</si>
  <si>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</si>
  <si>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</si>
  <si>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</si>
  <si>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</si>
  <si>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</si>
  <si>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</si>
  <si>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</si>
  <si>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</si>
  <si>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</si>
  <si>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</si>
  <si>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</si>
  <si>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</si>
  <si>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</si>
  <si>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</si>
  <si>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</si>
  <si>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</si>
  <si>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</si>
  <si>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DAFTAR   UPAH KERJA PER ORANG PER HARI</t>
  </si>
  <si>
    <t>Kota</t>
  </si>
  <si>
    <t>: Medan</t>
  </si>
  <si>
    <t>Propinsi</t>
  </si>
  <si>
    <t>: Sumatera Utara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</si>
  <si>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</si>
  <si>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</si>
  <si>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</si>
  <si>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</si>
  <si>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</si>
  <si>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</si>
  <si>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</si>
  <si>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</si>
  <si>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</si>
  <si>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</si>
  <si>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</si>
  <si>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</si>
  <si>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Operator (alat berat)</t>
  </si>
  <si>
    <t>L04</t>
  </si>
  <si>
    <t>Pembantu Operator</t>
  </si>
  <si>
    <t>L05</t>
  </si>
  <si>
    <t>Supir / Driver</t>
  </si>
  <si>
    <t>L06</t>
  </si>
  <si>
    <t>Pembantu Supir / Driver</t>
  </si>
  <si>
    <t>L07</t>
  </si>
  <si>
    <t>Mekanik</t>
  </si>
  <si>
    <t>L08</t>
  </si>
  <si>
    <t>L09</t>
  </si>
  <si>
    <t>DAFTAR   SATUAN MATERIAL/BAHAN</t>
  </si>
  <si>
    <t>URAIAN / JENIS BAHAN BANGUNAN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</si>
  <si>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</si>
  <si>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</si>
  <si>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</si>
  <si>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</si>
  <si>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</si>
  <si>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</si>
  <si>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</si>
  <si>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</si>
  <si>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</si>
  <si>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</si>
  <si>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</si>
  <si>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</si>
  <si>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</si>
  <si>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</si>
  <si>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</si>
  <si>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</si>
  <si>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</si>
  <si>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</si>
  <si>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</si>
  <si>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</si>
  <si>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</si>
  <si>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templek</t>
  </si>
  <si>
    <t>Batu bata cetak mesin</t>
  </si>
  <si>
    <t>Bata beton Ringan uk. 10x20x60</t>
  </si>
  <si>
    <t>83bh/m3</t>
  </si>
  <si>
    <t>Batu terawang uk. 10x20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</si>
  <si>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</si>
  <si>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</si>
  <si>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</si>
  <si>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</si>
  <si>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</si>
  <si>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</si>
  <si>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</si>
  <si>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</si>
  <si>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</si>
  <si>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</si>
  <si>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</si>
  <si>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</si>
  <si>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</si>
  <si>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>Bahan-bahan Perkayuan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</si>
  <si>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</si>
  <si>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</si>
  <si>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</si>
  <si>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</si>
  <si>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</si>
  <si>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</si>
  <si>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</si>
  <si>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</si>
  <si>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</si>
  <si>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</si>
  <si>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</si>
  <si>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</si>
  <si>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</si>
  <si>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</si>
  <si>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</si>
  <si>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</si>
  <si>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</si>
  <si>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</si>
  <si>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</si>
  <si>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</si>
  <si>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</si>
  <si>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Kawat jaring galvanis ( harmonika)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</si>
  <si>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</si>
  <si>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</si>
  <si>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</si>
  <si>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</si>
  <si>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</si>
  <si>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</si>
  <si>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</si>
  <si>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</si>
  <si>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</si>
  <si>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</si>
  <si>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sekrup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</si>
  <si>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</si>
  <si>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</si>
  <si>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</si>
  <si>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</si>
  <si>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</si>
  <si>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</si>
  <si>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</si>
  <si>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</si>
  <si>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</si>
  <si>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</si>
  <si>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</si>
  <si>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</si>
  <si>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</si>
  <si>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</si>
  <si>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</si>
  <si>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</si>
  <si>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</si>
  <si>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</si>
  <si>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</si>
  <si>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Kusen Pintu/ Jendela Metal</t>
  </si>
  <si>
    <t>Kozen Metal type PJ 1</t>
  </si>
  <si>
    <t>Kozen Metal type P 1</t>
  </si>
  <si>
    <t>Kozen Metal type P 2</t>
  </si>
  <si>
    <t>Kozen Metal type P 3</t>
  </si>
  <si>
    <t>Kozen Metal type P 4</t>
  </si>
  <si>
    <t>Kozen Metal type J 1</t>
  </si>
  <si>
    <t>Kozen Metal type J 2</t>
  </si>
  <si>
    <t>Kozen Metal type J 3</t>
  </si>
  <si>
    <t>Kozen Metal type J 4</t>
  </si>
  <si>
    <t>Kozen Metal type V 1</t>
  </si>
  <si>
    <t>Kozen Metal type  V 2</t>
  </si>
  <si>
    <t>Kozen Metal type V  3</t>
  </si>
  <si>
    <t>Kozen Metal type V  4</t>
  </si>
  <si>
    <t>Kozen Metal type PJ 1 K</t>
  </si>
  <si>
    <t>Kozen Metal type P 1 K</t>
  </si>
  <si>
    <t>Kozen Metal type P 2 K</t>
  </si>
  <si>
    <t>Kozen Metal type P 3 K</t>
  </si>
  <si>
    <t>Kozen Metal type J 1 K</t>
  </si>
  <si>
    <t>Kozen Metal type J 2 K</t>
  </si>
  <si>
    <t>Kozen Metal type J 3 K</t>
  </si>
  <si>
    <t>Kozen Metal type J 4 K</t>
  </si>
  <si>
    <t>Kozen Metal type V 1 K</t>
  </si>
  <si>
    <t>Kozen Metal type  V 2 K</t>
  </si>
  <si>
    <t>Kozen Metal type V  3 K</t>
  </si>
  <si>
    <t>Kozen Metal type V  4 K</t>
  </si>
  <si>
    <t>Kusen Pintu/ Jendela Aluminium lengkap dengan daun jendela/ jalusi</t>
  </si>
  <si>
    <t>Kozen Aluminium type PJ 1</t>
  </si>
  <si>
    <t>Lengkap terpasang</t>
  </si>
  <si>
    <t>Kozen Aluminium type P 1</t>
  </si>
  <si>
    <t>Kozen Aluminium type P 2</t>
  </si>
  <si>
    <t>Kozen Aluminium type P 3</t>
  </si>
  <si>
    <t>Kozen Aluminium type P 4</t>
  </si>
  <si>
    <t>Kozen Aluminium type J 1</t>
  </si>
  <si>
    <t>Kozen Aluminium type J 2</t>
  </si>
  <si>
    <t>Kozen Aluminium type J 3</t>
  </si>
  <si>
    <t>Kozen Aluminium type J 4</t>
  </si>
  <si>
    <t>Kozen Aluminium type V 1</t>
  </si>
  <si>
    <t>Kozen Aluminium type  V 2</t>
  </si>
  <si>
    <t>Kozen Aluminium type V  3</t>
  </si>
  <si>
    <t>Kozen Aluminium type V  4</t>
  </si>
  <si>
    <t>Kozen Aluminium type PJ 1 K</t>
  </si>
  <si>
    <t>Kozen Aluminium type P 1 K</t>
  </si>
  <si>
    <t>Kozen Aluminium type P 2 K</t>
  </si>
  <si>
    <t>Kozen Aluminium type P 3 K</t>
  </si>
  <si>
    <t>Kozen Aluminium type J 1 K</t>
  </si>
  <si>
    <t>Kozen Aluminium type J 2 K</t>
  </si>
  <si>
    <t>Kozen Aluminium type J 3 K</t>
  </si>
  <si>
    <t>Kozen Aluminium type J 4 K</t>
  </si>
  <si>
    <t>Kozen Aluminium type V 1 K</t>
  </si>
  <si>
    <t>Kozen Aluminium type  V 2 K</t>
  </si>
  <si>
    <t>Kozen Aluminium type V  3 K</t>
  </si>
  <si>
    <t>Kozen Aluminium type V  4 K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</si>
  <si>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</si>
  <si>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</si>
  <si>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</si>
  <si>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</si>
  <si>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</si>
  <si>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</si>
  <si>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</si>
  <si>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</si>
  <si>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</si>
  <si>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</si>
  <si>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</si>
  <si>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</si>
  <si>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</si>
  <si>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</si>
  <si>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</si>
  <si>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</si>
  <si>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</si>
  <si>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</si>
  <si>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</si>
  <si>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</si>
  <si>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</si>
  <si>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</si>
  <si>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</si>
  <si>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</si>
  <si>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</si>
  <si>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</si>
  <si>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</si>
  <si>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</si>
  <si>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</si>
  <si>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</si>
  <si>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</si>
  <si>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</si>
  <si>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</si>
  <si>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</si>
  <si>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</si>
  <si>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</si>
  <si>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</si>
  <si>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</si>
  <si>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</si>
  <si>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</si>
  <si>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</si>
  <si>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</si>
  <si>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</si>
  <si>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</si>
  <si>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 xml:space="preserve">Rabung Seng Lebar 30 cm </t>
  </si>
  <si>
    <t>Rabung atap Bitumen</t>
  </si>
  <si>
    <t>Rabung Genteng Keramik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</si>
  <si>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</si>
  <si>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</si>
  <si>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</si>
  <si>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</si>
  <si>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</si>
  <si>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</si>
  <si>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</si>
  <si>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</si>
  <si>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</si>
  <si>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Isolasi atap/ aluminium foil</t>
  </si>
  <si>
    <t>Atap Bitumen bergelombang uk. 200x95</t>
  </si>
  <si>
    <t>Rabung/ Nok Bitumen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</si>
  <si>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</si>
  <si>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</si>
  <si>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</si>
  <si>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</si>
  <si>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</si>
  <si>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</si>
  <si>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</si>
  <si>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</si>
  <si>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</si>
  <si>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</si>
  <si>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</si>
  <si>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</si>
  <si>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</si>
  <si>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</si>
  <si>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</si>
  <si>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</si>
  <si>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</si>
  <si>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</si>
  <si>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</si>
  <si>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</si>
  <si>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</si>
  <si>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</si>
  <si>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</si>
  <si>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</si>
  <si>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</si>
  <si>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</si>
  <si>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Perak setara Bee Brand</t>
  </si>
  <si>
    <t>Cat Tembok setara Paragon</t>
  </si>
  <si>
    <t>Cat Tembok setara Vinilex</t>
  </si>
  <si>
    <t>Cat Tembok Wheatershields</t>
  </si>
  <si>
    <t>Cat Vernis</t>
  </si>
  <si>
    <t>Cat Manie Besi</t>
  </si>
  <si>
    <t>Cat Manie Kayu</t>
  </si>
  <si>
    <t>Cat Dasar</t>
  </si>
  <si>
    <t>Filler</t>
  </si>
  <si>
    <t>Plamur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</si>
  <si>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</si>
  <si>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</si>
  <si>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</si>
  <si>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</si>
  <si>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</si>
  <si>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</si>
  <si>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</si>
  <si>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</si>
  <si>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</si>
  <si>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</si>
  <si>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</si>
  <si>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Duduk (dengan bak air) setara TOTO standar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</si>
  <si>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</si>
  <si>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</si>
  <si>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</si>
  <si>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</si>
  <si>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</si>
  <si>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</si>
  <si>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</si>
  <si>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</si>
  <si>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</si>
  <si>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</si>
  <si>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</si>
  <si>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</si>
  <si>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 xml:space="preserve">Urinoir lengkap </t>
  </si>
  <si>
    <t>Wastafel Biasa lengkap</t>
  </si>
  <si>
    <t>Wastafel setara TOTO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</si>
  <si>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</si>
  <si>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</si>
  <si>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</si>
  <si>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</si>
  <si>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</si>
  <si>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</si>
  <si>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</si>
  <si>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</si>
  <si>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</si>
  <si>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</si>
  <si>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</si>
  <si>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</si>
  <si>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</si>
  <si>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dobel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</si>
  <si>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</si>
  <si>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</si>
  <si>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</si>
  <si>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</si>
  <si>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</si>
  <si>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</si>
  <si>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</si>
  <si>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</si>
  <si>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</si>
  <si>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</si>
  <si>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</si>
  <si>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</si>
  <si>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</si>
  <si>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</si>
  <si>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</si>
  <si>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</si>
  <si>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</si>
  <si>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</si>
  <si>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</si>
  <si>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</si>
  <si>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Lampu Baret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</si>
  <si>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</si>
  <si>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</si>
  <si>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</si>
  <si>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</si>
  <si>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</si>
  <si>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</si>
  <si>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</si>
  <si>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</si>
  <si>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</si>
  <si>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</si>
  <si>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</si>
  <si>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</si>
  <si>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</si>
  <si>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</si>
  <si>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Rel pintu dorong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</si>
  <si>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</si>
  <si>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</si>
  <si>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</si>
  <si>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</si>
  <si>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</si>
  <si>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</si>
  <si>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</si>
  <si>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</si>
  <si>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</si>
  <si>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</si>
  <si>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</si>
  <si>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</si>
  <si>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</si>
  <si>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</si>
  <si>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</si>
  <si>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</si>
  <si>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</si>
  <si>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</si>
  <si>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</si>
  <si>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</si>
  <si>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</si>
  <si>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</si>
  <si>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</si>
  <si>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</si>
  <si>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</si>
  <si>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</si>
  <si>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</si>
  <si>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</si>
  <si>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</si>
  <si>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</si>
  <si>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</si>
  <si>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</si>
  <si>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</si>
  <si>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</si>
  <si>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</si>
  <si>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</si>
  <si>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</si>
  <si>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</si>
  <si>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</si>
  <si>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</si>
  <si>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</si>
  <si>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</si>
  <si>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</si>
  <si>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</si>
  <si>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</si>
  <si>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</si>
  <si>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</si>
  <si>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</si>
  <si>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ALAT-ALAT KONSTRUKSI BANGUNAN</t>
  </si>
  <si>
    <t>Concrete Mixer</t>
  </si>
  <si>
    <t>Concrete Vibrator</t>
  </si>
  <si>
    <t>Buldozer</t>
  </si>
  <si>
    <t>Mesin Genset</t>
  </si>
  <si>
    <t>Mesin Las</t>
  </si>
  <si>
    <t>Water pump</t>
  </si>
  <si>
    <t>Tandem Roller 6 - 8 Ton</t>
  </si>
  <si>
    <t>Excavator</t>
  </si>
  <si>
    <t>Vibrator Roller</t>
  </si>
  <si>
    <t>Pneumatic Tyre Roller</t>
  </si>
  <si>
    <t>Dump Truck</t>
  </si>
  <si>
    <t>Truck Bak Terbuka</t>
  </si>
  <si>
    <t>Water Tank Truck</t>
  </si>
  <si>
    <t>Truk tiga suku</t>
  </si>
  <si>
    <t>trip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</si>
  <si>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</si>
  <si>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</si>
  <si>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</si>
  <si>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</si>
  <si>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</si>
  <si>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</si>
  <si>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</si>
  <si>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</si>
  <si>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</si>
  <si>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</si>
  <si>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</si>
  <si>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</si>
  <si>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</si>
  <si>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</si>
  <si>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</si>
  <si>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</si>
  <si>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</si>
  <si>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200x160x200 mm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</si>
  <si>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</si>
  <si>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</si>
  <si>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</si>
  <si>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</si>
  <si>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</si>
  <si>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</si>
  <si>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</si>
  <si>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</si>
  <si>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</si>
  <si>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</si>
  <si>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</si>
  <si>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200x205 mm</t>
  </si>
  <si>
    <t>Rubber Packing</t>
  </si>
  <si>
    <t>3mm</t>
  </si>
  <si>
    <t>3 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</si>
  <si>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</si>
  <si>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</si>
  <si>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</si>
  <si>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</si>
  <si>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</si>
  <si>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</si>
  <si>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</si>
  <si>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</si>
  <si>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</si>
  <si>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</si>
  <si>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</si>
  <si>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</si>
  <si>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</si>
  <si>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</si>
  <si>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</si>
  <si>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</si>
  <si>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</si>
  <si>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</si>
  <si>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</si>
  <si>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</si>
  <si>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</si>
  <si>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</si>
  <si>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</si>
  <si>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</si>
  <si>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</si>
  <si>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</si>
  <si>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</si>
  <si>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</si>
  <si>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</si>
  <si>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</si>
  <si>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</si>
  <si>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</si>
  <si>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</si>
  <si>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</si>
  <si>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</si>
  <si>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</si>
  <si>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</si>
  <si>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</si>
  <si>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</si>
  <si>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</si>
  <si>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</si>
  <si>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</si>
  <si>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</si>
  <si>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</si>
  <si>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</si>
  <si>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</si>
  <si>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</si>
  <si>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</si>
  <si>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</si>
  <si>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</si>
  <si>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</si>
  <si>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</si>
  <si>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</si>
  <si>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</si>
  <si>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</si>
  <si>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</si>
  <si>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</si>
  <si>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</si>
  <si>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</si>
  <si>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</si>
  <si>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</si>
  <si>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</si>
  <si>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</si>
  <si>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</si>
  <si>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</si>
  <si>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</si>
  <si>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</si>
  <si>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</si>
  <si>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</si>
  <si>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</si>
  <si>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</si>
  <si>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</si>
  <si>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</si>
  <si>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</si>
  <si>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</si>
  <si>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>DAFTAR HARGA UPAH DAN BAHAN</t>
  </si>
  <si>
    <t>DAFTAR ANALISA HARGA SATUAN</t>
  </si>
  <si>
    <t>DINAS PERUMAHAN &amp; PERMUKIMAN</t>
  </si>
  <si>
    <t xml:space="preserve"> KOTA MEDAN</t>
  </si>
  <si>
    <t>L11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</si>
  <si>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</si>
  <si>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</si>
  <si>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</si>
  <si>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</si>
  <si>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</si>
  <si>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</si>
  <si>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Bambu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</si>
  <si>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</si>
  <si>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</si>
  <si>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</si>
  <si>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</si>
  <si>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</si>
  <si>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</si>
  <si>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</si>
  <si>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</si>
  <si>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</si>
  <si>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</si>
  <si>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</si>
  <si>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</si>
  <si>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</si>
  <si>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</si>
  <si>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</si>
  <si>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</si>
  <si>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Scaffolding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</si>
  <si>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</si>
  <si>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</si>
  <si>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</si>
  <si>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</si>
  <si>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</si>
  <si>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</si>
  <si>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</si>
  <si>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</si>
  <si>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</si>
  <si>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</si>
  <si>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</si>
  <si>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</si>
  <si>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</si>
  <si>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</si>
  <si>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</si>
  <si>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</si>
  <si>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</si>
  <si>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</si>
  <si>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</si>
  <si>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</si>
  <si>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</si>
  <si>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</si>
  <si>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</si>
  <si>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</si>
  <si>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</si>
  <si>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</si>
  <si>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Pemasangan 1 m2 dinding terawang (rooster) 12x11x24 campuran 1SP :4PP</t>
  </si>
  <si>
    <t>Bata rooster/ terawang</t>
  </si>
  <si>
    <t>Ubin PC 30x30</t>
  </si>
  <si>
    <t>Ubin PC 20x20</t>
  </si>
  <si>
    <t>Ubin PC 40x40</t>
  </si>
  <si>
    <t>Ubin warna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</si>
  <si>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</si>
  <si>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</si>
  <si>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</si>
  <si>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</si>
  <si>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</si>
  <si>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</si>
  <si>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</si>
  <si>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</si>
  <si>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</si>
  <si>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</si>
  <si>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</si>
  <si>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Vynil lantai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</si>
  <si>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</si>
  <si>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</si>
  <si>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</si>
  <si>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</si>
  <si>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</si>
  <si>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</si>
  <si>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</si>
  <si>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</si>
  <si>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</si>
  <si>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</si>
  <si>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</si>
  <si>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door stoper</t>
  </si>
  <si>
    <t>Kaca Buram/ reyben 12 mm</t>
  </si>
  <si>
    <t>Thinner</t>
  </si>
  <si>
    <t>30%x urinoir</t>
  </si>
  <si>
    <t>k100</t>
  </si>
  <si>
    <t>seal tape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</si>
  <si>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</si>
  <si>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</si>
  <si>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</si>
  <si>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</si>
  <si>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</si>
  <si>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</si>
  <si>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</si>
  <si>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</si>
  <si>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</si>
  <si>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</si>
  <si>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</si>
  <si>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</si>
  <si>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</si>
  <si>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</si>
  <si>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</si>
  <si>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</si>
  <si>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</si>
  <si>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</si>
  <si>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</si>
  <si>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</si>
  <si>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>jam</t>
  </si>
  <si>
    <t>Mobil crane</t>
  </si>
  <si>
    <t>Crane katrol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</si>
  <si>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</si>
  <si>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</si>
  <si>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</si>
  <si>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</si>
  <si>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</si>
  <si>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</si>
  <si>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</si>
  <si>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</si>
  <si>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</si>
  <si>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</si>
  <si>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</si>
  <si>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</si>
  <si>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</si>
  <si>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</si>
  <si>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</si>
  <si>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</si>
  <si>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</si>
  <si>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</si>
  <si>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</si>
  <si>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</si>
  <si>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</si>
  <si>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</si>
  <si>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</si>
  <si>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</si>
  <si>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</si>
  <si>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</si>
  <si>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</si>
  <si>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</si>
  <si>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</si>
  <si>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Rabung Zincalume #0,30 rata</t>
  </si>
  <si>
    <t>Rabung Zincalume #0,30 gelombang</t>
  </si>
  <si>
    <t>Atap genteng bitumen uk. 40x55 cm</t>
  </si>
  <si>
    <t>Pemasangan 1 m2 genteng aspal/ bitumen</t>
  </si>
  <si>
    <t>Genteng aspal bitumen</t>
  </si>
  <si>
    <t>Plastik aerator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</si>
  <si>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</si>
  <si>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</si>
  <si>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</si>
  <si>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</si>
  <si>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</si>
  <si>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</si>
  <si>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</si>
  <si>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</si>
  <si>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</si>
  <si>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</si>
  <si>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</si>
  <si>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</si>
  <si>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</si>
  <si>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</si>
  <si>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</si>
  <si>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</si>
  <si>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</si>
  <si>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</si>
  <si>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</si>
  <si>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</si>
  <si>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Pemasangan 1 buah closet duduk/monoblock setara TOTO</t>
  </si>
  <si>
    <t>Pemasangan 1 buah wastafel Setara TOTO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</si>
  <si>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</si>
  <si>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</si>
  <si>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</si>
  <si>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</si>
  <si>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</si>
  <si>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</si>
  <si>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</si>
  <si>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</si>
  <si>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</si>
  <si>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</si>
  <si>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</si>
  <si>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</si>
  <si>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</si>
  <si>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</si>
  <si>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</si>
  <si>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</si>
  <si>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</si>
  <si>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</si>
  <si>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</si>
  <si>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</si>
  <si>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</si>
  <si>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cat kilat setara bee brand</t>
  </si>
  <si>
    <t>plamur</t>
  </si>
  <si>
    <t>cat perak</t>
  </si>
  <si>
    <t>cat tmbok wheatershields</t>
  </si>
  <si>
    <t>Politur Jadi</t>
  </si>
  <si>
    <t>Cat penutup setara vinilex</t>
  </si>
  <si>
    <t>Cat penutup setara Paragon</t>
  </si>
  <si>
    <t>Kloset Jongkok setara TOTO standar</t>
  </si>
  <si>
    <t>Pemasangan 1 buah closet jongkok porslen Setara TOTO standar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</si>
  <si>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</si>
  <si>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</si>
  <si>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</si>
  <si>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</si>
  <si>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</si>
  <si>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</si>
  <si>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</si>
  <si>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4*150000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</si>
  <si>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</si>
  <si>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</si>
  <si>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</si>
  <si>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</si>
  <si>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</si>
  <si>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</si>
  <si>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</si>
  <si>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</si>
  <si>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</si>
  <si>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</si>
  <si>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</si>
  <si>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</si>
  <si>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</si>
  <si>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</si>
  <si>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</si>
  <si>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</si>
  <si>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</si>
  <si>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</si>
  <si>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</si>
  <si>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</si>
  <si>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</si>
  <si>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</si>
  <si>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</si>
  <si>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</si>
  <si>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</si>
  <si>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</si>
  <si>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</si>
  <si>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</si>
  <si>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</si>
  <si>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</si>
  <si>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</si>
  <si>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</si>
  <si>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</si>
  <si>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</si>
  <si>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</si>
  <si>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</si>
  <si>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</si>
  <si>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</si>
  <si>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</si>
  <si>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</si>
  <si>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</si>
  <si>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</si>
  <si>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</si>
  <si>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</si>
  <si>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</si>
  <si>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</si>
  <si>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</si>
  <si>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</si>
  <si>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</si>
  <si>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</si>
  <si>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</si>
  <si>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</si>
  <si>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</si>
  <si>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</si>
  <si>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</si>
  <si>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</si>
  <si>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</si>
  <si>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</si>
  <si>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</si>
  <si>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</si>
  <si>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</si>
  <si>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</si>
  <si>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</si>
  <si>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</si>
  <si>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</si>
  <si>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</si>
  <si>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</si>
  <si>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</si>
  <si>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</si>
  <si>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</si>
  <si>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</si>
  <si>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</si>
  <si>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</si>
  <si>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</si>
  <si>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</si>
  <si>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</si>
  <si>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</si>
  <si>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</si>
  <si>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</si>
  <si>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</si>
  <si>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</si>
  <si>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</si>
  <si>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</si>
  <si>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</si>
  <si>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</si>
  <si>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</si>
  <si>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</si>
  <si>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</si>
  <si>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</si>
  <si>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</si>
  <si>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</si>
  <si>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</si>
  <si>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</si>
  <si>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</si>
  <si>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</si>
  <si>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</si>
  <si>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</si>
  <si>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</si>
  <si>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</si>
  <si>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</si>
  <si>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</si>
  <si>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</si>
  <si>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</si>
  <si>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</si>
  <si>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</si>
  <si>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</si>
  <si>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</si>
  <si>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</si>
  <si>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</si>
  <si>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</si>
  <si>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</si>
  <si>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</si>
  <si>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</si>
  <si>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</si>
  <si>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</si>
  <si>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</si>
  <si>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</si>
  <si>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</si>
  <si>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</si>
  <si>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</si>
  <si>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</si>
  <si>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</si>
  <si>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</si>
  <si>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</si>
  <si>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</si>
  <si>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</si>
  <si>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</si>
  <si>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</si>
  <si>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</si>
  <si>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</si>
  <si>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</si>
  <si>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</si>
  <si>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</si>
  <si>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</si>
  <si>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</si>
  <si>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</si>
  <si>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</si>
  <si>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</si>
  <si>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</si>
  <si>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</si>
  <si>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</si>
  <si>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</si>
  <si>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</si>
  <si>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</si>
  <si>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</si>
  <si>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</si>
  <si>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</si>
  <si>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</si>
  <si>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</si>
  <si>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</si>
  <si>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</si>
  <si>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</si>
  <si>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</si>
  <si>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</si>
  <si>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</si>
  <si>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</si>
  <si>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</si>
  <si>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</si>
  <si>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</si>
  <si>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</si>
  <si>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</si>
  <si>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</si>
  <si>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</si>
  <si>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</si>
  <si>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</si>
  <si>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</si>
  <si>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</si>
  <si>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</si>
  <si>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</si>
  <si>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</si>
  <si>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</si>
  <si>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</si>
  <si>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</si>
  <si>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</si>
  <si>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</si>
  <si>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</si>
  <si>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</si>
  <si>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</si>
  <si>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</si>
  <si>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</si>
  <si>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</si>
  <si>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</si>
  <si>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</si>
  <si>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</si>
  <si>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</si>
  <si>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</si>
  <si>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</si>
  <si>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</si>
  <si>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</si>
  <si>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</si>
  <si>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</si>
  <si>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</si>
  <si>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</si>
  <si>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</si>
  <si>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</si>
  <si>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</si>
  <si>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</si>
  <si>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</si>
  <si>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</si>
  <si>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</si>
  <si>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</si>
  <si>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</si>
  <si>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</si>
  <si>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</si>
  <si>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</si>
  <si>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</si>
  <si>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</si>
  <si>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</si>
  <si>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</si>
  <si>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</si>
  <si>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</si>
  <si>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</si>
  <si>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</si>
  <si>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</si>
  <si>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</si>
  <si>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</si>
  <si>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</si>
  <si>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</si>
  <si>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</si>
  <si>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</si>
  <si>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</si>
  <si>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</si>
  <si>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</si>
  <si>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</si>
  <si>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</si>
  <si>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</si>
  <si>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</si>
  <si>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</si>
  <si>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</si>
  <si>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</si>
  <si>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</si>
  <si>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</si>
  <si>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</si>
  <si>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</si>
  <si>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</si>
  <si>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</si>
  <si>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</si>
  <si>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</si>
  <si>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</si>
  <si>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</si>
  <si>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</si>
  <si>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</si>
  <si>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</si>
  <si>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</si>
  <si>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</si>
  <si>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</si>
  <si>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</si>
  <si>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</si>
  <si>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</si>
  <si>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</si>
  <si>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</si>
  <si>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</si>
  <si>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</si>
  <si>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</si>
  <si>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</si>
  <si>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</si>
  <si>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</si>
  <si>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</si>
  <si>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</si>
  <si>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</si>
  <si>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</si>
  <si>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</si>
  <si>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</si>
  <si>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</si>
  <si>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</si>
  <si>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</si>
  <si>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</si>
  <si>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</si>
  <si>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</si>
  <si>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</si>
  <si>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</si>
  <si>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</si>
  <si>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</si>
  <si>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</si>
  <si>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</si>
  <si>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</si>
  <si>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</si>
  <si>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</si>
  <si>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</si>
  <si>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</si>
  <si>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</si>
  <si>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</si>
  <si>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</si>
  <si>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</si>
  <si>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</si>
  <si>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</si>
  <si>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</si>
  <si>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</si>
  <si>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</si>
  <si>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</si>
  <si>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</si>
  <si>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</si>
  <si>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</si>
  <si>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</si>
  <si>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</si>
  <si>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</si>
  <si>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</si>
  <si>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</si>
  <si>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</si>
  <si>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</si>
  <si>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</si>
  <si>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</si>
  <si>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</si>
  <si>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</si>
  <si>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</si>
  <si>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</si>
  <si>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</si>
  <si>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</si>
  <si>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</si>
  <si>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</si>
  <si>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</si>
  <si>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</si>
  <si>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</si>
  <si>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</si>
  <si>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</si>
  <si>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</si>
  <si>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</si>
  <si>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</si>
  <si>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</si>
  <si>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</si>
  <si>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</si>
  <si>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</si>
  <si>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</si>
  <si>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</si>
  <si>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</si>
  <si>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</si>
  <si>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</si>
  <si>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</si>
  <si>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</si>
  <si>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</si>
  <si>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</si>
  <si>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</si>
  <si>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</si>
  <si>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</si>
  <si>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</si>
  <si>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</si>
  <si>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</si>
  <si>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</si>
  <si>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</si>
  <si>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</si>
  <si>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</si>
  <si>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</si>
  <si>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</si>
  <si>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</si>
  <si>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</si>
  <si>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</si>
  <si>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</si>
  <si>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</si>
  <si>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</si>
  <si>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</si>
  <si>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</si>
  <si>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</si>
  <si>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</si>
  <si>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</si>
  <si>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</si>
  <si>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</si>
  <si>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</si>
  <si>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UPAH DIAMBIL 15% x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</si>
  <si>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</si>
  <si>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</si>
  <si>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</si>
  <si>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</si>
  <si>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</si>
  <si>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</si>
  <si>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</si>
  <si>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</si>
  <si>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</si>
  <si>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</si>
  <si>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</si>
  <si>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</si>
  <si>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</si>
  <si>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</si>
  <si>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</si>
  <si>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</si>
  <si>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profil kaca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</si>
  <si>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</si>
  <si>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</si>
  <si>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</si>
  <si>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</si>
  <si>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</si>
  <si>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</si>
  <si>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Frame Profil Aluminium 2"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</si>
  <si>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</si>
  <si>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</si>
  <si>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</si>
  <si>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</si>
  <si>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Diketahui / Disetujui Oleh;</t>
  </si>
  <si>
    <r>
      <t xml:space="preserve">Plywood </t>
    </r>
    <r>
      <rPr>
        <sz val="9"/>
        <rFont val="Arial Narrow"/>
        <family val="2"/>
      </rPr>
      <t>tebal 9 mm</t>
    </r>
  </si>
  <si>
    <r>
      <t xml:space="preserve">Tukang </t>
    </r>
    <r>
      <rPr>
        <i/>
        <sz val="9"/>
        <rFont val="Arial Narrow"/>
        <family val="2"/>
      </rPr>
      <t>erection</t>
    </r>
  </si>
  <si>
    <r>
      <t xml:space="preserve">Besi </t>
    </r>
    <r>
      <rPr>
        <i/>
        <sz val="9"/>
        <rFont val="Arial Narrow"/>
        <family val="2"/>
      </rPr>
      <t>scuare tube</t>
    </r>
  </si>
  <si>
    <r>
      <t>m</t>
    </r>
    <r>
      <rPr>
        <b/>
        <sz val="9"/>
        <rFont val="Arial Narrow"/>
        <family val="2"/>
      </rPr>
      <t>2</t>
    </r>
  </si>
  <si>
    <r>
      <rPr>
        <i/>
        <sz val="9"/>
        <rFont val="Arial Narrow"/>
        <family val="2"/>
      </rPr>
      <t xml:space="preserve">vertical blinds </t>
    </r>
    <r>
      <rPr>
        <sz val="9"/>
        <rFont val="Arial Narrow"/>
        <family val="2"/>
      </rPr>
      <t>(tirai)</t>
    </r>
  </si>
  <si>
    <t>Pemasangan 1 m2 paving block tebal 6 cm</t>
  </si>
  <si>
    <t>Pemasangan 1 m2 paving block tebal 8 cm</t>
  </si>
  <si>
    <r>
      <t xml:space="preserve">Plywood </t>
    </r>
    <r>
      <rPr>
        <sz val="9"/>
        <rFont val="Arial Narrow"/>
        <family val="2"/>
      </rPr>
      <t>4 mm (90 x 220) cm</t>
    </r>
  </si>
  <si>
    <r>
      <t xml:space="preserve">Bak air </t>
    </r>
    <r>
      <rPr>
        <i/>
        <sz val="9"/>
        <rFont val="Arial Narrow"/>
        <family val="2"/>
      </rPr>
      <t>fibreglass</t>
    </r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</si>
  <si>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</si>
  <si>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</si>
  <si>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</si>
  <si>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</si>
  <si>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</si>
  <si>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</si>
  <si>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</si>
  <si>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</si>
  <si>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</si>
  <si>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</si>
  <si>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</si>
  <si>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</si>
  <si>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</si>
  <si>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</si>
  <si>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</si>
  <si>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</si>
  <si>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</si>
  <si>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</si>
  <si>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</si>
  <si>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</si>
  <si>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</si>
  <si>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</si>
  <si>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</si>
  <si>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</si>
  <si>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</si>
  <si>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</si>
  <si>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</si>
  <si>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</si>
  <si>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</si>
  <si>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</si>
  <si>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</si>
  <si>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</si>
  <si>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</si>
  <si>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</si>
  <si>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</si>
  <si>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</si>
  <si>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</si>
  <si>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</si>
  <si>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</si>
  <si>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</si>
  <si>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</si>
  <si>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</si>
  <si>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</si>
  <si>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</si>
  <si>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</si>
  <si>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</si>
  <si>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</si>
  <si>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</si>
  <si>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</si>
  <si>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</si>
  <si>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</si>
  <si>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</si>
  <si>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</si>
  <si>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</si>
  <si>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</si>
  <si>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</si>
  <si>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</si>
  <si>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</si>
  <si>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</si>
  <si>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</si>
  <si>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</si>
  <si>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</si>
  <si>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</si>
  <si>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</si>
  <si>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</si>
  <si>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</si>
  <si>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</si>
  <si>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</si>
  <si>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</si>
  <si>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</si>
  <si>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</si>
  <si>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</si>
  <si>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</si>
  <si>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</si>
  <si>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</si>
  <si>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</si>
  <si>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</si>
  <si>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</si>
  <si>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</si>
  <si>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</si>
  <si>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</si>
  <si>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</si>
  <si>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</si>
  <si>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</si>
  <si>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</si>
  <si>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</si>
  <si>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</si>
  <si>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</si>
  <si>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</si>
  <si>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</si>
  <si>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</si>
  <si>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</si>
  <si>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</si>
  <si>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</si>
  <si>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</si>
  <si>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</si>
  <si>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</si>
  <si>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</si>
  <si>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</si>
  <si>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</si>
  <si>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</si>
  <si>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</si>
  <si>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</si>
  <si>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</si>
  <si>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</si>
  <si>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</si>
  <si>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</si>
  <si>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</si>
  <si>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</si>
  <si>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</si>
  <si>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</si>
  <si>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</si>
  <si>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</si>
  <si>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</si>
  <si>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</si>
  <si>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</si>
  <si>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</si>
  <si>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</si>
  <si>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</si>
  <si>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</si>
  <si>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</si>
  <si>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</si>
  <si>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</si>
  <si>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</si>
  <si>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</si>
  <si>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</si>
  <si>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</si>
  <si>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</si>
  <si>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</si>
  <si>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</si>
  <si>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</si>
  <si>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</si>
  <si>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</si>
  <si>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</si>
  <si>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</si>
  <si>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</si>
  <si>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</si>
  <si>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</si>
  <si>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</si>
  <si>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</si>
  <si>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</si>
  <si>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</si>
  <si>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</si>
  <si>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</si>
  <si>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</si>
  <si>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</si>
  <si>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</si>
  <si>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</si>
  <si>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</si>
  <si>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</si>
  <si>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</si>
  <si>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</si>
  <si>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</si>
  <si>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</si>
  <si>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</si>
  <si>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</si>
  <si>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</si>
  <si>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</si>
  <si>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</si>
  <si>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</si>
  <si>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</si>
  <si>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</si>
  <si>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</si>
  <si>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</si>
  <si>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</si>
  <si>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</si>
  <si>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</si>
  <si>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</si>
  <si>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</si>
  <si>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</si>
  <si>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</si>
  <si>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</si>
  <si>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</si>
  <si>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</si>
  <si>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</si>
  <si>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</si>
  <si>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</si>
  <si>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</si>
  <si>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</si>
  <si>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</si>
  <si>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</si>
  <si>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</si>
  <si>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</si>
  <si>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</si>
  <si>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</si>
  <si>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</si>
  <si>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</si>
  <si>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</si>
  <si>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</si>
  <si>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</si>
  <si>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</si>
  <si>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</si>
  <si>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</si>
  <si>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</si>
  <si>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</si>
  <si>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</si>
  <si>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</si>
  <si>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</si>
  <si>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</si>
  <si>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</si>
  <si>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</si>
  <si>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</si>
  <si>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</si>
  <si>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</si>
  <si>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</si>
  <si>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</si>
  <si>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</si>
  <si>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</si>
  <si>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</si>
  <si>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</si>
  <si>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</si>
  <si>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</si>
  <si>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</si>
  <si>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</si>
  <si>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</si>
  <si>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</si>
  <si>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</si>
  <si>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</si>
  <si>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</si>
  <si>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</si>
  <si>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</si>
  <si>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</si>
  <si>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</si>
  <si>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</si>
  <si>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</si>
  <si>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</si>
  <si>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</si>
  <si>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</si>
  <si>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</si>
  <si>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</si>
  <si>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</si>
  <si>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</si>
  <si>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</si>
  <si>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</si>
  <si>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</si>
  <si>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</si>
  <si>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</si>
  <si>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</si>
  <si>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</si>
  <si>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</si>
  <si>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</si>
  <si>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</si>
  <si>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</si>
  <si>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</si>
  <si>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</si>
  <si>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</si>
  <si>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</si>
  <si>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</si>
  <si>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</si>
  <si>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r>
      <t xml:space="preserve">Plywood </t>
    </r>
    <r>
      <rPr>
        <sz val="9"/>
        <rFont val="Arial Narrow"/>
        <family val="2"/>
      </rPr>
      <t>tebal 4 mm Uk. (90 x 220) cm</t>
    </r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</si>
  <si>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</si>
  <si>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</si>
  <si>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</si>
  <si>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</si>
  <si>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</si>
  <si>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</si>
  <si>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</si>
  <si>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</si>
  <si>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</si>
  <si>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</si>
  <si>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</si>
  <si>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</si>
  <si>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</si>
  <si>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</si>
  <si>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</si>
  <si>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</si>
  <si>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</si>
  <si>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</si>
  <si>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</si>
  <si>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</si>
  <si>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</si>
  <si>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</si>
  <si>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</si>
  <si>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</si>
  <si>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</si>
  <si>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</si>
  <si>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</si>
  <si>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</si>
  <si>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</si>
  <si>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</si>
  <si>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</si>
  <si>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</si>
  <si>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</si>
  <si>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</si>
  <si>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</si>
  <si>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</si>
  <si>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</si>
  <si>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</si>
  <si>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</si>
  <si>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</si>
  <si>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</si>
  <si>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</si>
  <si>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</si>
  <si>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</si>
  <si>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</si>
  <si>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</si>
  <si>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</si>
  <si>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</si>
  <si>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</si>
  <si>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</si>
  <si>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</si>
  <si>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</si>
  <si>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</si>
  <si>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</si>
  <si>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</si>
  <si>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</si>
  <si>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</si>
  <si>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</si>
  <si>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</si>
  <si>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</si>
  <si>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</si>
  <si>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</si>
  <si>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</si>
  <si>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</si>
  <si>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</si>
  <si>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</si>
  <si>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</si>
  <si>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</si>
  <si>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</si>
  <si>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</si>
  <si>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</si>
  <si>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</si>
  <si>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</si>
  <si>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</si>
  <si>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</si>
  <si>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</si>
  <si>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</si>
  <si>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</si>
  <si>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1 m2 Mengecatan Bidang Besi dengan cat perak</t>
  </si>
  <si>
    <t>1 m2 Pengecatan Tembok Luar Wheatershields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</si>
  <si>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</si>
  <si>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</si>
  <si>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</si>
  <si>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</si>
  <si>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</si>
  <si>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</si>
  <si>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</si>
  <si>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</si>
  <si>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</si>
  <si>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</si>
  <si>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</si>
  <si>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</si>
  <si>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</si>
  <si>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</si>
  <si>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</si>
  <si>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</si>
  <si>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</si>
  <si>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</si>
  <si>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</si>
  <si>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</si>
  <si>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</si>
  <si>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</si>
  <si>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</si>
  <si>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</si>
  <si>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</si>
  <si>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</si>
  <si>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</si>
  <si>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</si>
  <si>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</si>
  <si>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</si>
  <si>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</si>
  <si>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</si>
  <si>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</si>
  <si>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</si>
  <si>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</si>
  <si>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</si>
  <si>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</si>
  <si>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</si>
  <si>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</si>
  <si>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</si>
  <si>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</si>
  <si>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</si>
  <si>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</si>
  <si>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</si>
  <si>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</si>
  <si>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</si>
  <si>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</si>
  <si>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</si>
  <si>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</si>
  <si>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</si>
  <si>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</si>
  <si>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</si>
  <si>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</si>
  <si>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</si>
  <si>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</si>
  <si>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</si>
  <si>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</si>
  <si>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</si>
  <si>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</si>
  <si>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</si>
  <si>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</si>
  <si>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</si>
  <si>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</si>
  <si>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</si>
  <si>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</si>
  <si>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</si>
  <si>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</si>
  <si>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</si>
  <si>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</si>
  <si>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</si>
  <si>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</si>
  <si>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</si>
  <si>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</si>
  <si>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</si>
  <si>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</si>
  <si>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</si>
  <si>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</si>
  <si>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</si>
  <si>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</si>
  <si>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</si>
  <si>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</si>
  <si>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</si>
  <si>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</si>
  <si>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</si>
  <si>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</si>
  <si>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</si>
  <si>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</si>
  <si>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</si>
  <si>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</si>
  <si>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</si>
  <si>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</si>
  <si>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</si>
  <si>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</si>
  <si>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</si>
  <si>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</si>
  <si>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</si>
  <si>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</si>
  <si>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</si>
  <si>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</si>
  <si>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</si>
  <si>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</si>
  <si>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</si>
  <si>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</si>
  <si>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</si>
  <si>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</si>
  <si>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</si>
  <si>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</si>
  <si>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</si>
  <si>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</si>
  <si>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</si>
  <si>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</si>
  <si>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</si>
  <si>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</si>
  <si>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</si>
  <si>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</si>
  <si>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</si>
  <si>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</si>
  <si>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</si>
  <si>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</si>
  <si>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</si>
  <si>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</si>
  <si>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</si>
  <si>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</si>
  <si>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</si>
  <si>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Pasang 1 Lampu Baret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</si>
  <si>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</si>
  <si>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</si>
  <si>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</si>
  <si>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</si>
  <si>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</si>
  <si>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</si>
  <si>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</si>
  <si>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</si>
  <si>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</si>
  <si>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</si>
  <si>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</si>
  <si>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</si>
  <si>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</si>
  <si>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</si>
  <si>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</si>
  <si>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</si>
  <si>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</si>
  <si>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</si>
  <si>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</si>
  <si>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</si>
  <si>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</si>
  <si>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</si>
  <si>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</si>
  <si>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</si>
  <si>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</si>
  <si>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</si>
  <si>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</si>
  <si>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</si>
  <si>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</si>
  <si>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</si>
  <si>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REKAPITULASI ANALISA 2019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</si>
  <si>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</si>
  <si>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</si>
  <si>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</si>
  <si>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</si>
  <si>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</si>
  <si>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</si>
  <si>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</si>
  <si>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</si>
  <si>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</si>
  <si>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</si>
  <si>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</si>
  <si>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</si>
  <si>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</si>
  <si>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</si>
  <si>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</si>
  <si>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</si>
  <si>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</si>
  <si>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</si>
  <si>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</si>
  <si>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</si>
  <si>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</si>
  <si>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39000/5kg</t>
  </si>
  <si>
    <t>96000/5kg</t>
  </si>
  <si>
    <t>TEMBUNG</t>
  </si>
  <si>
    <t>MARELAN</t>
  </si>
  <si>
    <t>SELAYANG</t>
  </si>
  <si>
    <t>JOHOR</t>
  </si>
  <si>
    <t>TUNTUNGAN</t>
  </si>
  <si>
    <t>BARAT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</si>
  <si>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</si>
  <si>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</si>
  <si>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</si>
  <si>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</si>
  <si>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</si>
  <si>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</si>
  <si>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m2 kaca tebal 3 mm</t>
  </si>
  <si>
    <t>Pemasangan 1 buah door closer</t>
  </si>
  <si>
    <t>A.4.4.2.27 A</t>
  </si>
  <si>
    <t>Cat Waterprofing</t>
  </si>
  <si>
    <t>Serat Fiber</t>
  </si>
  <si>
    <t>Pemasangan 1 m2 Waterpforing lantai</t>
  </si>
  <si>
    <t>DAFTAR    UPAH/ BAHAN  2019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</si>
  <si>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</si>
  <si>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</si>
  <si>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</si>
  <si>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</si>
  <si>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</si>
  <si>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</si>
  <si>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</si>
  <si>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</si>
  <si>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</si>
  <si>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</si>
  <si>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</si>
  <si>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</si>
  <si>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</si>
  <si>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</si>
  <si>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</si>
  <si>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</si>
  <si>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</si>
  <si>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</si>
  <si>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</si>
  <si>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</si>
  <si>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</si>
  <si>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</si>
  <si>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142000/kotak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</si>
  <si>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</si>
  <si>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</si>
  <si>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</si>
  <si>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</si>
  <si>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</si>
  <si>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</si>
  <si>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</si>
  <si>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</si>
  <si>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</si>
  <si>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</si>
  <si>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</si>
  <si>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</si>
  <si>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</si>
  <si>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</si>
  <si>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</si>
  <si>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</si>
  <si>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</si>
  <si>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</si>
  <si>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</si>
  <si>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</si>
  <si>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</si>
  <si>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</si>
  <si>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1*2*0,05</t>
  </si>
  <si>
    <t>0,2*1*0,05</t>
  </si>
  <si>
    <t>Pemasangan 1 m2 bekisting untuk dinding</t>
  </si>
  <si>
    <t>RB 26 per 5Kg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</si>
  <si>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</si>
  <si>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</si>
  <si>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</si>
  <si>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</si>
  <si>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</si>
  <si>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</si>
  <si>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</si>
  <si>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</si>
  <si>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</si>
  <si>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</si>
  <si>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</si>
  <si>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</si>
  <si>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</si>
  <si>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</si>
  <si>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lambrisering kayu tebal 9 mm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</si>
  <si>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</si>
  <si>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</si>
  <si>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</si>
  <si>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</si>
  <si>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</si>
  <si>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</si>
  <si>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Plywood 6mm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</si>
  <si>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</si>
  <si>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</si>
  <si>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</si>
  <si>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</si>
  <si>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</si>
  <si>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</si>
  <si>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</si>
  <si>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</si>
  <si>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</si>
  <si>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</si>
  <si>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</si>
  <si>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</si>
  <si>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</si>
  <si>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</si>
  <si>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</si>
  <si>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</si>
  <si>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</si>
  <si>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</si>
  <si>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</si>
  <si>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</si>
  <si>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</si>
  <si>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Shower Spray</t>
  </si>
  <si>
    <t>Jet Washer Shower + Kran setara TOTO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</si>
  <si>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</si>
  <si>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</si>
  <si>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</si>
  <si>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</si>
  <si>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</si>
  <si>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</si>
  <si>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</si>
  <si>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</si>
  <si>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</si>
  <si>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</si>
  <si>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</si>
  <si>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</si>
  <si>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</si>
  <si>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</si>
  <si>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</si>
  <si>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</si>
  <si>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</si>
  <si>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</si>
  <si>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Pengecatan 1 m2 tembok lama (1 lapis cat dasar 2 lapis cat penutup)</t>
  </si>
  <si>
    <t>Pemasangan 1 buah kran diameter ½” atau 3/4”</t>
  </si>
  <si>
    <t>Pemasangan 1 buah Stop Kran  ½” atau 3/4”</t>
  </si>
  <si>
    <t>Pemasangan 1 buah Jet Washer Shower Spray + Kran setara TOTO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</si>
  <si>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</si>
  <si>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</si>
  <si>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</si>
  <si>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</si>
  <si>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</si>
  <si>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</si>
  <si>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</si>
  <si>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</si>
  <si>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</si>
  <si>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</si>
  <si>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610,000/100m'</t>
  </si>
  <si>
    <t>Kabel listrik NYM 3x2,5mm</t>
  </si>
  <si>
    <t>Kabel listrik NYM 3x1,5mm</t>
  </si>
  <si>
    <t>380,000/50m'</t>
  </si>
  <si>
    <t>1,100,000/100m'</t>
  </si>
  <si>
    <t>1,300,000/100m'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</si>
  <si>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</si>
  <si>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</si>
  <si>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</si>
  <si>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</si>
  <si>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</si>
  <si>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</si>
  <si>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110,000/50m'</t>
  </si>
  <si>
    <t>4,000/m'</t>
  </si>
  <si>
    <t>6,500/m'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</si>
  <si>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</si>
  <si>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</si>
  <si>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</si>
  <si>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</si>
  <si>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</si>
  <si>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</si>
  <si>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</si>
  <si>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</si>
  <si>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</si>
  <si>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</si>
  <si>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PERUMAHAN, KAWASAN PERMUKIMAN DAN PENATAAN RUANG KOTA MEDAN</t>
  </si>
  <si>
    <t>PERUMAHAN, KAWASAN PERMUKIMAN DAN                        PENATAAN RUANG KOTA MEDAN</t>
  </si>
  <si>
    <t>Plt. KEPALA DINAS</t>
  </si>
  <si>
    <t>BENNY ISKANDAR, ST, MT</t>
  </si>
  <si>
    <t>Pembina</t>
  </si>
  <si>
    <t>NIP. 19740429 200003 1 008</t>
  </si>
  <si>
    <t>Medan,                                                          2019</t>
  </si>
  <si>
    <r>
      <t>HDPE Spigot Bend dia. 4" x 90</t>
    </r>
    <r>
      <rPr>
        <sz val="11"/>
        <color indexed="8"/>
        <rFont val="Arial Narrow"/>
        <family val="2"/>
      </rPr>
      <t>°</t>
    </r>
  </si>
  <si>
    <r>
      <t>HDPE Spigot Bend dia. 3" x 90</t>
    </r>
    <r>
      <rPr>
        <sz val="11"/>
        <color indexed="8"/>
        <rFont val="Arial Narrow"/>
        <family val="2"/>
      </rPr>
      <t>°</t>
    </r>
  </si>
  <si>
    <r>
      <t>HDPE Spigot Bend dia. 2" x 90</t>
    </r>
    <r>
      <rPr>
        <sz val="11"/>
        <color indexed="8"/>
        <rFont val="Arial Narrow"/>
        <family val="2"/>
      </rPr>
      <t>°</t>
    </r>
  </si>
  <si>
    <t>ANALISA HARGA SATUAN 2019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</si>
  <si>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</si>
  <si>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</si>
  <si>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</si>
  <si>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</si>
  <si>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</si>
  <si>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</si>
  <si>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</si>
  <si>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</si>
  <si>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</si>
  <si>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1 m2 Mengecatan Bidang Kayu/Besi Lama (2 lapis cat penutup)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</si>
  <si>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</si>
  <si>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</si>
  <si>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</si>
  <si>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</si>
  <si>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</si>
  <si>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</si>
  <si>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</si>
  <si>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</si>
  <si>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</si>
  <si>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</si>
  <si>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</si>
  <si>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Frame Alumunium Hollow 2"</t>
  </si>
  <si>
    <t>Pembuatan 1 m2 rumah jaga (konstruksi kayu )</t>
  </si>
  <si>
    <t>No.</t>
  </si>
  <si>
    <t>Uraian Pekerjaan</t>
  </si>
  <si>
    <t>Panjang</t>
  </si>
  <si>
    <t>Lebar</t>
  </si>
  <si>
    <t xml:space="preserve">Jumlah </t>
  </si>
  <si>
    <t>Tinggi</t>
  </si>
  <si>
    <t>Total</t>
  </si>
  <si>
    <t>Analisa</t>
  </si>
  <si>
    <t>Volume</t>
  </si>
  <si>
    <t>satuan</t>
  </si>
  <si>
    <t>Harga Satuan</t>
  </si>
  <si>
    <t>Jumlah</t>
  </si>
  <si>
    <t>Supl. GRC1</t>
  </si>
  <si>
    <t>Memasang 1 m2  GRC Rangka Canal C75</t>
  </si>
  <si>
    <t>Cannal C75</t>
  </si>
  <si>
    <t>Baut</t>
  </si>
  <si>
    <t>GRC</t>
  </si>
  <si>
    <t>GRC Board</t>
  </si>
  <si>
    <t>Supl. GRC2</t>
  </si>
  <si>
    <t>Memasang 1 m2  Dinding Double GRC Rangka Canal C75 Modul 60x120 cm</t>
  </si>
  <si>
    <t>A.4.5.1.8.1</t>
  </si>
  <si>
    <t>Pemasangan 1 m2  ukuran (60x120) cm berikut rangka alluminium</t>
  </si>
  <si>
    <t>Rangka Puring</t>
  </si>
  <si>
    <t>Jumlah Harga</t>
  </si>
  <si>
    <t>PEKERJAAN PENDAHULUAN</t>
  </si>
  <si>
    <t>Pembulatan</t>
  </si>
  <si>
    <t>REKAPITULASI</t>
  </si>
  <si>
    <t>Pekerjaan</t>
  </si>
  <si>
    <t>:</t>
  </si>
  <si>
    <t>Instansi</t>
  </si>
  <si>
    <t>Tahun Anggaran</t>
  </si>
  <si>
    <t>I.</t>
  </si>
  <si>
    <t xml:space="preserve">II. </t>
  </si>
  <si>
    <t>Pekerjaan Pengkuran kembali</t>
  </si>
  <si>
    <t>Perancah Alat Bantu Kerja</t>
  </si>
  <si>
    <t>PEKERJAAN BONGKARAN</t>
  </si>
  <si>
    <t>;;;;;;;;;;;;;;;;;</t>
  </si>
  <si>
    <t>ANALISA HARGA SATUAN 2022</t>
  </si>
  <si>
    <t>real</t>
  </si>
  <si>
    <t>`</t>
  </si>
  <si>
    <t>Pek. Bongkaran Atap</t>
  </si>
  <si>
    <t>Pek. Bongkaran Pintu P1</t>
  </si>
  <si>
    <t>V</t>
  </si>
  <si>
    <t>IV</t>
  </si>
  <si>
    <t>Pek. K3</t>
  </si>
  <si>
    <t>PEKERJAAN GALIAN</t>
  </si>
  <si>
    <t>Membuat 1 m3 beton mutu f’  = 14.5 MPa (K 175). slump (12 ±2) cm. w/c = 0.66 (Rabat Beton)</t>
  </si>
  <si>
    <t>Pasang 1 Lampu LED 18 Watt</t>
  </si>
  <si>
    <t>ih</t>
  </si>
  <si>
    <t>Pek. Bongkar Dinding</t>
  </si>
  <si>
    <t>PPn 11%</t>
  </si>
  <si>
    <t>Pek. Bongkar Instalasi Listrik</t>
  </si>
  <si>
    <t>PEKERJAAN PERSIAPAN</t>
  </si>
  <si>
    <t>PEKERJAAN REHAB GUDANG PEYIMPANAN BENIH PADI</t>
  </si>
  <si>
    <t>Pek. Galian Pondasi Tapak (PT1)</t>
  </si>
  <si>
    <t>Pek. Galian Pondasi Tapak (PT2)</t>
  </si>
  <si>
    <t>Pek. Galian Pondasi Tapak (PT3)</t>
  </si>
  <si>
    <t>Pek. Galian Pondasi Tapak (PT4)</t>
  </si>
  <si>
    <t>Pek. Galian Dinding  Penahan (DP1)</t>
  </si>
  <si>
    <t>Pek. Galian Dinding  Penahan (DP2)</t>
  </si>
  <si>
    <t>Pek. Urug Pondasi Tapak (PT1)</t>
  </si>
  <si>
    <t>Pek. Urug Pondasi Tapak (PT2)</t>
  </si>
  <si>
    <t>Pek. Urug Pondasi Tapak (PT3)</t>
  </si>
  <si>
    <t>Pek. Urug Pondasi Tapak (PT4)</t>
  </si>
  <si>
    <t>Pek. Urug Dinding  Penahan (DP1)</t>
  </si>
  <si>
    <t>Pek. Urug Penahan (DP2)</t>
  </si>
  <si>
    <t xml:space="preserve">PEKERJAAN URUGAN </t>
  </si>
  <si>
    <t xml:space="preserve">PEKERJAAN BETON </t>
  </si>
  <si>
    <t>Pek. Pondasi Tapak (PT1)</t>
  </si>
  <si>
    <t>-Pek. Beton Cor Pedestal</t>
  </si>
  <si>
    <t>-Pek. Pembesian</t>
  </si>
  <si>
    <t>-Pek. Bekisting</t>
  </si>
  <si>
    <t>- Pek. Cor Lantai Kerja</t>
  </si>
  <si>
    <t>Pek. Pondasi Tapak (PT2)</t>
  </si>
  <si>
    <t>Pek. Pondasi Tapak (PT3)</t>
  </si>
  <si>
    <t>Pek. Pondasi Tapak (PT4)</t>
  </si>
  <si>
    <t>PEKERJAAN PONDASI TAPAK (PT)</t>
  </si>
  <si>
    <t>PEKERJAAN DINDING PENAHAN (DP)</t>
  </si>
  <si>
    <t>- Pek. Pasir Urug</t>
  </si>
  <si>
    <t>Pek. Dinding Penahan (DP1)</t>
  </si>
  <si>
    <t>- Pek. Pasangan Batu Kali</t>
  </si>
  <si>
    <t>- Pek. Plastaran Batu Kali Sisi Luar</t>
  </si>
  <si>
    <t>Pek. Dinding Penahan (DP2)</t>
  </si>
  <si>
    <t>Pek. Tanah Timbun</t>
  </si>
  <si>
    <t>Pek. Sloof 20x30 cm</t>
  </si>
  <si>
    <t>- Pek. Beton</t>
  </si>
  <si>
    <t>- Pek. Pembesian</t>
  </si>
  <si>
    <t>- Pek. Bekisting</t>
  </si>
  <si>
    <t>Pek. Kolom 20x20 cm</t>
  </si>
  <si>
    <t>Pek. Balok Latei 15x15 cm</t>
  </si>
  <si>
    <t>Pek. Ring Balok 15x20 cm</t>
  </si>
  <si>
    <t>Pek. Rabat Beton Bertulang t=12 cm (lantai)</t>
  </si>
  <si>
    <r>
      <t>Pek. Dinding Bata 1</t>
    </r>
    <r>
      <rPr>
        <sz val="11"/>
        <color rgb="FF000000"/>
        <rFont val="Calibri"/>
        <family val="2"/>
      </rPr>
      <t>:</t>
    </r>
    <r>
      <rPr>
        <sz val="11"/>
        <color rgb="FF000000"/>
        <rFont val="Calibri"/>
        <family val="2"/>
        <charset val="204"/>
      </rPr>
      <t>4 (Penambahan Dinding Bata Eksisting)</t>
    </r>
  </si>
  <si>
    <t>PEKERJAAN DINDING DAN PLASTERAN</t>
  </si>
  <si>
    <t>Pek. Dinding Bata 1:4 (Baru)</t>
  </si>
  <si>
    <r>
      <t>Pek. Plasteran 1</t>
    </r>
    <r>
      <rPr>
        <sz val="11"/>
        <color rgb="FF000000"/>
        <rFont val="Calibri"/>
        <family val="2"/>
      </rPr>
      <t>:4 (Penambahan Plasteran Bata Eksisting)</t>
    </r>
  </si>
  <si>
    <t>Pek. Plasteran 1:4 (Baru)</t>
  </si>
  <si>
    <t>VI</t>
  </si>
  <si>
    <t>VII</t>
  </si>
  <si>
    <t>PEKERJAAN KUSEN VENTILASI DAN PINTU</t>
  </si>
  <si>
    <t>Pek. Kusen Ventilasi V1</t>
  </si>
  <si>
    <t>Pek. Pintu Besi P1</t>
  </si>
  <si>
    <t>VIII</t>
  </si>
  <si>
    <t>PEKERJAAN ATAP</t>
  </si>
  <si>
    <t xml:space="preserve">Pek. Rangka Atap Cannal C 75 </t>
  </si>
  <si>
    <t>Pek. Atap Spandeck t=0.35 mm</t>
  </si>
  <si>
    <t xml:space="preserve">Pek. Jurai </t>
  </si>
  <si>
    <t xml:space="preserve">Pek. Rabung </t>
  </si>
  <si>
    <t>IX</t>
  </si>
  <si>
    <t>PEKERJAAN PENGECATAN</t>
  </si>
  <si>
    <t>Pek. Pengecatan Dinding Bata (Eksisting)</t>
  </si>
  <si>
    <t>Pek. Pengecatan Dinding Bata (Baru)</t>
  </si>
  <si>
    <t>Pek. Pengecatan Kusen V1</t>
  </si>
  <si>
    <t>Pek. Pengecatan Kusen V2</t>
  </si>
  <si>
    <t>X</t>
  </si>
  <si>
    <t xml:space="preserve">PEKERJAAN ELEKTRIKAL </t>
  </si>
  <si>
    <t>Pek. Pasang Instalasi Titik Nyala</t>
  </si>
  <si>
    <t>Pek. Pasang Lampu LED</t>
  </si>
  <si>
    <t>Pek. Pasang Saklar Tunggal</t>
  </si>
  <si>
    <t>Pek. Pasang Saklar Ganda</t>
  </si>
  <si>
    <t>Pek. Pasang Saklar Triple</t>
  </si>
  <si>
    <t>XI</t>
  </si>
  <si>
    <t>PEKERJAAN AKHIR</t>
  </si>
  <si>
    <t>Pek. Pembersihan Akhir</t>
  </si>
  <si>
    <t>Tapak</t>
  </si>
  <si>
    <t>berat besi 12</t>
  </si>
  <si>
    <t>Tiang</t>
  </si>
  <si>
    <t>besi 12</t>
  </si>
  <si>
    <t>besi 8</t>
  </si>
  <si>
    <t>berat besi 8</t>
  </si>
  <si>
    <t>Grand total besi</t>
  </si>
  <si>
    <t>;;;;;;;;;</t>
  </si>
  <si>
    <t>baru</t>
  </si>
  <si>
    <t>Lama</t>
  </si>
  <si>
    <t>berat besi  M8</t>
  </si>
  <si>
    <t>Pengurangan</t>
  </si>
  <si>
    <t>V1</t>
  </si>
  <si>
    <t>v2</t>
  </si>
  <si>
    <t>Bawang Pintu</t>
  </si>
  <si>
    <t>Section 1</t>
  </si>
  <si>
    <t>V2</t>
  </si>
  <si>
    <t>ttk</t>
  </si>
  <si>
    <t xml:space="preserve">Overhead &amp; Profit </t>
  </si>
  <si>
    <t>Ubin keramik 40x40 cm</t>
  </si>
  <si>
    <t>Ubin keramik 25x25 cm</t>
  </si>
  <si>
    <t>Keramik 25x40 cm</t>
  </si>
  <si>
    <t>Baut Reng</t>
  </si>
  <si>
    <t>A.4.2.1.4 supl. 1</t>
  </si>
  <si>
    <t>Pembuatan 1 m2 pintu besi plat baja tebal 2 mm rangkap rangka UNP 50.38.5</t>
  </si>
  <si>
    <t>Besi siku UNP 50.38.5</t>
  </si>
  <si>
    <t>Kaki</t>
  </si>
  <si>
    <t>Ltr</t>
  </si>
  <si>
    <t>Beban Umum K3</t>
  </si>
  <si>
    <t>Topi Keselamatan (Helmet)</t>
  </si>
  <si>
    <t>Rompi Keselamatan (safety Vest)</t>
  </si>
  <si>
    <t>Sarung Tangan (Safety Gloves)</t>
  </si>
  <si>
    <t>Psg</t>
  </si>
  <si>
    <t>Sepatu Keselamatan (Safety Shoes)</t>
  </si>
  <si>
    <t>Kk</t>
  </si>
  <si>
    <t>6.</t>
  </si>
  <si>
    <t>- Pek. Acian Lantai</t>
  </si>
  <si>
    <t>-Pek Acian Lantai</t>
  </si>
  <si>
    <t>A.2.2.1.9</t>
  </si>
  <si>
    <t>Pembersihan Lapangan dan Perataan</t>
  </si>
  <si>
    <t>A. 2.2.1.4.</t>
  </si>
  <si>
    <t>Pengukuran dan pemasangan 1 m' bouwplank</t>
  </si>
  <si>
    <t>Kayu Balok</t>
  </si>
  <si>
    <t xml:space="preserve">Paku </t>
  </si>
  <si>
    <t>Harga Satuan Pekerjaan Untuk 4 x pakai</t>
  </si>
  <si>
    <t>Pek. Bouwplank</t>
  </si>
  <si>
    <t>Medan,    Maret   2023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</si>
  <si>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 xml:space="preserve">Lima Ratus Empat Puluh Lima Juta Sembilan Ratus Sembilan Puluh Delapan </t>
    </r>
  </si>
  <si>
    <t>Ribu Rupiah."</t>
  </si>
  <si>
    <t>Lokasi</t>
  </si>
  <si>
    <t>DINAS KETAHANAN PANGAN, TANAMAN PANGAN DAN HORTIKULTURA</t>
  </si>
  <si>
    <t>PROVINSI SUMATERA UTARA</t>
  </si>
  <si>
    <t>UPT BIAT GABE HUTARAJA, TAPANULI UTARA</t>
  </si>
  <si>
    <t>RENCANA ANGGARAN BIAYA</t>
  </si>
  <si>
    <t>DAFTAR   UPAH KERJA</t>
  </si>
  <si>
    <t>RENOVASI GUDANG PENYIMPANAN BENIH PADI DI UPT BIAT GABE HUTARAJA</t>
  </si>
</sst>
</file>

<file path=xl/styles.xml><?xml version="1.0" encoding="utf-8"?>
<styleSheet xmlns="http://schemas.openxmlformats.org/spreadsheetml/2006/main">
  <numFmts count="6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;\-&quot;Rp&quot;#,##0.0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&quot;Rp&quot;#,##0_);\(&quot;Rp&quot;#,##0\)"/>
    <numFmt numFmtId="169" formatCode="&quot;Rp&quot;#,##0_);[Red]\(&quot;Rp&quot;#,##0\)"/>
    <numFmt numFmtId="170" formatCode="&quot;Rp&quot;#,##0.00_);\(&quot;Rp&quot;#,##0.00\)"/>
    <numFmt numFmtId="171" formatCode="_(&quot;Rp&quot;* #,##0_);_(&quot;Rp&quot;* \(#,##0\);_(&quot;Rp&quot;* &quot;-&quot;_);_(@_)"/>
    <numFmt numFmtId="172" formatCode="_(&quot;Rp&quot;* #,##0.00_);_(&quot;Rp&quot;* \(#,##0.00\);_(&quot;Rp&quot;* &quot;-&quot;??_);_(@_)"/>
    <numFmt numFmtId="173" formatCode="0.0000"/>
    <numFmt numFmtId="174" formatCode="0.000"/>
    <numFmt numFmtId="175" formatCode="_(* #,##0.00_);_(* \(#,##0.00\);_(* &quot;-&quot;_);_(@_)"/>
    <numFmt numFmtId="176" formatCode="_(&quot;Rp&quot;* #,##0.00_);_(&quot;Rp&quot;* \(#,##0.00\);_(&quot;Rp&quot;* &quot;-&quot;_);_(@_)"/>
    <numFmt numFmtId="177" formatCode="_(* #,##0.000_);_(* \(#,##0.000\);_(* &quot;-&quot;_);_(@_)"/>
    <numFmt numFmtId="178" formatCode="#."/>
    <numFmt numFmtId="179" formatCode="#,##0.00\ _$;\-#,##0.00\ _$"/>
    <numFmt numFmtId="180" formatCode="#,##0.00\ &quot;Pts&quot;;[Red]\-#,##0.00\ &quot;Pts&quot;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_(* #,##0.00000_);_(* \(#,##0.00000\);_(* &quot;-&quot;??_);_(@_)"/>
    <numFmt numFmtId="185" formatCode="#,##0;\-#,##0;&quot;-&quot;"/>
    <numFmt numFmtId="186" formatCode="0.000000"/>
    <numFmt numFmtId="187" formatCode="_(* #,##0.00_);_(* \(#,##0.00\);_(* \-??_);_(@_)"/>
    <numFmt numFmtId="188" formatCode="#,##0.00\ ;\(#,##0.00\)"/>
    <numFmt numFmtId="189" formatCode="#,##0.00\ ;&quot; (&quot;#,##0.00\);&quot; -&quot;#\ ;@\ "/>
    <numFmt numFmtId="190" formatCode="_(* #,##0.0000_);_(* \(#,##0.0000\);_(* &quot;-&quot;????_);_(@_)"/>
    <numFmt numFmtId="191" formatCode="#,##0.0_);\(#,##0.0\)"/>
    <numFmt numFmtId="192" formatCode=";;;"/>
    <numFmt numFmtId="193" formatCode="#,##0.000"/>
    <numFmt numFmtId="194" formatCode="#,##0.0_);[Red]\(#,##0.0\)"/>
    <numFmt numFmtId="195" formatCode="#,###.00"/>
    <numFmt numFmtId="196" formatCode="_(* #,##0.0_);_(* \(#,##0.0\);_(* &quot;-&quot;_);_(@_)"/>
    <numFmt numFmtId="197" formatCode="&quot;£&quot;#,##0;\-&quot;£&quot;#,##0"/>
    <numFmt numFmtId="198" formatCode="_(* #,##0.0_);_(* \(#,##0.0\);_(* &quot;-&quot;??_);_(@_)"/>
    <numFmt numFmtId="199" formatCode="#,##0.0000"/>
    <numFmt numFmtId="200" formatCode="#,##0.00;[Red]#,##0.00"/>
    <numFmt numFmtId="201" formatCode="#,##0.00_);\(#,##0.0\)"/>
    <numFmt numFmtId="202" formatCode="_-&quot;£&quot;* #,##0_-;\-&quot;£&quot;* #,##0_-;_-&quot;£&quot;* &quot;-&quot;_-;_-@_-"/>
    <numFmt numFmtId="203" formatCode="_(* #,##0.0000000000_);_(* \(#,##0.0000000000\);_(* &quot;-&quot;??_);_(@_)"/>
    <numFmt numFmtId="204" formatCode="&quot;$&quot;#,##0\ ;\(&quot;$&quot;#,##0\)"/>
    <numFmt numFmtId="205" formatCode="m/d"/>
    <numFmt numFmtId="206" formatCode="#,##0_);[Red]\(#,##0\);;@"/>
    <numFmt numFmtId="207" formatCode="_-* #,##0_-;_-* #,##0\-;_-* &quot;-&quot;_-;_-@_-"/>
    <numFmt numFmtId="208" formatCode="_-* #,##0.00_-;_-* #,##0.00\-;_-* &quot;-&quot;??_-;_-@_-"/>
    <numFmt numFmtId="209" formatCode="_([$€-2]* #,##0.00_);_([$€-2]* \(#,##0.00\);_([$€-2]* &quot;-&quot;??_)"/>
    <numFmt numFmtId="210" formatCode="_(* #,##0.00000000000000_);_(* \(#,##0.00000000000000\);_(* &quot;-&quot;??_);_(@_)"/>
    <numFmt numFmtId="211" formatCode="0.000%"/>
    <numFmt numFmtId="212" formatCode="0.00_)"/>
    <numFmt numFmtId="213" formatCode="###0.00"/>
    <numFmt numFmtId="214" formatCode="0_)"/>
    <numFmt numFmtId="215" formatCode="0.0%"/>
    <numFmt numFmtId="216" formatCode="mm/dd/yy"/>
    <numFmt numFmtId="217" formatCode="_-&quot;$&quot;* #,##0_-;\-&quot;$&quot;* #,##0_-;_-&quot;$&quot;* &quot;-&quot;_-;_-@_-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_([$Rp-421]* #,##0.00_);_([$Rp-421]* \(#,##0.00\);_([$Rp-421]* &quot;-&quot;??_);_(@_)"/>
    <numFmt numFmtId="221" formatCode="&quot;Rp&quot;\ #,##0_);\(&quot;Rp&quot;\ #,##0\)"/>
    <numFmt numFmtId="222" formatCode="_(* #,##0.0000_);_(* \(#,##0.0000\);_(* &quot;-&quot;_);_(@_)"/>
  </numFmts>
  <fonts count="176"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1"/>
      <name val="DUTCH"/>
      <family val="1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6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i/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indexed="8"/>
      <name val="Arial Narrow"/>
      <family val="2"/>
    </font>
    <font>
      <b/>
      <u/>
      <sz val="1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b/>
      <i/>
      <sz val="11"/>
      <color rgb="FF000000"/>
      <name val="Calibri"/>
      <family val="2"/>
    </font>
    <font>
      <sz val="18"/>
      <color rgb="FF000000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20"/>
      <color rgb="FF000000"/>
      <name val="Calibri"/>
      <family val="2"/>
    </font>
    <font>
      <b/>
      <i/>
      <sz val="9"/>
      <color rgb="FFFF0000"/>
      <name val="Arial Narrow"/>
      <family val="2"/>
    </font>
    <font>
      <b/>
      <sz val="12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0"/>
      <color rgb="FF000000"/>
      <name val="Calibri"/>
      <family val="2"/>
    </font>
    <font>
      <b/>
      <i/>
      <sz val="9"/>
      <color theme="1"/>
      <name val="Arial Narrow"/>
      <family val="2"/>
    </font>
    <font>
      <b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sz val="11"/>
      <name val="Calibri"/>
      <family val="2"/>
      <scheme val="minor"/>
    </font>
    <font>
      <b/>
      <sz val="20"/>
      <color rgb="FF000000"/>
      <name val="Calibri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</borders>
  <cellStyleXfs count="1480">
    <xf numFmtId="0" fontId="0" fillId="0" borderId="0"/>
    <xf numFmtId="0" fontId="25" fillId="0" borderId="0"/>
    <xf numFmtId="0" fontId="26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78" fontId="28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1" fillId="0" borderId="0"/>
    <xf numFmtId="9" fontId="2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1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6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179" fontId="34" fillId="20" borderId="0" applyAlignment="0"/>
    <xf numFmtId="179" fontId="34" fillId="20" borderId="0" applyAlignment="0"/>
    <xf numFmtId="179" fontId="34" fillId="20" borderId="0" applyAlignment="0"/>
    <xf numFmtId="0" fontId="21" fillId="0" borderId="0"/>
    <xf numFmtId="41" fontId="21" fillId="0" borderId="0" applyFont="0" applyBorder="0" applyAlignment="0"/>
    <xf numFmtId="43" fontId="21" fillId="0" borderId="0" applyFont="0" applyBorder="0" applyAlignment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180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0" fontId="33" fillId="24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25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6" fillId="0" borderId="0">
      <alignment horizontal="center" wrapText="1"/>
      <protection locked="0"/>
    </xf>
    <xf numFmtId="0" fontId="21" fillId="0" borderId="0" applyFill="0" applyBorder="0">
      <alignment vertical="center"/>
    </xf>
    <xf numFmtId="0" fontId="21" fillId="0" borderId="0" applyFill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182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0" fontId="37" fillId="3" borderId="0" applyNumberFormat="0" applyBorder="0" applyAlignment="0" applyProtection="0"/>
    <xf numFmtId="0" fontId="38" fillId="6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>
      <alignment horizontal="center"/>
    </xf>
    <xf numFmtId="0" fontId="41" fillId="5" borderId="0" applyNumberFormat="0" applyBorder="0" applyAlignment="0" applyProtection="0"/>
    <xf numFmtId="0" fontId="29" fillId="0" borderId="0"/>
    <xf numFmtId="184" fontId="21" fillId="0" borderId="0" applyFill="0" applyBorder="0" applyAlignment="0"/>
    <xf numFmtId="185" fontId="23" fillId="0" borderId="0" applyFill="0" applyBorder="0" applyAlignment="0"/>
    <xf numFmtId="0" fontId="42" fillId="26" borderId="2" applyNumberForma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43" fillId="27" borderId="4" applyNumberFormat="0" applyAlignment="0" applyProtection="0"/>
    <xf numFmtId="0" fontId="44" fillId="27" borderId="4" applyNumberFormat="0" applyAlignment="0" applyProtection="0"/>
    <xf numFmtId="43" fontId="106" fillId="0" borderId="0" applyFont="0" applyFill="0" applyBorder="0" applyAlignment="0" applyProtection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41" fontId="106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ill="0" applyBorder="0" applyAlignment="0" applyProtection="0"/>
    <xf numFmtId="0" fontId="21" fillId="0" borderId="0" applyFill="0" applyBorder="0" applyAlignment="0" applyProtection="0"/>
    <xf numFmtId="41" fontId="3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8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6" fontId="21" fillId="0" borderId="0" applyFont="0" applyFill="0" applyBorder="0" applyAlignment="0" applyProtection="0"/>
    <xf numFmtId="41" fontId="104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18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46" fillId="0" borderId="5" applyBorder="0" applyAlignment="0"/>
    <xf numFmtId="41" fontId="21" fillId="0" borderId="0"/>
    <xf numFmtId="38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24" fillId="0" borderId="0" applyNumberFormat="0" applyFont="0" applyFill="0" applyBorder="0" applyAlignment="0" applyProtection="0"/>
    <xf numFmtId="192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7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39" fontId="47" fillId="0" borderId="0" applyFont="0" applyFill="0" applyBorder="0" applyAlignment="0" applyProtection="0"/>
    <xf numFmtId="43" fontId="110" fillId="0" borderId="0" applyFont="0" applyFill="0" applyBorder="0" applyAlignment="0" applyProtection="0"/>
    <xf numFmtId="195" fontId="21" fillId="0" borderId="0" applyFill="0" applyBorder="0" applyAlignment="0" applyProtection="0"/>
    <xf numFmtId="43" fontId="10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89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70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9" fontId="21" fillId="0" borderId="0" applyFont="0" applyFill="0" applyBorder="0" applyAlignment="0" applyProtection="0"/>
    <xf numFmtId="0" fontId="21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200" fontId="21" fillId="0" borderId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1" fillId="0" borderId="0">
      <protection locked="0"/>
    </xf>
    <xf numFmtId="3" fontId="2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9" fillId="0" borderId="0" applyNumberFormat="0" applyAlignment="0">
      <alignment horizontal="left"/>
    </xf>
    <xf numFmtId="202" fontId="5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42" fontId="107" fillId="0" borderId="0" applyFont="0" applyFill="0" applyBorder="0" applyAlignment="0" applyProtection="0"/>
    <xf numFmtId="166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2" fontId="24" fillId="0" borderId="0" applyFont="0" applyFill="0" applyBorder="0" applyAlignment="0" applyProtection="0"/>
    <xf numFmtId="171" fontId="10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0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4" fontId="23" fillId="0" borderId="0" applyFont="0" applyFill="0" applyBorder="0" applyAlignment="0" applyProtection="0"/>
    <xf numFmtId="203" fontId="21" fillId="0" borderId="0">
      <protection locked="0"/>
    </xf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51" fillId="0" borderId="0"/>
    <xf numFmtId="0" fontId="51" fillId="0" borderId="6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3" fillId="0" borderId="0" applyFont="0" applyFill="0" applyBorder="0" applyAlignment="0" applyProtection="0"/>
    <xf numFmtId="205" fontId="21" fillId="0" borderId="0"/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7" fontId="53" fillId="0" borderId="0" applyFont="0" applyFill="0" applyBorder="0" applyAlignment="0" applyProtection="0"/>
    <xf numFmtId="208" fontId="53" fillId="0" borderId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5" fillId="0" borderId="0" applyNumberFormat="0" applyAlignment="0">
      <alignment horizontal="left"/>
    </xf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10" fontId="21" fillId="0" borderId="0">
      <protection locked="0"/>
    </xf>
    <xf numFmtId="0" fontId="57" fillId="4" borderId="0" applyNumberFormat="0" applyBorder="0" applyAlignment="0" applyProtection="0"/>
    <xf numFmtId="38" fontId="58" fillId="30" borderId="0" applyNumberFormat="0" applyBorder="0" applyAlignment="0" applyProtection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0" fontId="59" fillId="31" borderId="8"/>
    <xf numFmtId="0" fontId="60" fillId="0" borderId="9" applyNumberFormat="0" applyAlignment="0" applyProtection="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22" fillId="32" borderId="11">
      <alignment vertical="center" wrapText="1"/>
    </xf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2" fillId="0" borderId="12" applyNumberForma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3" fillId="0" borderId="13" applyNumberForma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>
      <protection locked="0"/>
    </xf>
    <xf numFmtId="178" fontId="65" fillId="0" borderId="0">
      <protection locked="0"/>
    </xf>
    <xf numFmtId="0" fontId="65" fillId="0" borderId="0">
      <protection locked="0"/>
    </xf>
    <xf numFmtId="178" fontId="65" fillId="0" borderId="0">
      <protection locked="0"/>
    </xf>
    <xf numFmtId="0" fontId="66" fillId="0" borderId="15">
      <alignment horizontal="center"/>
    </xf>
    <xf numFmtId="0" fontId="66" fillId="0" borderId="0">
      <alignment horizontal="center"/>
    </xf>
    <xf numFmtId="10" fontId="58" fillId="33" borderId="16" applyNumberFormat="0" applyBorder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8" fillId="0" borderId="0" applyNumberFormat="0" applyFill="0" applyBorder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70" fillId="0" borderId="5" applyNumberFormat="0" applyFont="0" applyFill="0" applyBorder="0" applyAlignment="0" applyProtection="0">
      <protection locked="0" hidden="1"/>
    </xf>
    <xf numFmtId="0" fontId="71" fillId="35" borderId="6"/>
    <xf numFmtId="0" fontId="72" fillId="0" borderId="18" applyNumberFormat="0" applyFill="0" applyAlignment="0" applyProtection="0"/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4" fillId="13" borderId="2" applyNumberFormat="0" applyAlignment="0" applyProtection="0"/>
    <xf numFmtId="0" fontId="74" fillId="13" borderId="2" applyNumberFormat="0" applyAlignment="0" applyProtection="0"/>
    <xf numFmtId="0" fontId="74" fillId="13" borderId="2" applyNumberFormat="0" applyAlignment="0" applyProtection="0"/>
    <xf numFmtId="165" fontId="2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6" fontId="40" fillId="0" borderId="0" applyFont="0" applyFill="0" applyBorder="0" applyAlignment="0" applyProtection="0"/>
    <xf numFmtId="8" fontId="40" fillId="0" borderId="0" applyFont="0" applyFill="0" applyBorder="0" applyAlignment="0" applyProtection="0"/>
    <xf numFmtId="0" fontId="75" fillId="13" borderId="0" applyNumberFormat="0" applyBorder="0" applyAlignment="0" applyProtection="0"/>
    <xf numFmtId="0" fontId="76" fillId="13" borderId="0" applyNumberFormat="0" applyBorder="0" applyAlignment="0" applyProtection="0"/>
    <xf numFmtId="37" fontId="77" fillId="0" borderId="0"/>
    <xf numFmtId="197" fontId="21" fillId="0" borderId="0"/>
    <xf numFmtId="212" fontId="78" fillId="0" borderId="0"/>
    <xf numFmtId="213" fontId="39" fillId="0" borderId="0"/>
    <xf numFmtId="197" fontId="20" fillId="0" borderId="0"/>
    <xf numFmtId="197" fontId="20" fillId="0" borderId="0"/>
    <xf numFmtId="197" fontId="20" fillId="0" borderId="0"/>
    <xf numFmtId="0" fontId="79" fillId="0" borderId="0"/>
    <xf numFmtId="0" fontId="80" fillId="0" borderId="0"/>
    <xf numFmtId="0" fontId="7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7" fillId="0" borderId="0"/>
    <xf numFmtId="0" fontId="107" fillId="0" borderId="0"/>
    <xf numFmtId="0" fontId="21" fillId="0" borderId="0"/>
    <xf numFmtId="0" fontId="21" fillId="0" borderId="0"/>
    <xf numFmtId="0" fontId="20" fillId="0" borderId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10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0" fillId="0" borderId="0"/>
    <xf numFmtId="0" fontId="21" fillId="0" borderId="0"/>
    <xf numFmtId="214" fontId="48" fillId="0" borderId="0"/>
    <xf numFmtId="0" fontId="110" fillId="0" borderId="0"/>
    <xf numFmtId="0" fontId="110" fillId="0" borderId="0"/>
    <xf numFmtId="0" fontId="112" fillId="0" borderId="0"/>
    <xf numFmtId="0" fontId="112" fillId="0" borderId="0"/>
    <xf numFmtId="0" fontId="112" fillId="0" borderId="0"/>
    <xf numFmtId="221" fontId="105" fillId="0" borderId="0"/>
    <xf numFmtId="0" fontId="21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1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11" fillId="0" borderId="0"/>
    <xf numFmtId="0" fontId="107" fillId="0" borderId="0"/>
    <xf numFmtId="0" fontId="21" fillId="0" borderId="0"/>
    <xf numFmtId="214" fontId="21" fillId="0" borderId="0"/>
    <xf numFmtId="214" fontId="21" fillId="0" borderId="0"/>
    <xf numFmtId="0" fontId="104" fillId="0" borderId="0"/>
    <xf numFmtId="0" fontId="20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0" fontId="10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20" fontId="105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21" fillId="0" borderId="0" applyProtection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107" fillId="0" borderId="0"/>
    <xf numFmtId="214" fontId="48" fillId="0" borderId="0"/>
    <xf numFmtId="0" fontId="107" fillId="0" borderId="0"/>
    <xf numFmtId="0" fontId="48" fillId="0" borderId="0"/>
    <xf numFmtId="0" fontId="106" fillId="0" borderId="0"/>
    <xf numFmtId="0" fontId="109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09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14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192" fontId="81" fillId="0" borderId="0" applyFont="0">
      <alignment horizontal="right"/>
      <protection locked="0"/>
    </xf>
    <xf numFmtId="0" fontId="30" fillId="10" borderId="3" applyNumberFormat="0" applyFont="0" applyAlignment="0" applyProtection="0"/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3" fontId="22" fillId="0" borderId="20" applyFont="0" applyBorder="0" applyAlignment="0">
      <alignment horizontal="center"/>
    </xf>
    <xf numFmtId="16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82" fillId="26" borderId="17" applyNumberFormat="0" applyAlignment="0" applyProtection="0"/>
    <xf numFmtId="14" fontId="36" fillId="0" borderId="0">
      <alignment horizontal="center" wrapText="1"/>
      <protection locked="0"/>
    </xf>
    <xf numFmtId="10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0" fillId="0" borderId="21" applyNumberFormat="0" applyBorder="0"/>
    <xf numFmtId="0" fontId="83" fillId="34" borderId="2" applyNumberFormat="0" applyAlignment="0" applyProtection="0"/>
    <xf numFmtId="0" fontId="83" fillId="34" borderId="2" applyNumberFormat="0" applyAlignment="0" applyProtection="0"/>
    <xf numFmtId="0" fontId="83" fillId="34" borderId="2" applyNumberFormat="0" applyAlignment="0" applyProtection="0"/>
    <xf numFmtId="39" fontId="84" fillId="36" borderId="6"/>
    <xf numFmtId="0" fontId="85" fillId="37" borderId="0" applyNumberFormat="0" applyFont="0" applyBorder="0" applyAlignment="0">
      <alignment horizontal="center"/>
    </xf>
    <xf numFmtId="0" fontId="51" fillId="0" borderId="0"/>
    <xf numFmtId="215" fontId="21" fillId="0" borderId="0" applyNumberFormat="0" applyFill="0" applyBorder="0" applyAlignment="0" applyProtection="0">
      <alignment horizontal="left"/>
    </xf>
    <xf numFmtId="216" fontId="79" fillId="0" borderId="0" applyNumberFormat="0" applyFill="0" applyBorder="0" applyAlignment="0" applyProtection="0">
      <alignment horizontal="left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0" fontId="86" fillId="0" borderId="22" applyNumberFormat="0" applyFill="0" applyAlignment="0" applyProtection="0"/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>
      <alignment horizontal="center"/>
    </xf>
    <xf numFmtId="0" fontId="26" fillId="0" borderId="0"/>
    <xf numFmtId="40" fontId="89" fillId="0" borderId="0" applyBorder="0">
      <alignment horizontal="right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3" fontId="21" fillId="0" borderId="16" applyNumberFormat="0" applyFont="0" applyFill="0" applyAlignment="0" applyProtection="0">
      <alignment vertical="center"/>
    </xf>
    <xf numFmtId="0" fontId="51" fillId="0" borderId="6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2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94" fillId="38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3" fillId="0" borderId="27" applyNumberFormat="0" applyFont="0" applyFill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96" fillId="0" borderId="26" applyNumberFormat="0" applyFill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71" fillId="0" borderId="29"/>
    <xf numFmtId="0" fontId="71" fillId="0" borderId="6"/>
    <xf numFmtId="166" fontId="21" fillId="0" borderId="0" applyFont="0" applyFill="0" applyBorder="0" applyAlignment="0" applyProtection="0"/>
    <xf numFmtId="4" fontId="80" fillId="0" borderId="0" applyFont="0" applyFill="0" applyBorder="0" applyAlignment="0" applyProtection="0"/>
    <xf numFmtId="9" fontId="97" fillId="34" borderId="0"/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0" fontId="98" fillId="0" borderId="0"/>
    <xf numFmtId="0" fontId="99" fillId="0" borderId="10"/>
    <xf numFmtId="217" fontId="21" fillId="0" borderId="0" applyFont="0" applyFill="0" applyBorder="0" applyAlignment="0" applyProtection="0"/>
    <xf numFmtId="8" fontId="80" fillId="0" borderId="0" applyFont="0" applyFill="0" applyBorder="0" applyAlignment="0" applyProtection="0"/>
    <xf numFmtId="218" fontId="53" fillId="0" borderId="0" applyFont="0" applyFill="0" applyBorder="0" applyAlignment="0" applyProtection="0"/>
    <xf numFmtId="219" fontId="5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0"/>
    <xf numFmtId="41" fontId="21" fillId="0" borderId="0" applyFont="0" applyFill="0" applyBorder="0" applyAlignment="0" applyProtection="0"/>
    <xf numFmtId="0" fontId="21" fillId="0" borderId="0"/>
    <xf numFmtId="0" fontId="102" fillId="0" borderId="0"/>
    <xf numFmtId="0" fontId="103" fillId="0" borderId="0"/>
    <xf numFmtId="167" fontId="20" fillId="0" borderId="0">
      <protection locked="0"/>
    </xf>
    <xf numFmtId="167" fontId="20" fillId="0" borderId="0">
      <protection locked="0"/>
    </xf>
    <xf numFmtId="0" fontId="20" fillId="0" borderId="0"/>
    <xf numFmtId="0" fontId="20" fillId="0" borderId="0"/>
    <xf numFmtId="41" fontId="20" fillId="0" borderId="0" applyFont="0" applyBorder="0" applyAlignment="0"/>
    <xf numFmtId="43" fontId="20" fillId="0" borderId="0" applyFont="0" applyBorder="0" applyAlignment="0"/>
    <xf numFmtId="0" fontId="20" fillId="0" borderId="0" applyFill="0" applyBorder="0">
      <alignment vertical="center"/>
    </xf>
    <xf numFmtId="0" fontId="20" fillId="0" borderId="0" applyFill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184" fontId="20" fillId="0" borderId="0" applyFill="0" applyBorder="0" applyAlignment="0"/>
    <xf numFmtId="185" fontId="3" fillId="0" borderId="0" applyFill="0" applyBorder="0" applyAlignment="0"/>
    <xf numFmtId="0" fontId="20" fillId="10" borderId="3" applyNumberFormat="0" applyFont="0" applyAlignment="0" applyProtection="0"/>
    <xf numFmtId="0" fontId="43" fillId="27" borderId="156" applyNumberFormat="0" applyAlignment="0" applyProtection="0"/>
    <xf numFmtId="0" fontId="44" fillId="27" borderId="156" applyNumberFormat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7" fontId="20" fillId="0" borderId="0" applyFill="0" applyBorder="0" applyAlignment="0" applyProtection="0"/>
    <xf numFmtId="0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41" fontId="20" fillId="0" borderId="0" applyFont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70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ill="0" applyBorder="0" applyAlignment="0" applyProtection="0"/>
    <xf numFmtId="201" fontId="20" fillId="0" borderId="0">
      <protection locked="0"/>
    </xf>
    <xf numFmtId="201" fontId="20" fillId="0" borderId="0">
      <protection locked="0"/>
    </xf>
    <xf numFmtId="3" fontId="3" fillId="0" borderId="0" applyFont="0" applyFill="0" applyBorder="0" applyAlignment="0" applyProtection="0"/>
    <xf numFmtId="201" fontId="20" fillId="0" borderId="0">
      <protection locked="0"/>
    </xf>
    <xf numFmtId="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3" fontId="20" fillId="0" borderId="0">
      <protection locked="0"/>
    </xf>
    <xf numFmtId="203" fontId="20" fillId="0" borderId="0">
      <protection locked="0"/>
    </xf>
    <xf numFmtId="204" fontId="3" fillId="0" borderId="0" applyFont="0" applyFill="0" applyBorder="0" applyAlignment="0" applyProtection="0"/>
    <xf numFmtId="203" fontId="20" fillId="0" borderId="0">
      <protection locked="0"/>
    </xf>
    <xf numFmtId="16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3" fillId="0" borderId="0" applyFont="0" applyFill="0" applyBorder="0" applyAlignment="0" applyProtection="0"/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" fontId="3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" fontId="20" fillId="0" borderId="0" applyFont="0" applyFill="0" applyBorder="0" applyAlignment="0" applyProtection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2" fillId="0" borderId="157" applyNumberFormat="0" applyFill="0" applyAlignment="0" applyProtection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214" fontId="20" fillId="0" borderId="0"/>
    <xf numFmtId="214" fontId="20" fillId="0" borderId="0"/>
    <xf numFmtId="0" fontId="1" fillId="0" borderId="0"/>
    <xf numFmtId="0" fontId="20" fillId="0" borderId="0" applyProtection="0"/>
    <xf numFmtId="0" fontId="1" fillId="0" borderId="0"/>
    <xf numFmtId="0" fontId="1" fillId="0" borderId="0"/>
    <xf numFmtId="0" fontId="1" fillId="0" borderId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15" fontId="20" fillId="0" borderId="0" applyNumberFormat="0" applyFill="0" applyBorder="0" applyAlignment="0" applyProtection="0">
      <alignment horizontal="left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0" fontId="86" fillId="0" borderId="158" applyNumberFormat="0" applyFill="0" applyAlignment="0" applyProtection="0"/>
    <xf numFmtId="3" fontId="20" fillId="0" borderId="16" applyNumberFormat="0" applyFont="0" applyFill="0" applyAlignment="0" applyProtection="0">
      <alignment vertical="center"/>
    </xf>
    <xf numFmtId="0" fontId="20" fillId="0" borderId="0"/>
    <xf numFmtId="0" fontId="3" fillId="0" borderId="154" applyNumberFormat="0" applyFont="0" applyFill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71" fillId="0" borderId="160"/>
  </cellStyleXfs>
  <cellXfs count="1351">
    <xf numFmtId="0" fontId="0" fillId="0" borderId="0" xfId="0"/>
    <xf numFmtId="0" fontId="114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5" fillId="0" borderId="62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center" vertical="top"/>
    </xf>
    <xf numFmtId="0" fontId="119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right" vertical="top"/>
    </xf>
    <xf numFmtId="0" fontId="115" fillId="0" borderId="62" xfId="0" applyFont="1" applyBorder="1" applyAlignment="1">
      <alignment horizontal="center" vertical="top" wrapText="1"/>
    </xf>
    <xf numFmtId="0" fontId="121" fillId="0" borderId="62" xfId="0" applyFont="1" applyBorder="1" applyAlignment="1">
      <alignment horizontal="center" vertical="top" wrapText="1"/>
    </xf>
    <xf numFmtId="0" fontId="114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22" fillId="0" borderId="62" xfId="0" applyFont="1" applyBorder="1" applyAlignment="1">
      <alignment horizontal="center" vertical="top"/>
    </xf>
    <xf numFmtId="0" fontId="123" fillId="0" borderId="62" xfId="0" applyFont="1" applyBorder="1" applyAlignment="1">
      <alignment horizontal="center" vertical="top" wrapText="1"/>
    </xf>
    <xf numFmtId="0" fontId="124" fillId="0" borderId="62" xfId="0" applyFont="1" applyBorder="1" applyAlignment="1">
      <alignment horizontal="center" vertical="top" wrapText="1"/>
    </xf>
    <xf numFmtId="0" fontId="120" fillId="0" borderId="62" xfId="0" applyFont="1" applyBorder="1" applyAlignment="1">
      <alignment horizontal="left" vertical="top"/>
    </xf>
    <xf numFmtId="0" fontId="119" fillId="0" borderId="0" xfId="0" applyFont="1" applyBorder="1" applyAlignment="1">
      <alignment horizontal="left" vertical="top"/>
    </xf>
    <xf numFmtId="0" fontId="119" fillId="0" borderId="63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8" fillId="0" borderId="64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15" fillId="0" borderId="62" xfId="0" applyFont="1" applyBorder="1" applyAlignment="1">
      <alignment horizontal="left" vertical="center"/>
    </xf>
    <xf numFmtId="0" fontId="116" fillId="0" borderId="62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15" fillId="0" borderId="66" xfId="0" applyFont="1" applyBorder="1" applyAlignment="1">
      <alignment horizontal="left" vertical="center"/>
    </xf>
    <xf numFmtId="0" fontId="115" fillId="0" borderId="66" xfId="0" applyFont="1" applyBorder="1" applyAlignment="1">
      <alignment horizontal="left" vertical="center" wrapText="1"/>
    </xf>
    <xf numFmtId="0" fontId="115" fillId="0" borderId="6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0" fontId="114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115" fillId="0" borderId="0" xfId="0" applyFont="1" applyFill="1" applyBorder="1" applyAlignment="1">
      <alignment horizontal="left" vertical="top"/>
    </xf>
    <xf numFmtId="0" fontId="0" fillId="0" borderId="0" xfId="0" applyFill="1" applyBorder="1"/>
    <xf numFmtId="0" fontId="114" fillId="0" borderId="16" xfId="0" applyFont="1" applyBorder="1" applyAlignment="1">
      <alignment horizontal="left" vertical="top" wrapText="1"/>
    </xf>
    <xf numFmtId="0" fontId="114" fillId="0" borderId="16" xfId="0" applyFont="1" applyBorder="1" applyAlignment="1">
      <alignment vertical="top" wrapText="1"/>
    </xf>
    <xf numFmtId="0" fontId="115" fillId="39" borderId="16" xfId="0" applyFont="1" applyFill="1" applyBorder="1" applyAlignment="1">
      <alignment horizontal="left" vertical="top" wrapText="1"/>
    </xf>
    <xf numFmtId="0" fontId="115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5" fillId="0" borderId="16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 wrapText="1"/>
    </xf>
    <xf numFmtId="0" fontId="115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0" xfId="0" applyFont="1"/>
    <xf numFmtId="0" fontId="114" fillId="0" borderId="0" xfId="0" applyFont="1" applyAlignment="1">
      <alignment horizontal="left" vertical="center" indent="12"/>
    </xf>
    <xf numFmtId="0" fontId="0" fillId="0" borderId="0" xfId="0" applyBorder="1" applyAlignment="1">
      <alignment horizontal="left" vertical="top"/>
    </xf>
    <xf numFmtId="0" fontId="114" fillId="0" borderId="0" xfId="0" applyFont="1" applyAlignment="1">
      <alignment horizontal="left"/>
    </xf>
    <xf numFmtId="0" fontId="115" fillId="0" borderId="0" xfId="0" applyFont="1" applyBorder="1" applyAlignment="1">
      <alignment horizontal="left" vertical="top"/>
    </xf>
    <xf numFmtId="0" fontId="125" fillId="0" borderId="0" xfId="0" applyFont="1" applyAlignment="1">
      <alignment horizontal="left" vertical="center" indent="12"/>
    </xf>
    <xf numFmtId="0" fontId="115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horizontal="left" vertical="center"/>
    </xf>
    <xf numFmtId="0" fontId="0" fillId="0" borderId="16" xfId="0" applyBorder="1"/>
    <xf numFmtId="0" fontId="115" fillId="0" borderId="16" xfId="0" applyFont="1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15" fillId="0" borderId="64" xfId="0" applyFont="1" applyBorder="1" applyAlignment="1">
      <alignment horizontal="center" vertical="top"/>
    </xf>
    <xf numFmtId="0" fontId="114" fillId="0" borderId="62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118" fillId="0" borderId="67" xfId="0" applyFont="1" applyBorder="1" applyAlignment="1">
      <alignment horizontal="left" vertical="top"/>
    </xf>
    <xf numFmtId="0" fontId="118" fillId="0" borderId="65" xfId="0" applyFont="1" applyBorder="1" applyAlignment="1">
      <alignment horizontal="left" vertical="top"/>
    </xf>
    <xf numFmtId="0" fontId="114" fillId="0" borderId="16" xfId="0" applyFont="1" applyBorder="1" applyAlignment="1">
      <alignment vertical="center"/>
    </xf>
    <xf numFmtId="0" fontId="117" fillId="0" borderId="0" xfId="0" applyFont="1"/>
    <xf numFmtId="0" fontId="117" fillId="0" borderId="0" xfId="0" applyFont="1" applyAlignment="1">
      <alignment horizontal="left" vertical="center" indent="12"/>
    </xf>
    <xf numFmtId="0" fontId="126" fillId="0" borderId="0" xfId="0" applyFont="1" applyAlignment="1">
      <alignment vertical="center"/>
    </xf>
    <xf numFmtId="0" fontId="114" fillId="0" borderId="16" xfId="0" applyFont="1" applyBorder="1" applyAlignment="1">
      <alignment horizontal="left" vertical="center" indent="12"/>
    </xf>
    <xf numFmtId="0" fontId="115" fillId="0" borderId="65" xfId="0" applyFont="1" applyBorder="1" applyAlignment="1">
      <alignment horizontal="center" vertical="top"/>
    </xf>
    <xf numFmtId="0" fontId="127" fillId="0" borderId="0" xfId="0" applyFont="1" applyAlignment="1">
      <alignment vertical="center"/>
    </xf>
    <xf numFmtId="0" fontId="0" fillId="0" borderId="62" xfId="0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14" fillId="0" borderId="64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15" fillId="0" borderId="62" xfId="0" applyFont="1" applyBorder="1" applyAlignment="1">
      <alignment horizontal="center" vertical="center"/>
    </xf>
    <xf numFmtId="0" fontId="115" fillId="0" borderId="62" xfId="0" applyFont="1" applyBorder="1" applyAlignment="1">
      <alignment horizontal="center" vertical="center" wrapText="1"/>
    </xf>
    <xf numFmtId="0" fontId="115" fillId="0" borderId="6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8" fillId="0" borderId="0" xfId="0" applyFont="1" applyAlignment="1">
      <alignment vertical="center"/>
    </xf>
    <xf numFmtId="0" fontId="119" fillId="0" borderId="0" xfId="0" applyFont="1" applyBorder="1" applyAlignment="1">
      <alignment horizontal="center" vertical="top"/>
    </xf>
    <xf numFmtId="0" fontId="119" fillId="0" borderId="63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left" vertical="top"/>
    </xf>
    <xf numFmtId="0" fontId="119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20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0" fillId="0" borderId="66" xfId="0" applyBorder="1" applyAlignment="1">
      <alignment horizontal="left" vertical="top"/>
    </xf>
    <xf numFmtId="0" fontId="0" fillId="0" borderId="68" xfId="0" applyBorder="1" applyAlignment="1">
      <alignment horizontal="left" vertical="top"/>
    </xf>
    <xf numFmtId="0" fontId="118" fillId="0" borderId="66" xfId="0" applyFont="1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114" fillId="0" borderId="66" xfId="0" applyFont="1" applyBorder="1" applyAlignment="1">
      <alignment horizontal="center" vertical="top" wrapText="1"/>
    </xf>
    <xf numFmtId="0" fontId="114" fillId="0" borderId="66" xfId="0" applyFont="1" applyBorder="1" applyAlignment="1">
      <alignment vertical="top" wrapText="1"/>
    </xf>
    <xf numFmtId="0" fontId="116" fillId="0" borderId="66" xfId="0" applyFont="1" applyBorder="1" applyAlignment="1">
      <alignment vertical="top"/>
    </xf>
    <xf numFmtId="0" fontId="116" fillId="0" borderId="69" xfId="0" applyFont="1" applyBorder="1" applyAlignment="1">
      <alignment vertical="top"/>
    </xf>
    <xf numFmtId="0" fontId="116" fillId="0" borderId="68" xfId="0" applyFont="1" applyBorder="1" applyAlignment="1">
      <alignment vertical="top"/>
    </xf>
    <xf numFmtId="0" fontId="125" fillId="0" borderId="0" xfId="0" applyFont="1" applyBorder="1" applyAlignment="1">
      <alignment horizontal="left" vertical="center" indent="12"/>
    </xf>
    <xf numFmtId="0" fontId="0" fillId="0" borderId="63" xfId="0" applyBorder="1" applyAlignment="1">
      <alignment horizontal="left" vertical="top"/>
    </xf>
    <xf numFmtId="0" fontId="115" fillId="0" borderId="66" xfId="0" applyFont="1" applyBorder="1" applyAlignment="1">
      <alignment vertical="top"/>
    </xf>
    <xf numFmtId="0" fontId="115" fillId="0" borderId="68" xfId="0" applyFont="1" applyBorder="1" applyAlignment="1">
      <alignment vertical="top"/>
    </xf>
    <xf numFmtId="0" fontId="115" fillId="0" borderId="71" xfId="0" applyFont="1" applyBorder="1" applyAlignment="1">
      <alignment horizontal="left" vertical="top"/>
    </xf>
    <xf numFmtId="0" fontId="0" fillId="0" borderId="71" xfId="0" applyBorder="1" applyAlignment="1">
      <alignment horizontal="left" vertical="top"/>
    </xf>
    <xf numFmtId="0" fontId="115" fillId="0" borderId="63" xfId="0" applyFont="1" applyBorder="1" applyAlignment="1">
      <alignment horizontal="left" vertical="top"/>
    </xf>
    <xf numFmtId="0" fontId="120" fillId="0" borderId="66" xfId="0" applyFont="1" applyBorder="1" applyAlignment="1">
      <alignment vertical="top"/>
    </xf>
    <xf numFmtId="0" fontId="115" fillId="0" borderId="69" xfId="0" applyFont="1" applyBorder="1" applyAlignment="1">
      <alignment vertical="top"/>
    </xf>
    <xf numFmtId="0" fontId="115" fillId="0" borderId="70" xfId="0" applyFont="1" applyBorder="1" applyAlignment="1">
      <alignment vertical="top"/>
    </xf>
    <xf numFmtId="0" fontId="115" fillId="0" borderId="66" xfId="0" applyFont="1" applyBorder="1" applyAlignment="1">
      <alignment vertical="top" wrapText="1"/>
    </xf>
    <xf numFmtId="0" fontId="0" fillId="0" borderId="72" xfId="0" applyBorder="1" applyAlignment="1">
      <alignment vertical="top"/>
    </xf>
    <xf numFmtId="0" fontId="115" fillId="0" borderId="72" xfId="0" applyFont="1" applyBorder="1" applyAlignment="1">
      <alignment vertical="top"/>
    </xf>
    <xf numFmtId="0" fontId="0" fillId="0" borderId="73" xfId="0" applyBorder="1" applyAlignment="1">
      <alignment vertical="top"/>
    </xf>
    <xf numFmtId="0" fontId="114" fillId="0" borderId="70" xfId="0" applyFont="1" applyBorder="1" applyAlignment="1">
      <alignment vertical="top" wrapText="1"/>
    </xf>
    <xf numFmtId="0" fontId="114" fillId="0" borderId="73" xfId="0" applyFont="1" applyBorder="1" applyAlignment="1">
      <alignment vertical="top" wrapText="1"/>
    </xf>
    <xf numFmtId="0" fontId="114" fillId="0" borderId="66" xfId="0" applyFont="1" applyBorder="1" applyAlignment="1">
      <alignment vertical="top"/>
    </xf>
    <xf numFmtId="0" fontId="119" fillId="0" borderId="66" xfId="0" applyFont="1" applyBorder="1" applyAlignment="1">
      <alignment vertical="top"/>
    </xf>
    <xf numFmtId="0" fontId="125" fillId="0" borderId="0" xfId="0" applyFont="1" applyBorder="1"/>
    <xf numFmtId="0" fontId="114" fillId="0" borderId="0" xfId="0" applyFont="1" applyBorder="1"/>
    <xf numFmtId="0" fontId="114" fillId="0" borderId="74" xfId="0" applyFont="1" applyBorder="1" applyAlignment="1">
      <alignment vertical="top" wrapText="1"/>
    </xf>
    <xf numFmtId="0" fontId="122" fillId="0" borderId="66" xfId="0" applyFont="1" applyBorder="1" applyAlignment="1">
      <alignment vertical="top"/>
    </xf>
    <xf numFmtId="0" fontId="116" fillId="0" borderId="66" xfId="0" applyFont="1" applyBorder="1" applyAlignment="1">
      <alignment vertical="top" wrapText="1"/>
    </xf>
    <xf numFmtId="0" fontId="125" fillId="0" borderId="0" xfId="0" applyFont="1" applyBorder="1" applyAlignment="1">
      <alignment vertical="center"/>
    </xf>
    <xf numFmtId="0" fontId="127" fillId="0" borderId="0" xfId="0" applyFont="1" applyBorder="1" applyAlignment="1">
      <alignment vertical="center"/>
    </xf>
    <xf numFmtId="0" fontId="114" fillId="0" borderId="63" xfId="0" applyFont="1" applyBorder="1" applyAlignment="1"/>
    <xf numFmtId="0" fontId="119" fillId="0" borderId="0" xfId="0" applyFont="1" applyBorder="1" applyAlignment="1">
      <alignment vertical="center"/>
    </xf>
    <xf numFmtId="0" fontId="115" fillId="0" borderId="63" xfId="0" applyFont="1" applyBorder="1" applyAlignment="1">
      <alignment horizontal="center" vertical="top"/>
    </xf>
    <xf numFmtId="0" fontId="129" fillId="40" borderId="66" xfId="0" applyFont="1" applyFill="1" applyBorder="1" applyAlignment="1">
      <alignment vertical="top"/>
    </xf>
    <xf numFmtId="0" fontId="129" fillId="40" borderId="62" xfId="0" applyFont="1" applyFill="1" applyBorder="1" applyAlignment="1">
      <alignment horizontal="center" vertical="top"/>
    </xf>
    <xf numFmtId="0" fontId="129" fillId="40" borderId="0" xfId="0" applyFont="1" applyFill="1"/>
    <xf numFmtId="0" fontId="129" fillId="40" borderId="0" xfId="0" applyFont="1" applyFill="1" applyAlignment="1">
      <alignment horizontal="center"/>
    </xf>
    <xf numFmtId="173" fontId="129" fillId="40" borderId="0" xfId="0" applyNumberFormat="1" applyFont="1" applyFill="1" applyAlignment="1">
      <alignment horizontal="right"/>
    </xf>
    <xf numFmtId="43" fontId="129" fillId="40" borderId="0" xfId="115" applyFont="1" applyFill="1" applyAlignment="1">
      <alignment horizontal="right"/>
    </xf>
    <xf numFmtId="0" fontId="130" fillId="40" borderId="0" xfId="0" applyFont="1" applyFill="1"/>
    <xf numFmtId="173" fontId="129" fillId="40" borderId="62" xfId="0" applyNumberFormat="1" applyFont="1" applyFill="1" applyBorder="1" applyAlignment="1">
      <alignment horizontal="right" vertical="top"/>
    </xf>
    <xf numFmtId="43" fontId="129" fillId="40" borderId="62" xfId="115" applyFont="1" applyFill="1" applyBorder="1" applyAlignment="1">
      <alignment horizontal="right" vertical="top"/>
    </xf>
    <xf numFmtId="43" fontId="129" fillId="40" borderId="64" xfId="115" applyFont="1" applyFill="1" applyBorder="1" applyAlignment="1">
      <alignment horizontal="right" vertical="top"/>
    </xf>
    <xf numFmtId="0" fontId="130" fillId="40" borderId="62" xfId="0" applyFont="1" applyFill="1" applyBorder="1" applyAlignment="1">
      <alignment horizontal="left" vertical="top" wrapText="1"/>
    </xf>
    <xf numFmtId="0" fontId="130" fillId="40" borderId="62" xfId="0" applyFont="1" applyFill="1" applyBorder="1" applyAlignment="1">
      <alignment horizontal="center" vertical="top" wrapText="1"/>
    </xf>
    <xf numFmtId="173" fontId="130" fillId="40" borderId="62" xfId="0" applyNumberFormat="1" applyFont="1" applyFill="1" applyBorder="1" applyAlignment="1">
      <alignment horizontal="right" vertical="top" wrapText="1"/>
    </xf>
    <xf numFmtId="43" fontId="130" fillId="40" borderId="62" xfId="115" applyFont="1" applyFill="1" applyBorder="1" applyAlignment="1">
      <alignment horizontal="right" vertical="top"/>
    </xf>
    <xf numFmtId="0" fontId="130" fillId="40" borderId="0" xfId="0" applyFont="1" applyFill="1" applyBorder="1" applyAlignment="1">
      <alignment horizontal="left" vertical="top"/>
    </xf>
    <xf numFmtId="43" fontId="129" fillId="40" borderId="0" xfId="115" applyFont="1" applyFill="1" applyBorder="1" applyAlignment="1">
      <alignment horizontal="right" vertical="top"/>
    </xf>
    <xf numFmtId="173" fontId="129" fillId="40" borderId="69" xfId="0" applyNumberFormat="1" applyFont="1" applyFill="1" applyBorder="1" applyAlignment="1">
      <alignment horizontal="right" vertical="top"/>
    </xf>
    <xf numFmtId="0" fontId="129" fillId="40" borderId="69" xfId="0" applyFont="1" applyFill="1" applyBorder="1" applyAlignment="1">
      <alignment vertical="top"/>
    </xf>
    <xf numFmtId="0" fontId="129" fillId="40" borderId="69" xfId="0" applyFont="1" applyFill="1" applyBorder="1" applyAlignment="1">
      <alignment horizontal="center" vertical="top"/>
    </xf>
    <xf numFmtId="0" fontId="131" fillId="40" borderId="66" xfId="0" applyFont="1" applyFill="1" applyBorder="1" applyAlignment="1">
      <alignment vertical="top"/>
    </xf>
    <xf numFmtId="0" fontId="131" fillId="40" borderId="69" xfId="0" applyFont="1" applyFill="1" applyBorder="1" applyAlignment="1">
      <alignment vertical="top"/>
    </xf>
    <xf numFmtId="0" fontId="129" fillId="40" borderId="0" xfId="0" applyFont="1" applyFill="1" applyBorder="1" applyAlignment="1">
      <alignment horizontal="left" vertical="top"/>
    </xf>
    <xf numFmtId="0" fontId="129" fillId="40" borderId="0" xfId="0" applyFont="1" applyFill="1" applyBorder="1" applyAlignment="1">
      <alignment horizontal="center" vertical="top"/>
    </xf>
    <xf numFmtId="173" fontId="129" fillId="40" borderId="0" xfId="0" applyNumberFormat="1" applyFont="1" applyFill="1" applyBorder="1" applyAlignment="1">
      <alignment horizontal="right" vertical="top"/>
    </xf>
    <xf numFmtId="43" fontId="129" fillId="40" borderId="66" xfId="115" applyFont="1" applyFill="1" applyBorder="1" applyAlignment="1">
      <alignment horizontal="right" vertical="top"/>
    </xf>
    <xf numFmtId="0" fontId="130" fillId="40" borderId="66" xfId="0" applyFont="1" applyFill="1" applyBorder="1" applyAlignment="1">
      <alignment vertical="top" wrapText="1"/>
    </xf>
    <xf numFmtId="43" fontId="129" fillId="40" borderId="68" xfId="115" applyFont="1" applyFill="1" applyBorder="1" applyAlignment="1">
      <alignment horizontal="right" vertical="top"/>
    </xf>
    <xf numFmtId="0" fontId="130" fillId="40" borderId="0" xfId="0" applyFont="1" applyFill="1" applyBorder="1"/>
    <xf numFmtId="0" fontId="129" fillId="40" borderId="63" xfId="0" applyFont="1" applyFill="1" applyBorder="1" applyAlignment="1">
      <alignment horizontal="left" vertical="top"/>
    </xf>
    <xf numFmtId="0" fontId="129" fillId="40" borderId="63" xfId="0" applyFont="1" applyFill="1" applyBorder="1" applyAlignment="1">
      <alignment horizontal="center" vertical="top"/>
    </xf>
    <xf numFmtId="173" fontId="129" fillId="40" borderId="63" xfId="0" applyNumberFormat="1" applyFont="1" applyFill="1" applyBorder="1" applyAlignment="1">
      <alignment horizontal="right" vertical="top"/>
    </xf>
    <xf numFmtId="43" fontId="129" fillId="40" borderId="63" xfId="115" applyFont="1" applyFill="1" applyBorder="1" applyAlignment="1">
      <alignment horizontal="right" vertical="top"/>
    </xf>
    <xf numFmtId="0" fontId="131" fillId="40" borderId="68" xfId="0" applyFont="1" applyFill="1" applyBorder="1" applyAlignment="1">
      <alignment horizontal="center" vertical="top"/>
    </xf>
    <xf numFmtId="0" fontId="130" fillId="40" borderId="62" xfId="0" applyFont="1" applyFill="1" applyBorder="1" applyAlignment="1">
      <alignment horizontal="center" vertical="top"/>
    </xf>
    <xf numFmtId="173" fontId="129" fillId="40" borderId="64" xfId="0" applyNumberFormat="1" applyFont="1" applyFill="1" applyBorder="1" applyAlignment="1">
      <alignment horizontal="right" vertical="top"/>
    </xf>
    <xf numFmtId="43" fontId="129" fillId="40" borderId="0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30" fillId="40" borderId="0" xfId="1016" applyFont="1" applyFill="1"/>
    <xf numFmtId="0" fontId="129" fillId="40" borderId="0" xfId="1016" applyFont="1" applyFill="1"/>
    <xf numFmtId="0" fontId="129" fillId="40" borderId="0" xfId="1016" applyFont="1" applyFill="1" applyAlignment="1">
      <alignment horizontal="center"/>
    </xf>
    <xf numFmtId="173" fontId="129" fillId="40" borderId="0" xfId="1016" applyNumberFormat="1" applyFont="1" applyFill="1" applyAlignment="1">
      <alignment horizontal="right"/>
    </xf>
    <xf numFmtId="43" fontId="129" fillId="40" borderId="0" xfId="549" applyFont="1" applyFill="1" applyAlignment="1">
      <alignment horizontal="right"/>
    </xf>
    <xf numFmtId="0" fontId="130" fillId="40" borderId="62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center" vertical="top" wrapText="1"/>
    </xf>
    <xf numFmtId="173" fontId="130" fillId="40" borderId="66" xfId="1016" applyNumberFormat="1" applyFont="1" applyFill="1" applyBorder="1" applyAlignment="1">
      <alignment horizontal="right" vertical="top" wrapText="1"/>
    </xf>
    <xf numFmtId="43" fontId="130" fillId="40" borderId="66" xfId="549" applyFont="1" applyFill="1" applyBorder="1" applyAlignment="1">
      <alignment horizontal="right" vertical="top"/>
    </xf>
    <xf numFmtId="43" fontId="130" fillId="40" borderId="62" xfId="549" applyFont="1" applyFill="1" applyBorder="1" applyAlignment="1">
      <alignment horizontal="right" vertical="top"/>
    </xf>
    <xf numFmtId="0" fontId="129" fillId="40" borderId="62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center" vertical="top"/>
    </xf>
    <xf numFmtId="173" fontId="129" fillId="40" borderId="66" xfId="1016" applyNumberFormat="1" applyFont="1" applyFill="1" applyBorder="1" applyAlignment="1">
      <alignment horizontal="right" vertical="top"/>
    </xf>
    <xf numFmtId="43" fontId="129" fillId="40" borderId="66" xfId="549" applyFont="1" applyFill="1" applyBorder="1" applyAlignment="1">
      <alignment horizontal="right" vertical="top"/>
    </xf>
    <xf numFmtId="43" fontId="129" fillId="40" borderId="62" xfId="549" applyFont="1" applyFill="1" applyBorder="1" applyAlignment="1">
      <alignment horizontal="right" vertical="top"/>
    </xf>
    <xf numFmtId="173" fontId="129" fillId="40" borderId="76" xfId="1016" applyNumberFormat="1" applyFont="1" applyFill="1" applyBorder="1" applyAlignment="1">
      <alignment horizontal="right" vertical="top"/>
    </xf>
    <xf numFmtId="43" fontId="129" fillId="40" borderId="76" xfId="549" applyFont="1" applyFill="1" applyBorder="1" applyAlignment="1">
      <alignment horizontal="right" vertical="top"/>
    </xf>
    <xf numFmtId="0" fontId="130" fillId="40" borderId="62" xfId="1016" applyFont="1" applyFill="1" applyBorder="1" applyAlignment="1">
      <alignment horizontal="center" vertical="top" wrapText="1"/>
    </xf>
    <xf numFmtId="173" fontId="130" fillId="40" borderId="62" xfId="1016" applyNumberFormat="1" applyFont="1" applyFill="1" applyBorder="1" applyAlignment="1">
      <alignment horizontal="right" vertical="top" wrapText="1"/>
    </xf>
    <xf numFmtId="0" fontId="129" fillId="40" borderId="62" xfId="1016" applyFont="1" applyFill="1" applyBorder="1" applyAlignment="1">
      <alignment horizontal="center" vertical="top"/>
    </xf>
    <xf numFmtId="173" fontId="129" fillId="40" borderId="62" xfId="1016" applyNumberFormat="1" applyFont="1" applyFill="1" applyBorder="1" applyAlignment="1">
      <alignment horizontal="right" vertical="top"/>
    </xf>
    <xf numFmtId="0" fontId="106" fillId="0" borderId="0" xfId="1016" applyFont="1"/>
    <xf numFmtId="0" fontId="132" fillId="0" borderId="0" xfId="1016" applyFont="1"/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06" fillId="0" borderId="0" xfId="1016" applyFont="1" applyAlignment="1">
      <alignment horizontal="center"/>
    </xf>
    <xf numFmtId="43" fontId="129" fillId="40" borderId="83" xfId="0" applyNumberFormat="1" applyFont="1" applyFill="1" applyBorder="1"/>
    <xf numFmtId="43" fontId="129" fillId="40" borderId="83" xfId="1016" applyNumberFormat="1" applyFont="1" applyFill="1" applyBorder="1"/>
    <xf numFmtId="43" fontId="129" fillId="40" borderId="83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0" xfId="1016" applyFont="1" applyFill="1" applyBorder="1" applyAlignment="1">
      <alignment horizontal="left" vertical="top"/>
    </xf>
    <xf numFmtId="43" fontId="129" fillId="40" borderId="0" xfId="1016" applyNumberFormat="1" applyFont="1" applyFill="1" applyBorder="1"/>
    <xf numFmtId="43" fontId="129" fillId="40" borderId="0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173" fontId="129" fillId="40" borderId="66" xfId="0" applyNumberFormat="1" applyFont="1" applyFill="1" applyBorder="1" applyAlignment="1">
      <alignment horizontal="right" vertical="top"/>
    </xf>
    <xf numFmtId="0" fontId="133" fillId="0" borderId="0" xfId="1016" applyFont="1" applyAlignment="1">
      <alignment horizontal="center"/>
    </xf>
    <xf numFmtId="173" fontId="129" fillId="40" borderId="64" xfId="1016" applyNumberFormat="1" applyFont="1" applyFill="1" applyBorder="1" applyAlignment="1">
      <alignment horizontal="right" vertical="top"/>
    </xf>
    <xf numFmtId="43" fontId="129" fillId="40" borderId="64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37" fillId="0" borderId="62" xfId="0" applyFont="1" applyFill="1" applyBorder="1" applyAlignment="1" applyProtection="1">
      <alignment horizontal="center" vertical="top"/>
      <protection hidden="1"/>
    </xf>
    <xf numFmtId="43" fontId="137" fillId="0" borderId="62" xfId="115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Protection="1">
      <protection hidden="1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center" vertical="top"/>
      <protection hidden="1"/>
    </xf>
    <xf numFmtId="43" fontId="137" fillId="0" borderId="0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 vertical="top" wrapText="1"/>
      <protection hidden="1"/>
    </xf>
    <xf numFmtId="43" fontId="138" fillId="0" borderId="62" xfId="115" applyFont="1" applyFill="1" applyBorder="1" applyAlignment="1" applyProtection="1">
      <alignment horizontal="right" vertical="top"/>
      <protection hidden="1"/>
    </xf>
    <xf numFmtId="0" fontId="137" fillId="0" borderId="62" xfId="0" applyFont="1" applyFill="1" applyBorder="1" applyAlignment="1" applyProtection="1">
      <alignment horizontal="left" vertical="top" wrapText="1"/>
      <protection hidden="1"/>
    </xf>
    <xf numFmtId="0" fontId="137" fillId="0" borderId="62" xfId="0" applyFont="1" applyFill="1" applyBorder="1" applyAlignment="1" applyProtection="1">
      <alignment horizontal="center" vertical="top" wrapText="1"/>
      <protection hidden="1"/>
    </xf>
    <xf numFmtId="196" fontId="137" fillId="0" borderId="0" xfId="180" applyNumberFormat="1" applyFont="1" applyFill="1" applyProtection="1">
      <protection hidden="1"/>
    </xf>
    <xf numFmtId="43" fontId="137" fillId="0" borderId="0" xfId="0" applyNumberFormat="1" applyFont="1" applyFill="1" applyProtection="1">
      <protection hidden="1"/>
    </xf>
    <xf numFmtId="0" fontId="137" fillId="0" borderId="0" xfId="0" applyFont="1" applyFill="1" applyAlignment="1" applyProtection="1">
      <alignment horizontal="center"/>
      <protection hidden="1"/>
    </xf>
    <xf numFmtId="43" fontId="137" fillId="0" borderId="0" xfId="115" applyFont="1" applyFill="1" applyAlignment="1" applyProtection="1">
      <alignment horizontal="right"/>
      <protection hidden="1"/>
    </xf>
    <xf numFmtId="41" fontId="137" fillId="0" borderId="0" xfId="180" applyFont="1" applyFill="1" applyProtection="1">
      <protection hidden="1"/>
    </xf>
    <xf numFmtId="0" fontId="138" fillId="0" borderId="0" xfId="0" applyFont="1" applyFill="1" applyBorder="1" applyProtection="1">
      <protection hidden="1"/>
    </xf>
    <xf numFmtId="43" fontId="137" fillId="0" borderId="0" xfId="115" applyFont="1" applyFill="1" applyBorder="1" applyAlignment="1" applyProtection="1">
      <alignment horizontal="right"/>
      <protection hidden="1"/>
    </xf>
    <xf numFmtId="0" fontId="138" fillId="0" borderId="0" xfId="0" applyFont="1" applyFill="1" applyProtection="1">
      <protection hidden="1"/>
    </xf>
    <xf numFmtId="2" fontId="137" fillId="0" borderId="0" xfId="0" applyNumberFormat="1" applyFont="1" applyFill="1" applyProtection="1"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7" fillId="0" borderId="71" xfId="0" applyFont="1" applyFill="1" applyBorder="1" applyAlignment="1" applyProtection="1">
      <alignment horizontal="center" vertical="top"/>
      <protection hidden="1"/>
    </xf>
    <xf numFmtId="0" fontId="137" fillId="0" borderId="71" xfId="0" applyFont="1" applyFill="1" applyBorder="1" applyAlignment="1" applyProtection="1">
      <alignment horizontal="left" vertical="top"/>
      <protection hidden="1"/>
    </xf>
    <xf numFmtId="43" fontId="137" fillId="0" borderId="71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left" vertical="center"/>
      <protection hidden="1"/>
    </xf>
    <xf numFmtId="43" fontId="137" fillId="0" borderId="0" xfId="549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right" vertical="top"/>
      <protection hidden="1"/>
    </xf>
    <xf numFmtId="43" fontId="137" fillId="0" borderId="62" xfId="549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Border="1" applyProtection="1">
      <protection hidden="1"/>
    </xf>
    <xf numFmtId="0" fontId="137" fillId="0" borderId="0" xfId="0" applyFont="1" applyFill="1" applyBorder="1" applyAlignment="1" applyProtection="1">
      <alignment horizontal="center"/>
      <protection hidden="1"/>
    </xf>
    <xf numFmtId="43" fontId="137" fillId="0" borderId="0" xfId="549" applyFont="1" applyFill="1" applyAlignment="1" applyProtection="1">
      <alignment horizontal="right"/>
      <protection hidden="1"/>
    </xf>
    <xf numFmtId="43" fontId="137" fillId="0" borderId="71" xfId="549" applyFont="1" applyFill="1" applyBorder="1" applyAlignment="1" applyProtection="1">
      <alignment horizontal="right" vertical="top"/>
      <protection hidden="1"/>
    </xf>
    <xf numFmtId="184" fontId="141" fillId="0" borderId="0" xfId="906" applyNumberFormat="1" applyFont="1" applyFill="1" applyAlignment="1" applyProtection="1">
      <alignment horizontal="right"/>
      <protection hidden="1"/>
    </xf>
    <xf numFmtId="0" fontId="142" fillId="0" borderId="42" xfId="841" applyFont="1" applyFill="1" applyBorder="1" applyAlignment="1" applyProtection="1">
      <alignment vertical="center"/>
      <protection hidden="1"/>
    </xf>
    <xf numFmtId="17" fontId="137" fillId="0" borderId="62" xfId="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vertical="top" wrapText="1"/>
      <protection hidden="1"/>
    </xf>
    <xf numFmtId="0" fontId="137" fillId="0" borderId="66" xfId="0" applyFont="1" applyFill="1" applyBorder="1" applyAlignment="1" applyProtection="1">
      <alignment horizontal="center" vertical="top"/>
      <protection hidden="1"/>
    </xf>
    <xf numFmtId="0" fontId="138" fillId="0" borderId="0" xfId="0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Alignment="1" applyProtection="1">
      <alignment horizontal="center"/>
      <protection hidden="1"/>
    </xf>
    <xf numFmtId="0" fontId="137" fillId="0" borderId="0" xfId="0" applyFont="1" applyFill="1" applyBorder="1" applyAlignment="1" applyProtection="1">
      <alignment horizontal="center" vertical="center"/>
      <protection hidden="1"/>
    </xf>
    <xf numFmtId="0" fontId="137" fillId="0" borderId="68" xfId="0" applyFont="1" applyFill="1" applyBorder="1" applyAlignment="1" applyProtection="1">
      <alignment horizontal="center" vertical="top"/>
      <protection hidden="1"/>
    </xf>
    <xf numFmtId="43" fontId="137" fillId="0" borderId="0" xfId="1016" applyNumberFormat="1" applyFont="1" applyFill="1" applyBorder="1" applyAlignment="1" applyProtection="1">
      <protection hidden="1"/>
    </xf>
    <xf numFmtId="0" fontId="138" fillId="0" borderId="62" xfId="0" applyFont="1" applyFill="1" applyBorder="1" applyAlignment="1" applyProtection="1">
      <alignment horizontal="center" vertical="center" wrapText="1"/>
      <protection hidden="1"/>
    </xf>
    <xf numFmtId="43" fontId="138" fillId="0" borderId="62" xfId="115" applyFont="1" applyFill="1" applyBorder="1" applyAlignment="1" applyProtection="1">
      <alignment horizontal="center" vertical="center"/>
      <protection hidden="1"/>
    </xf>
    <xf numFmtId="0" fontId="137" fillId="0" borderId="0" xfId="0" applyFont="1" applyFill="1" applyAlignment="1" applyProtection="1">
      <alignment horizontal="center" vertical="center"/>
      <protection hidden="1"/>
    </xf>
    <xf numFmtId="0" fontId="138" fillId="0" borderId="66" xfId="0" applyFont="1" applyFill="1" applyBorder="1" applyAlignment="1" applyProtection="1">
      <alignment horizontal="center" vertical="center" wrapText="1"/>
      <protection hidden="1"/>
    </xf>
    <xf numFmtId="0" fontId="138" fillId="0" borderId="62" xfId="0" applyFont="1" applyFill="1" applyBorder="1" applyAlignment="1" applyProtection="1">
      <alignment horizontal="center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center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center" vertical="center"/>
      <protection hidden="1"/>
    </xf>
    <xf numFmtId="43" fontId="137" fillId="0" borderId="0" xfId="0" applyNumberFormat="1" applyFont="1" applyFill="1" applyAlignment="1" applyProtection="1">
      <alignment horizontal="center" vertical="center"/>
      <protection hidden="1"/>
    </xf>
    <xf numFmtId="43" fontId="138" fillId="0" borderId="0" xfId="0" applyNumberFormat="1" applyFont="1" applyFill="1" applyProtection="1">
      <protection hidden="1"/>
    </xf>
    <xf numFmtId="0" fontId="144" fillId="0" borderId="0" xfId="0" applyFont="1" applyFill="1" applyAlignment="1">
      <alignment vertical="top" wrapText="1"/>
    </xf>
    <xf numFmtId="0" fontId="144" fillId="0" borderId="0" xfId="0" applyFont="1" applyFill="1" applyAlignment="1">
      <alignment wrapText="1"/>
    </xf>
    <xf numFmtId="0" fontId="144" fillId="0" borderId="0" xfId="0" applyFont="1" applyFill="1" applyAlignment="1">
      <alignment vertical="top"/>
    </xf>
    <xf numFmtId="0" fontId="144" fillId="0" borderId="0" xfId="0" applyFont="1" applyFill="1"/>
    <xf numFmtId="175" fontId="144" fillId="0" borderId="0" xfId="180" applyNumberFormat="1" applyFont="1" applyFill="1" applyBorder="1"/>
    <xf numFmtId="0" fontId="146" fillId="0" borderId="38" xfId="0" applyFont="1" applyFill="1" applyBorder="1" applyAlignment="1">
      <alignment vertical="top"/>
    </xf>
    <xf numFmtId="0" fontId="146" fillId="0" borderId="59" xfId="0" applyFont="1" applyFill="1" applyBorder="1" applyAlignment="1">
      <alignment vertical="top" wrapText="1"/>
    </xf>
    <xf numFmtId="0" fontId="144" fillId="0" borderId="59" xfId="0" applyFont="1" applyFill="1" applyBorder="1" applyAlignment="1">
      <alignment wrapText="1"/>
    </xf>
    <xf numFmtId="0" fontId="144" fillId="0" borderId="38" xfId="0" applyFont="1" applyFill="1" applyBorder="1" applyAlignment="1">
      <alignment vertical="top"/>
    </xf>
    <xf numFmtId="0" fontId="144" fillId="0" borderId="39" xfId="0" applyFont="1" applyFill="1" applyBorder="1" applyAlignment="1">
      <alignment vertical="top"/>
    </xf>
    <xf numFmtId="0" fontId="144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wrapText="1"/>
    </xf>
    <xf numFmtId="43" fontId="144" fillId="0" borderId="39" xfId="0" applyNumberFormat="1" applyFont="1" applyFill="1" applyBorder="1" applyAlignment="1">
      <alignment vertical="top"/>
    </xf>
    <xf numFmtId="175" fontId="144" fillId="0" borderId="0" xfId="180" applyNumberFormat="1" applyFont="1" applyFill="1" applyBorder="1" applyAlignment="1">
      <alignment vertical="top"/>
    </xf>
    <xf numFmtId="43" fontId="144" fillId="0" borderId="0" xfId="0" applyNumberFormat="1" applyFont="1" applyFill="1"/>
    <xf numFmtId="0" fontId="146" fillId="0" borderId="39" xfId="0" applyFont="1" applyFill="1" applyBorder="1" applyAlignment="1">
      <alignment vertical="top"/>
    </xf>
    <xf numFmtId="0" fontId="146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vertical="top"/>
    </xf>
    <xf numFmtId="43" fontId="144" fillId="0" borderId="0" xfId="0" applyNumberFormat="1" applyFont="1" applyFill="1" applyProtection="1">
      <protection hidden="1"/>
    </xf>
    <xf numFmtId="0" fontId="144" fillId="0" borderId="40" xfId="0" applyFont="1" applyFill="1" applyBorder="1" applyAlignment="1">
      <alignment vertical="top"/>
    </xf>
    <xf numFmtId="0" fontId="144" fillId="0" borderId="53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wrapText="1"/>
    </xf>
    <xf numFmtId="43" fontId="144" fillId="0" borderId="40" xfId="0" applyNumberFormat="1" applyFont="1" applyFill="1" applyBorder="1" applyAlignment="1">
      <alignment vertical="top"/>
    </xf>
    <xf numFmtId="0" fontId="144" fillId="0" borderId="41" xfId="0" applyFont="1" applyFill="1" applyBorder="1" applyAlignment="1">
      <alignment vertical="top"/>
    </xf>
    <xf numFmtId="0" fontId="144" fillId="0" borderId="50" xfId="0" applyFont="1" applyFill="1" applyBorder="1" applyAlignment="1">
      <alignment vertical="top" wrapText="1"/>
    </xf>
    <xf numFmtId="0" fontId="144" fillId="0" borderId="50" xfId="0" applyFont="1" applyFill="1" applyBorder="1" applyAlignment="1">
      <alignment wrapText="1"/>
    </xf>
    <xf numFmtId="43" fontId="144" fillId="0" borderId="41" xfId="0" applyNumberFormat="1" applyFont="1" applyFill="1" applyBorder="1" applyAlignment="1">
      <alignment vertical="top"/>
    </xf>
    <xf numFmtId="0" fontId="146" fillId="0" borderId="39" xfId="0" applyFont="1" applyFill="1" applyBorder="1" applyAlignment="1"/>
    <xf numFmtId="0" fontId="146" fillId="0" borderId="46" xfId="0" applyFont="1" applyFill="1" applyBorder="1" applyAlignment="1">
      <alignment wrapText="1"/>
    </xf>
    <xf numFmtId="43" fontId="146" fillId="0" borderId="0" xfId="0" applyNumberFormat="1" applyFont="1" applyFill="1"/>
    <xf numFmtId="0" fontId="146" fillId="0" borderId="39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horizontal="left" vertical="top"/>
    </xf>
    <xf numFmtId="175" fontId="146" fillId="0" borderId="0" xfId="180" applyNumberFormat="1" applyFont="1" applyFill="1" applyBorder="1" applyAlignment="1">
      <alignment vertical="top"/>
    </xf>
    <xf numFmtId="0" fontId="144" fillId="0" borderId="42" xfId="0" applyFont="1" applyFill="1" applyBorder="1" applyAlignment="1">
      <alignment vertical="top" wrapText="1"/>
    </xf>
    <xf numFmtId="0" fontId="144" fillId="0" borderId="47" xfId="0" applyFont="1" applyFill="1" applyBorder="1" applyAlignment="1">
      <alignment wrapText="1"/>
    </xf>
    <xf numFmtId="0" fontId="144" fillId="0" borderId="42" xfId="0" applyFont="1" applyFill="1" applyBorder="1" applyAlignment="1">
      <alignment vertical="top"/>
    </xf>
    <xf numFmtId="0" fontId="144" fillId="0" borderId="56" xfId="0" applyFont="1" applyFill="1" applyBorder="1" applyAlignment="1">
      <alignment vertical="top" wrapText="1"/>
    </xf>
    <xf numFmtId="0" fontId="144" fillId="0" borderId="57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 wrapText="1"/>
    </xf>
    <xf numFmtId="0" fontId="146" fillId="0" borderId="47" xfId="0" applyFont="1" applyFill="1" applyBorder="1" applyAlignment="1">
      <alignment wrapText="1"/>
    </xf>
    <xf numFmtId="43" fontId="146" fillId="0" borderId="39" xfId="0" applyNumberFormat="1" applyFont="1" applyFill="1" applyBorder="1" applyAlignment="1">
      <alignment vertical="top"/>
    </xf>
    <xf numFmtId="0" fontId="146" fillId="0" borderId="0" xfId="0" applyFont="1" applyFill="1"/>
    <xf numFmtId="0" fontId="144" fillId="0" borderId="52" xfId="0" applyFont="1" applyFill="1" applyBorder="1" applyAlignment="1">
      <alignment vertical="top" wrapText="1"/>
    </xf>
    <xf numFmtId="0" fontId="144" fillId="0" borderId="54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/>
    </xf>
    <xf numFmtId="43" fontId="144" fillId="0" borderId="39" xfId="180" applyNumberFormat="1" applyFont="1" applyFill="1" applyBorder="1" applyAlignment="1">
      <alignment vertical="top"/>
    </xf>
    <xf numFmtId="0" fontId="144" fillId="0" borderId="56" xfId="0" applyFont="1" applyFill="1" applyBorder="1" applyAlignment="1">
      <alignment vertical="top"/>
    </xf>
    <xf numFmtId="0" fontId="144" fillId="0" borderId="43" xfId="0" applyFont="1" applyFill="1" applyBorder="1" applyAlignment="1">
      <alignment wrapText="1"/>
    </xf>
    <xf numFmtId="43" fontId="144" fillId="0" borderId="55" xfId="180" applyNumberFormat="1" applyFont="1" applyFill="1" applyBorder="1" applyAlignment="1">
      <alignment vertical="top"/>
    </xf>
    <xf numFmtId="0" fontId="144" fillId="0" borderId="0" xfId="0" applyFont="1" applyFill="1" applyAlignment="1">
      <alignment horizontal="center" vertical="top" wrapText="1"/>
    </xf>
    <xf numFmtId="43" fontId="137" fillId="0" borderId="0" xfId="115" applyFont="1" applyFill="1" applyBorder="1" applyAlignment="1" applyProtection="1">
      <alignment horizontal="center" vertical="center"/>
      <protection hidden="1"/>
    </xf>
    <xf numFmtId="43" fontId="138" fillId="0" borderId="0" xfId="115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 vertical="top"/>
      <protection hidden="1"/>
    </xf>
    <xf numFmtId="0" fontId="137" fillId="0" borderId="66" xfId="0" applyFont="1" applyFill="1" applyBorder="1" applyAlignment="1" applyProtection="1">
      <alignment vertical="top"/>
      <protection hidden="1"/>
    </xf>
    <xf numFmtId="0" fontId="137" fillId="0" borderId="69" xfId="0" applyFont="1" applyFill="1" applyBorder="1" applyAlignment="1" applyProtection="1">
      <alignment vertical="top"/>
      <protection hidden="1"/>
    </xf>
    <xf numFmtId="0" fontId="138" fillId="0" borderId="66" xfId="0" applyFont="1" applyFill="1" applyBorder="1" applyAlignment="1" applyProtection="1">
      <alignment vertical="top"/>
      <protection hidden="1"/>
    </xf>
    <xf numFmtId="0" fontId="142" fillId="0" borderId="16" xfId="905" applyFont="1" applyFill="1" applyBorder="1" applyAlignment="1" applyProtection="1">
      <protection hidden="1"/>
    </xf>
    <xf numFmtId="222" fontId="142" fillId="0" borderId="16" xfId="180" applyNumberFormat="1" applyFont="1" applyFill="1" applyBorder="1" applyAlignment="1" applyProtection="1">
      <alignment horizontal="right" wrapText="1"/>
      <protection hidden="1"/>
    </xf>
    <xf numFmtId="175" fontId="137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Alignment="1" applyProtection="1">
      <alignment horizontal="right"/>
      <protection hidden="1"/>
    </xf>
    <xf numFmtId="175" fontId="138" fillId="0" borderId="62" xfId="180" applyNumberFormat="1" applyFont="1" applyFill="1" applyBorder="1" applyAlignment="1" applyProtection="1">
      <alignment horizontal="center" vertical="center"/>
      <protection hidden="1"/>
    </xf>
    <xf numFmtId="175" fontId="137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71" xfId="180" applyNumberFormat="1" applyFont="1" applyFill="1" applyBorder="1" applyAlignment="1" applyProtection="1">
      <alignment horizontal="right" vertical="top"/>
      <protection hidden="1"/>
    </xf>
    <xf numFmtId="175" fontId="137" fillId="0" borderId="83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top"/>
      <protection hidden="1"/>
    </xf>
    <xf numFmtId="0" fontId="137" fillId="0" borderId="62" xfId="0" applyFont="1" applyFill="1" applyBorder="1" applyAlignment="1" applyProtection="1">
      <alignment horizontal="center" vertical="center" wrapText="1"/>
      <protection hidden="1"/>
    </xf>
    <xf numFmtId="0" fontId="137" fillId="0" borderId="62" xfId="0" applyFont="1" applyFill="1" applyBorder="1" applyAlignment="1" applyProtection="1">
      <alignment horizontal="left" vertical="center" wrapText="1"/>
      <protection hidden="1"/>
    </xf>
    <xf numFmtId="43" fontId="137" fillId="0" borderId="62" xfId="115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Alignment="1" applyProtection="1">
      <alignment horizontal="right" vertical="top"/>
      <protection hidden="1"/>
    </xf>
    <xf numFmtId="222" fontId="138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0" xfId="180" applyNumberFormat="1" applyFont="1" applyFill="1" applyAlignment="1" applyProtection="1">
      <alignment horizontal="right"/>
      <protection hidden="1"/>
    </xf>
    <xf numFmtId="222" fontId="138" fillId="0" borderId="62" xfId="180" applyNumberFormat="1" applyFont="1" applyFill="1" applyBorder="1" applyAlignment="1" applyProtection="1">
      <alignment horizontal="center" vertical="center"/>
      <protection hidden="1"/>
    </xf>
    <xf numFmtId="222" fontId="137" fillId="0" borderId="0" xfId="180" applyNumberFormat="1" applyFont="1" applyFill="1" applyBorder="1" applyAlignment="1" applyProtection="1">
      <alignment horizontal="left" vertical="top"/>
      <protection hidden="1"/>
    </xf>
    <xf numFmtId="222" fontId="138" fillId="0" borderId="66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71" xfId="180" applyNumberFormat="1" applyFont="1" applyFill="1" applyBorder="1" applyAlignment="1" applyProtection="1">
      <alignment horizontal="right" vertical="top"/>
      <protection hidden="1"/>
    </xf>
    <xf numFmtId="222" fontId="137" fillId="0" borderId="83" xfId="180" applyNumberFormat="1" applyFont="1" applyFill="1" applyBorder="1" applyAlignment="1" applyProtection="1">
      <alignment horizontal="right" vertical="top"/>
      <protection hidden="1"/>
    </xf>
    <xf numFmtId="222" fontId="138" fillId="0" borderId="0" xfId="180" applyNumberFormat="1" applyFont="1" applyFill="1" applyBorder="1" applyAlignment="1" applyProtection="1">
      <alignment horizontal="left" vertical="top"/>
      <protection hidden="1"/>
    </xf>
    <xf numFmtId="222" fontId="137" fillId="0" borderId="0" xfId="180" applyNumberFormat="1" applyFont="1" applyFill="1" applyBorder="1" applyAlignment="1" applyProtection="1">
      <alignment horizontal="right"/>
      <protection hidden="1"/>
    </xf>
    <xf numFmtId="222" fontId="137" fillId="0" borderId="66" xfId="180" applyNumberFormat="1" applyFont="1" applyFill="1" applyBorder="1" applyAlignment="1" applyProtection="1">
      <alignment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8" xfId="180" applyNumberFormat="1" applyFont="1" applyFill="1" applyBorder="1" applyAlignment="1" applyProtection="1">
      <alignment horizontal="right" vertical="top"/>
      <protection hidden="1"/>
    </xf>
    <xf numFmtId="175" fontId="137" fillId="0" borderId="68" xfId="180" applyNumberFormat="1" applyFont="1" applyFill="1" applyBorder="1" applyAlignment="1" applyProtection="1">
      <alignment vertical="top"/>
      <protection hidden="1"/>
    </xf>
    <xf numFmtId="175" fontId="137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center"/>
      <protection hidden="1"/>
    </xf>
    <xf numFmtId="43" fontId="144" fillId="0" borderId="42" xfId="0" applyNumberFormat="1" applyFont="1" applyFill="1" applyBorder="1" applyAlignment="1">
      <alignment vertical="top" wrapText="1"/>
    </xf>
    <xf numFmtId="0" fontId="146" fillId="0" borderId="42" xfId="0" applyFont="1" applyFill="1" applyBorder="1" applyAlignment="1">
      <alignment horizontal="left" vertical="center" wrapText="1"/>
    </xf>
    <xf numFmtId="0" fontId="146" fillId="0" borderId="46" xfId="0" applyFont="1" applyFill="1" applyBorder="1" applyAlignment="1">
      <alignment horizontal="center" vertical="center" wrapText="1"/>
    </xf>
    <xf numFmtId="0" fontId="146" fillId="0" borderId="39" xfId="0" applyFont="1" applyFill="1" applyBorder="1" applyAlignment="1">
      <alignment horizontal="center" vertical="center"/>
    </xf>
    <xf numFmtId="43" fontId="146" fillId="0" borderId="39" xfId="180" applyNumberFormat="1" applyFont="1" applyFill="1" applyBorder="1" applyAlignment="1">
      <alignment vertical="top"/>
    </xf>
    <xf numFmtId="175" fontId="146" fillId="0" borderId="0" xfId="180" applyNumberFormat="1" applyFont="1" applyFill="1" applyBorder="1"/>
    <xf numFmtId="0" fontId="144" fillId="41" borderId="39" xfId="0" applyFont="1" applyFill="1" applyBorder="1" applyAlignment="1">
      <alignment vertical="top"/>
    </xf>
    <xf numFmtId="0" fontId="144" fillId="41" borderId="46" xfId="0" applyFont="1" applyFill="1" applyBorder="1" applyAlignment="1">
      <alignment vertical="top" wrapText="1"/>
    </xf>
    <xf numFmtId="0" fontId="144" fillId="41" borderId="46" xfId="0" applyFont="1" applyFill="1" applyBorder="1" applyAlignment="1">
      <alignment wrapText="1"/>
    </xf>
    <xf numFmtId="43" fontId="144" fillId="41" borderId="39" xfId="0" applyNumberFormat="1" applyFont="1" applyFill="1" applyBorder="1" applyAlignment="1">
      <alignment vertical="top"/>
    </xf>
    <xf numFmtId="0" fontId="144" fillId="41" borderId="0" xfId="0" applyFont="1" applyFill="1"/>
    <xf numFmtId="175" fontId="144" fillId="41" borderId="0" xfId="180" applyNumberFormat="1" applyFont="1" applyFill="1" applyBorder="1" applyAlignment="1">
      <alignment vertical="top"/>
    </xf>
    <xf numFmtId="43" fontId="144" fillId="41" borderId="0" xfId="0" applyNumberFormat="1" applyFont="1" applyFill="1"/>
    <xf numFmtId="190" fontId="137" fillId="0" borderId="0" xfId="0" applyNumberFormat="1" applyFont="1" applyFill="1" applyProtection="1">
      <protection hidden="1"/>
    </xf>
    <xf numFmtId="175" fontId="137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8" fillId="0" borderId="65" xfId="0" applyFont="1" applyFill="1" applyBorder="1" applyAlignment="1" applyProtection="1">
      <alignment horizontal="center" vertical="center" wrapText="1"/>
      <protection hidden="1"/>
    </xf>
    <xf numFmtId="177" fontId="137" fillId="0" borderId="62" xfId="198" applyNumberFormat="1" applyFont="1" applyFill="1" applyBorder="1" applyAlignment="1" applyProtection="1">
      <alignment wrapText="1"/>
      <protection hidden="1"/>
    </xf>
    <xf numFmtId="177" fontId="137" fillId="0" borderId="62" xfId="198" applyNumberFormat="1" applyFont="1" applyFill="1" applyBorder="1" applyAlignment="1" applyProtection="1">
      <alignment horizontal="center" wrapText="1"/>
      <protection hidden="1"/>
    </xf>
    <xf numFmtId="222" fontId="137" fillId="0" borderId="62" xfId="180" applyNumberFormat="1" applyFont="1" applyFill="1" applyBorder="1" applyAlignment="1" applyProtection="1">
      <alignment horizontal="right" wrapText="1"/>
      <protection hidden="1"/>
    </xf>
    <xf numFmtId="177" fontId="137" fillId="0" borderId="45" xfId="198" applyNumberFormat="1" applyFont="1" applyFill="1" applyBorder="1" applyAlignment="1" applyProtection="1">
      <alignment wrapText="1"/>
      <protection hidden="1"/>
    </xf>
    <xf numFmtId="177" fontId="137" fillId="0" borderId="45" xfId="198" applyNumberFormat="1" applyFont="1" applyFill="1" applyBorder="1" applyAlignment="1" applyProtection="1">
      <alignment horizontal="center" wrapText="1"/>
      <protection hidden="1"/>
    </xf>
    <xf numFmtId="222" fontId="137" fillId="0" borderId="45" xfId="180" applyNumberFormat="1" applyFont="1" applyFill="1" applyBorder="1" applyAlignment="1" applyProtection="1">
      <alignment horizontal="right" wrapText="1"/>
      <protection hidden="1"/>
    </xf>
    <xf numFmtId="43" fontId="137" fillId="0" borderId="64" xfId="115" applyFont="1" applyFill="1" applyBorder="1" applyAlignment="1" applyProtection="1">
      <alignment horizontal="right" vertical="top"/>
      <protection hidden="1"/>
    </xf>
    <xf numFmtId="177" fontId="137" fillId="0" borderId="16" xfId="198" applyNumberFormat="1" applyFont="1" applyFill="1" applyBorder="1" applyAlignment="1" applyProtection="1">
      <alignment wrapText="1"/>
      <protection hidden="1"/>
    </xf>
    <xf numFmtId="177" fontId="137" fillId="0" borderId="16" xfId="198" applyNumberFormat="1" applyFont="1" applyFill="1" applyBorder="1" applyAlignment="1" applyProtection="1">
      <alignment horizontal="center" wrapText="1"/>
      <protection hidden="1"/>
    </xf>
    <xf numFmtId="222" fontId="137" fillId="0" borderId="16" xfId="180" applyNumberFormat="1" applyFont="1" applyFill="1" applyBorder="1" applyAlignment="1" applyProtection="1">
      <alignment horizontal="right" wrapText="1"/>
      <protection hidden="1"/>
    </xf>
    <xf numFmtId="0" fontId="137" fillId="0" borderId="62" xfId="0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Protection="1">
      <protection hidden="1"/>
    </xf>
    <xf numFmtId="175" fontId="138" fillId="0" borderId="70" xfId="180" applyNumberFormat="1" applyFont="1" applyFill="1" applyBorder="1" applyAlignment="1" applyProtection="1">
      <alignment horizontal="center" vertical="center"/>
      <protection hidden="1"/>
    </xf>
    <xf numFmtId="222" fontId="137" fillId="0" borderId="66" xfId="180" applyNumberFormat="1" applyFont="1" applyFill="1" applyBorder="1" applyAlignment="1" applyProtection="1">
      <alignment horizontal="right" vertical="top"/>
      <protection hidden="1"/>
    </xf>
    <xf numFmtId="175" fontId="137" fillId="0" borderId="70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horizontal="center" vertical="top" wrapText="1"/>
      <protection hidden="1"/>
    </xf>
    <xf numFmtId="222" fontId="137" fillId="0" borderId="66" xfId="180" applyNumberFormat="1" applyFont="1" applyFill="1" applyBorder="1" applyAlignment="1" applyProtection="1">
      <alignment horizontal="right" vertical="top" wrapText="1"/>
      <protection hidden="1"/>
    </xf>
    <xf numFmtId="0" fontId="138" fillId="0" borderId="66" xfId="0" applyFont="1" applyFill="1" applyBorder="1" applyAlignment="1" applyProtection="1">
      <alignment horizontal="center" vertical="top"/>
      <protection hidden="1"/>
    </xf>
    <xf numFmtId="0" fontId="144" fillId="0" borderId="39" xfId="0" applyFont="1" applyFill="1" applyBorder="1" applyAlignment="1">
      <alignment horizontal="left" vertical="top"/>
    </xf>
    <xf numFmtId="0" fontId="146" fillId="0" borderId="16" xfId="0" applyFont="1" applyFill="1" applyBorder="1" applyAlignment="1">
      <alignment horizontal="center" vertical="center"/>
    </xf>
    <xf numFmtId="0" fontId="146" fillId="0" borderId="36" xfId="0" applyFont="1" applyFill="1" applyBorder="1" applyAlignment="1">
      <alignment horizontal="center" vertical="center" wrapText="1"/>
    </xf>
    <xf numFmtId="0" fontId="146" fillId="0" borderId="37" xfId="0" applyFont="1" applyFill="1" applyBorder="1" applyAlignment="1">
      <alignment horizontal="center" vertical="center" wrapText="1"/>
    </xf>
    <xf numFmtId="175" fontId="144" fillId="0" borderId="0" xfId="198" applyNumberFormat="1" applyFont="1" applyFill="1" applyAlignment="1" applyProtection="1">
      <alignment horizontal="left" vertical="center"/>
      <protection hidden="1"/>
    </xf>
    <xf numFmtId="0" fontId="144" fillId="0" borderId="16" xfId="330" applyNumberFormat="1" applyFont="1" applyFill="1" applyBorder="1" applyAlignment="1" applyProtection="1">
      <alignment horizontal="center" vertical="center"/>
      <protection hidden="1"/>
    </xf>
    <xf numFmtId="175" fontId="144" fillId="0" borderId="5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vertical="center"/>
      <protection hidden="1"/>
    </xf>
    <xf numFmtId="175" fontId="144" fillId="0" borderId="45" xfId="198" applyNumberFormat="1" applyFont="1" applyFill="1" applyBorder="1" applyAlignment="1" applyProtection="1">
      <alignment horizontal="right" vertical="center"/>
      <protection hidden="1"/>
    </xf>
    <xf numFmtId="175" fontId="144" fillId="0" borderId="0" xfId="198" applyNumberFormat="1" applyFont="1" applyFill="1" applyAlignment="1" applyProtection="1">
      <alignment vertical="center"/>
      <protection hidden="1"/>
    </xf>
    <xf numFmtId="0" fontId="144" fillId="0" borderId="16" xfId="841" quotePrefix="1" applyFont="1" applyFill="1" applyBorder="1" applyAlignment="1" applyProtection="1">
      <alignment horizontal="center" vertical="center"/>
      <protection hidden="1"/>
    </xf>
    <xf numFmtId="175" fontId="144" fillId="0" borderId="41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horizontal="right" vertical="center"/>
      <protection hidden="1"/>
    </xf>
    <xf numFmtId="0" fontId="144" fillId="0" borderId="39" xfId="841" applyFont="1" applyFill="1" applyBorder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vertical="center"/>
      <protection hidden="1"/>
    </xf>
    <xf numFmtId="0" fontId="148" fillId="0" borderId="46" xfId="841" applyFont="1" applyFill="1" applyBorder="1" applyAlignment="1" applyProtection="1">
      <alignment vertical="center"/>
      <protection hidden="1"/>
    </xf>
    <xf numFmtId="0" fontId="148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vertical="center"/>
      <protection hidden="1"/>
    </xf>
    <xf numFmtId="175" fontId="148" fillId="0" borderId="93" xfId="180" applyNumberFormat="1" applyFont="1" applyFill="1" applyBorder="1" applyAlignment="1" applyProtection="1">
      <alignment vertical="center"/>
      <protection hidden="1"/>
    </xf>
    <xf numFmtId="175" fontId="148" fillId="0" borderId="94" xfId="180" applyNumberFormat="1" applyFont="1" applyFill="1" applyBorder="1" applyAlignment="1" applyProtection="1">
      <alignment vertical="center"/>
      <protection hidden="1"/>
    </xf>
    <xf numFmtId="175" fontId="148" fillId="0" borderId="95" xfId="180" applyNumberFormat="1" applyFont="1" applyFill="1" applyBorder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vertical="center"/>
      <protection hidden="1"/>
    </xf>
    <xf numFmtId="175" fontId="144" fillId="0" borderId="41" xfId="198" applyNumberFormat="1" applyFont="1" applyFill="1" applyBorder="1" applyAlignment="1" applyProtection="1">
      <alignment vertical="center"/>
      <protection hidden="1"/>
    </xf>
    <xf numFmtId="175" fontId="144" fillId="0" borderId="39" xfId="198" applyNumberFormat="1" applyFont="1" applyFill="1" applyBorder="1" applyAlignment="1" applyProtection="1">
      <alignment horizontal="right"/>
      <protection hidden="1"/>
    </xf>
    <xf numFmtId="175" fontId="144" fillId="0" borderId="39" xfId="198" applyNumberFormat="1" applyFont="1" applyFill="1" applyBorder="1" applyAlignment="1" applyProtection="1">
      <alignment vertical="top"/>
      <protection hidden="1"/>
    </xf>
    <xf numFmtId="0" fontId="148" fillId="0" borderId="42" xfId="841" applyFont="1" applyFill="1" applyBorder="1" applyAlignment="1" applyProtection="1">
      <protection hidden="1"/>
    </xf>
    <xf numFmtId="0" fontId="148" fillId="0" borderId="46" xfId="841" applyFont="1" applyFill="1" applyBorder="1" applyAlignment="1" applyProtection="1">
      <protection hidden="1"/>
    </xf>
    <xf numFmtId="0" fontId="148" fillId="0" borderId="46" xfId="850" applyFont="1" applyFill="1" applyBorder="1" applyAlignment="1" applyProtection="1">
      <alignment vertical="center"/>
      <protection hidden="1"/>
    </xf>
    <xf numFmtId="0" fontId="148" fillId="0" borderId="47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horizontal="center" vertical="center"/>
      <protection hidden="1"/>
    </xf>
    <xf numFmtId="0" fontId="148" fillId="0" borderId="39" xfId="841" applyFont="1" applyFill="1" applyBorder="1" applyAlignment="1" applyProtection="1">
      <alignment horizontal="center"/>
      <protection hidden="1"/>
    </xf>
    <xf numFmtId="0" fontId="144" fillId="0" borderId="39" xfId="850" applyFont="1" applyFill="1" applyBorder="1" applyAlignment="1" applyProtection="1">
      <alignment horizontal="center" vertical="center"/>
      <protection hidden="1"/>
    </xf>
    <xf numFmtId="0" fontId="148" fillId="0" borderId="0" xfId="850" applyFont="1" applyFill="1" applyAlignment="1" applyProtection="1">
      <alignment vertical="center"/>
      <protection hidden="1"/>
    </xf>
    <xf numFmtId="175" fontId="148" fillId="0" borderId="0" xfId="841" applyNumberFormat="1" applyFont="1" applyFill="1" applyAlignment="1" applyProtection="1">
      <alignment vertical="center"/>
      <protection hidden="1"/>
    </xf>
    <xf numFmtId="175" fontId="148" fillId="0" borderId="0" xfId="841" quotePrefix="1" applyNumberFormat="1" applyFont="1" applyFill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horizontal="right" vertical="center"/>
      <protection hidden="1"/>
    </xf>
    <xf numFmtId="41" fontId="144" fillId="0" borderId="39" xfId="180" applyFont="1" applyFill="1" applyBorder="1" applyAlignment="1" applyProtection="1">
      <alignment horizontal="center" vertical="center"/>
      <protection hidden="1"/>
    </xf>
    <xf numFmtId="0" fontId="148" fillId="0" borderId="42" xfId="850" applyFont="1" applyFill="1" applyBorder="1" applyAlignment="1" applyProtection="1">
      <alignment vertical="center"/>
      <protection hidden="1"/>
    </xf>
    <xf numFmtId="175" fontId="144" fillId="0" borderId="39" xfId="181" applyNumberFormat="1" applyFont="1" applyFill="1" applyBorder="1" applyAlignment="1" applyProtection="1">
      <alignment vertical="center"/>
      <protection hidden="1"/>
    </xf>
    <xf numFmtId="175" fontId="144" fillId="0" borderId="40" xfId="181" applyNumberFormat="1" applyFont="1" applyFill="1" applyBorder="1" applyAlignment="1" applyProtection="1">
      <alignment vertical="center"/>
      <protection hidden="1"/>
    </xf>
    <xf numFmtId="175" fontId="144" fillId="0" borderId="41" xfId="181" applyNumberFormat="1" applyFont="1" applyFill="1" applyBorder="1" applyAlignment="1" applyProtection="1">
      <alignment vertical="center"/>
      <protection hidden="1"/>
    </xf>
    <xf numFmtId="0" fontId="146" fillId="0" borderId="39" xfId="841" applyFont="1" applyFill="1" applyBorder="1" applyAlignment="1" applyProtection="1">
      <alignment horizontal="center" vertical="center"/>
      <protection hidden="1"/>
    </xf>
    <xf numFmtId="0" fontId="150" fillId="0" borderId="39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protection hidden="1"/>
    </xf>
    <xf numFmtId="0" fontId="144" fillId="0" borderId="39" xfId="0" applyFont="1" applyFill="1" applyBorder="1" applyAlignment="1" applyProtection="1">
      <alignment horizontal="left" vertical="top"/>
      <protection hidden="1"/>
    </xf>
    <xf numFmtId="175" fontId="144" fillId="0" borderId="40" xfId="198" applyNumberFormat="1" applyFont="1" applyFill="1" applyBorder="1" applyAlignment="1" applyProtection="1">
      <alignment horizontal="right"/>
      <protection hidden="1"/>
    </xf>
    <xf numFmtId="175" fontId="148" fillId="0" borderId="39" xfId="198" applyNumberFormat="1" applyFont="1" applyFill="1" applyBorder="1" applyAlignment="1" applyProtection="1">
      <alignment vertical="center"/>
      <protection hidden="1"/>
    </xf>
    <xf numFmtId="0" fontId="148" fillId="0" borderId="0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alignment vertical="center"/>
      <protection hidden="1"/>
    </xf>
    <xf numFmtId="0" fontId="151" fillId="0" borderId="46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horizontal="center" vertical="center"/>
      <protection hidden="1"/>
    </xf>
    <xf numFmtId="0" fontId="148" fillId="0" borderId="52" xfId="841" applyFont="1" applyFill="1" applyBorder="1" applyAlignment="1" applyProtection="1">
      <alignment vertical="center"/>
      <protection hidden="1"/>
    </xf>
    <xf numFmtId="0" fontId="148" fillId="0" borderId="53" xfId="841" applyFont="1" applyFill="1" applyBorder="1" applyAlignment="1" applyProtection="1">
      <alignment vertical="center"/>
      <protection hidden="1"/>
    </xf>
    <xf numFmtId="0" fontId="148" fillId="0" borderId="54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horizontal="center" vertical="center"/>
      <protection hidden="1"/>
    </xf>
    <xf numFmtId="0" fontId="144" fillId="0" borderId="41" xfId="841" applyFont="1" applyFill="1" applyBorder="1" applyAlignment="1" applyProtection="1">
      <alignment horizontal="center" vertical="center"/>
      <protection hidden="1"/>
    </xf>
    <xf numFmtId="0" fontId="148" fillId="0" borderId="49" xfId="841" applyFont="1" applyFill="1" applyBorder="1" applyAlignment="1" applyProtection="1">
      <alignment vertical="center"/>
      <protection hidden="1"/>
    </xf>
    <xf numFmtId="0" fontId="148" fillId="0" borderId="50" xfId="841" applyFont="1" applyFill="1" applyBorder="1" applyAlignment="1" applyProtection="1">
      <alignment vertical="center"/>
      <protection hidden="1"/>
    </xf>
    <xf numFmtId="0" fontId="148" fillId="0" borderId="51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horizontal="center" vertical="center"/>
      <protection hidden="1"/>
    </xf>
    <xf numFmtId="0" fontId="151" fillId="0" borderId="49" xfId="841" applyFont="1" applyFill="1" applyBorder="1" applyAlignment="1" applyProtection="1">
      <alignment vertical="center"/>
      <protection hidden="1"/>
    </xf>
    <xf numFmtId="0" fontId="151" fillId="0" borderId="50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top"/>
      <protection hidden="1"/>
    </xf>
    <xf numFmtId="175" fontId="148" fillId="0" borderId="96" xfId="180" applyNumberFormat="1" applyFont="1" applyFill="1" applyBorder="1" applyAlignment="1" applyProtection="1">
      <alignment vertical="center"/>
      <protection hidden="1"/>
    </xf>
    <xf numFmtId="175" fontId="148" fillId="0" borderId="97" xfId="180" applyNumberFormat="1" applyFont="1" applyFill="1" applyBorder="1" applyAlignment="1" applyProtection="1">
      <alignment vertical="center"/>
      <protection hidden="1"/>
    </xf>
    <xf numFmtId="175" fontId="148" fillId="0" borderId="98" xfId="180" applyNumberFormat="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Border="1" applyAlignment="1" applyProtection="1">
      <alignment horizontal="center" vertical="center"/>
      <protection hidden="1"/>
    </xf>
    <xf numFmtId="175" fontId="144" fillId="0" borderId="0" xfId="198" applyNumberFormat="1" applyFont="1" applyFill="1" applyBorder="1" applyAlignment="1" applyProtection="1">
      <alignment horizontal="right" vertical="center"/>
      <protection hidden="1"/>
    </xf>
    <xf numFmtId="175" fontId="148" fillId="0" borderId="0" xfId="180" applyNumberFormat="1" applyFont="1" applyFill="1" applyAlignment="1" applyProtection="1">
      <alignment vertical="center"/>
      <protection hidden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left" vertical="center"/>
      <protection hidden="1"/>
    </xf>
    <xf numFmtId="0" fontId="144" fillId="0" borderId="16" xfId="841" applyFont="1" applyFill="1" applyBorder="1" applyAlignment="1" applyProtection="1">
      <alignment horizontal="center" vertical="center"/>
      <protection hidden="1"/>
    </xf>
    <xf numFmtId="0" fontId="148" fillId="0" borderId="16" xfId="841" applyFont="1" applyFill="1" applyBorder="1" applyAlignment="1" applyProtection="1">
      <alignment horizontal="center" vertical="center"/>
      <protection hidden="1"/>
    </xf>
    <xf numFmtId="0" fontId="144" fillId="0" borderId="5" xfId="841" applyFont="1" applyFill="1" applyBorder="1" applyAlignment="1" applyProtection="1">
      <alignment horizontal="center" vertical="center"/>
      <protection hidden="1"/>
    </xf>
    <xf numFmtId="0" fontId="148" fillId="0" borderId="32" xfId="841" applyFont="1" applyFill="1" applyBorder="1" applyAlignment="1" applyProtection="1">
      <alignment vertical="center"/>
      <protection hidden="1"/>
    </xf>
    <xf numFmtId="0" fontId="148" fillId="0" borderId="7" xfId="841" applyFont="1" applyFill="1" applyBorder="1" applyAlignment="1" applyProtection="1">
      <alignment vertical="center"/>
      <protection hidden="1"/>
    </xf>
    <xf numFmtId="0" fontId="148" fillId="0" borderId="5" xfId="841" applyFont="1" applyFill="1" applyBorder="1" applyAlignment="1" applyProtection="1">
      <alignment horizontal="center" vertical="center"/>
      <protection hidden="1"/>
    </xf>
    <xf numFmtId="172" fontId="144" fillId="0" borderId="39" xfId="841" applyNumberFormat="1" applyFont="1" applyFill="1" applyBorder="1" applyAlignment="1" applyProtection="1">
      <alignment horizontal="center" vertical="center"/>
      <protection hidden="1"/>
    </xf>
    <xf numFmtId="0" fontId="150" fillId="0" borderId="47" xfId="841" applyFont="1" applyFill="1" applyBorder="1" applyAlignment="1" applyProtection="1">
      <alignment vertical="center"/>
      <protection hidden="1"/>
    </xf>
    <xf numFmtId="175" fontId="148" fillId="0" borderId="0" xfId="198" applyNumberFormat="1" applyFont="1" applyFill="1" applyAlignment="1" applyProtection="1">
      <alignment vertical="center"/>
      <protection hidden="1"/>
    </xf>
    <xf numFmtId="175" fontId="144" fillId="0" borderId="5" xfId="198" applyNumberFormat="1" applyFont="1" applyFill="1" applyBorder="1" applyAlignment="1" applyProtection="1">
      <alignment vertical="center"/>
      <protection hidden="1"/>
    </xf>
    <xf numFmtId="172" fontId="144" fillId="0" borderId="5" xfId="841" applyNumberFormat="1" applyFont="1" applyFill="1" applyBorder="1" applyAlignment="1" applyProtection="1">
      <alignment horizontal="center" vertical="center"/>
      <protection hidden="1"/>
    </xf>
    <xf numFmtId="0" fontId="144" fillId="0" borderId="45" xfId="841" applyFont="1" applyFill="1" applyBorder="1" applyAlignment="1" applyProtection="1">
      <alignment horizontal="center" vertical="center"/>
      <protection hidden="1"/>
    </xf>
    <xf numFmtId="0" fontId="148" fillId="0" borderId="35" xfId="841" applyFont="1" applyFill="1" applyBorder="1" applyAlignment="1" applyProtection="1">
      <alignment vertical="center"/>
      <protection hidden="1"/>
    </xf>
    <xf numFmtId="0" fontId="148" fillId="0" borderId="44" xfId="841" applyFont="1" applyFill="1" applyBorder="1" applyAlignment="1" applyProtection="1">
      <alignment vertical="center"/>
      <protection hidden="1"/>
    </xf>
    <xf numFmtId="0" fontId="148" fillId="0" borderId="48" xfId="841" applyFont="1" applyFill="1" applyBorder="1" applyAlignment="1" applyProtection="1">
      <alignment vertical="center"/>
      <protection hidden="1"/>
    </xf>
    <xf numFmtId="0" fontId="148" fillId="0" borderId="45" xfId="841" applyFont="1" applyFill="1" applyBorder="1" applyAlignment="1" applyProtection="1">
      <alignment horizontal="center" vertical="center"/>
      <protection hidden="1"/>
    </xf>
    <xf numFmtId="172" fontId="144" fillId="0" borderId="0" xfId="841" applyNumberFormat="1" applyFont="1" applyFill="1" applyAlignment="1" applyProtection="1">
      <alignment horizontal="center" vertical="center"/>
      <protection hidden="1"/>
    </xf>
    <xf numFmtId="175" fontId="146" fillId="0" borderId="0" xfId="180" applyNumberFormat="1" applyFont="1" applyFill="1" applyBorder="1" applyAlignment="1" applyProtection="1">
      <alignment horizontal="center" vertical="center"/>
      <protection hidden="1"/>
    </xf>
    <xf numFmtId="175" fontId="146" fillId="0" borderId="16" xfId="180" applyNumberFormat="1" applyFont="1" applyFill="1" applyBorder="1" applyAlignment="1" applyProtection="1">
      <alignment horizontal="center" vertical="center"/>
      <protection hidden="1"/>
    </xf>
    <xf numFmtId="0" fontId="150" fillId="0" borderId="49" xfId="841" applyFont="1" applyFill="1" applyBorder="1" applyAlignment="1" applyProtection="1">
      <alignment vertical="center"/>
      <protection hidden="1"/>
    </xf>
    <xf numFmtId="0" fontId="150" fillId="0" borderId="50" xfId="841" applyFont="1" applyFill="1" applyBorder="1" applyAlignment="1" applyProtection="1">
      <alignment vertical="center"/>
      <protection hidden="1"/>
    </xf>
    <xf numFmtId="0" fontId="150" fillId="0" borderId="51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vertical="center"/>
      <protection hidden="1"/>
    </xf>
    <xf numFmtId="175" fontId="148" fillId="0" borderId="90" xfId="180" applyNumberFormat="1" applyFont="1" applyFill="1" applyBorder="1" applyAlignment="1" applyProtection="1">
      <alignment vertical="center"/>
      <protection hidden="1"/>
    </xf>
    <xf numFmtId="175" fontId="148" fillId="0" borderId="91" xfId="180" applyNumberFormat="1" applyFont="1" applyFill="1" applyBorder="1" applyAlignment="1" applyProtection="1">
      <alignment vertical="center"/>
      <protection hidden="1"/>
    </xf>
    <xf numFmtId="175" fontId="148" fillId="0" borderId="92" xfId="180" applyNumberFormat="1" applyFont="1" applyFill="1" applyBorder="1" applyAlignment="1" applyProtection="1">
      <alignment vertical="center"/>
      <protection hidden="1"/>
    </xf>
    <xf numFmtId="0" fontId="150" fillId="0" borderId="46" xfId="841" applyFont="1" applyFill="1" applyBorder="1" applyAlignment="1" applyProtection="1">
      <alignment vertical="center"/>
      <protection hidden="1"/>
    </xf>
    <xf numFmtId="0" fontId="150" fillId="0" borderId="42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vertical="center"/>
      <protection hidden="1"/>
    </xf>
    <xf numFmtId="0" fontId="151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top"/>
      <protection hidden="1"/>
    </xf>
    <xf numFmtId="0" fontId="144" fillId="0" borderId="39" xfId="841" applyFont="1" applyFill="1" applyBorder="1" applyAlignment="1" applyProtection="1">
      <alignment horizontal="center" vertical="top"/>
      <protection hidden="1"/>
    </xf>
    <xf numFmtId="0" fontId="148" fillId="0" borderId="0" xfId="841" applyFont="1" applyFill="1" applyAlignment="1" applyProtection="1">
      <alignment vertical="top"/>
      <protection hidden="1"/>
    </xf>
    <xf numFmtId="175" fontId="148" fillId="0" borderId="93" xfId="180" applyNumberFormat="1" applyFont="1" applyFill="1" applyBorder="1" applyAlignment="1" applyProtection="1">
      <alignment vertical="top"/>
      <protection hidden="1"/>
    </xf>
    <xf numFmtId="175" fontId="148" fillId="0" borderId="94" xfId="180" applyNumberFormat="1" applyFont="1" applyFill="1" applyBorder="1" applyAlignment="1" applyProtection="1">
      <alignment vertical="top"/>
      <protection hidden="1"/>
    </xf>
    <xf numFmtId="175" fontId="148" fillId="0" borderId="95" xfId="180" applyNumberFormat="1" applyFont="1" applyFill="1" applyBorder="1" applyAlignment="1" applyProtection="1">
      <alignment vertical="top"/>
      <protection hidden="1"/>
    </xf>
    <xf numFmtId="0" fontId="148" fillId="0" borderId="53" xfId="850" applyFont="1" applyFill="1" applyBorder="1" applyAlignment="1" applyProtection="1">
      <alignment vertical="center"/>
      <protection hidden="1"/>
    </xf>
    <xf numFmtId="0" fontId="148" fillId="0" borderId="54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horizontal="center" vertical="center"/>
      <protection hidden="1"/>
    </xf>
    <xf numFmtId="0" fontId="144" fillId="0" borderId="40" xfId="850" applyFont="1" applyFill="1" applyBorder="1" applyAlignment="1" applyProtection="1">
      <alignment horizontal="center" vertical="center"/>
      <protection hidden="1"/>
    </xf>
    <xf numFmtId="0" fontId="148" fillId="0" borderId="39" xfId="850" applyFont="1" applyFill="1" applyBorder="1" applyAlignment="1" applyProtection="1">
      <alignment vertical="top"/>
      <protection hidden="1"/>
    </xf>
    <xf numFmtId="0" fontId="148" fillId="0" borderId="39" xfId="850" applyFont="1" applyFill="1" applyBorder="1" applyAlignment="1" applyProtection="1">
      <alignment horizontal="center" vertical="top"/>
      <protection hidden="1"/>
    </xf>
    <xf numFmtId="0" fontId="144" fillId="0" borderId="39" xfId="850" applyFont="1" applyFill="1" applyBorder="1" applyAlignment="1" applyProtection="1">
      <alignment horizontal="center" vertical="top"/>
      <protection hidden="1"/>
    </xf>
    <xf numFmtId="0" fontId="148" fillId="0" borderId="0" xfId="850" applyFont="1" applyFill="1" applyAlignment="1" applyProtection="1">
      <alignment vertical="top"/>
      <protection hidden="1"/>
    </xf>
    <xf numFmtId="0" fontId="148" fillId="0" borderId="42" xfId="199" applyNumberFormat="1" applyFont="1" applyFill="1" applyBorder="1" applyAlignment="1" applyProtection="1">
      <alignment horizontal="left" vertical="top"/>
      <protection hidden="1"/>
    </xf>
    <xf numFmtId="0" fontId="148" fillId="0" borderId="46" xfId="199" applyNumberFormat="1" applyFont="1" applyFill="1" applyBorder="1" applyAlignment="1" applyProtection="1">
      <alignment horizontal="left" vertical="top"/>
      <protection hidden="1"/>
    </xf>
    <xf numFmtId="177" fontId="148" fillId="0" borderId="39" xfId="199" applyNumberFormat="1" applyFont="1" applyFill="1" applyBorder="1" applyAlignment="1" applyProtection="1">
      <alignment horizontal="center" wrapText="1"/>
      <protection hidden="1"/>
    </xf>
    <xf numFmtId="0" fontId="148" fillId="0" borderId="42" xfId="841" applyFont="1" applyFill="1" applyBorder="1" applyProtection="1">
      <protection hidden="1"/>
    </xf>
    <xf numFmtId="0" fontId="148" fillId="0" borderId="46" xfId="841" applyFont="1" applyFill="1" applyBorder="1" applyProtection="1">
      <protection hidden="1"/>
    </xf>
    <xf numFmtId="0" fontId="146" fillId="0" borderId="40" xfId="841" applyFont="1" applyFill="1" applyBorder="1" applyAlignment="1" applyProtection="1">
      <alignment horizontal="center" vertical="center"/>
      <protection hidden="1"/>
    </xf>
    <xf numFmtId="0" fontId="151" fillId="0" borderId="52" xfId="841" applyFont="1" applyFill="1" applyBorder="1" applyAlignment="1" applyProtection="1">
      <alignment vertical="center"/>
      <protection hidden="1"/>
    </xf>
    <xf numFmtId="0" fontId="151" fillId="0" borderId="53" xfId="841" applyFont="1" applyFill="1" applyBorder="1" applyAlignment="1" applyProtection="1">
      <alignment vertical="center"/>
      <protection hidden="1"/>
    </xf>
    <xf numFmtId="0" fontId="151" fillId="0" borderId="54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vertical="center"/>
      <protection hidden="1"/>
    </xf>
    <xf numFmtId="0" fontId="146" fillId="0" borderId="41" xfId="841" applyFont="1" applyFill="1" applyBorder="1" applyAlignment="1" applyProtection="1">
      <alignment horizontal="center" vertical="center"/>
      <protection hidden="1"/>
    </xf>
    <xf numFmtId="0" fontId="151" fillId="0" borderId="51" xfId="841" applyFont="1" applyFill="1" applyBorder="1" applyAlignment="1" applyProtection="1">
      <alignment vertical="center"/>
      <protection hidden="1"/>
    </xf>
    <xf numFmtId="175" fontId="144" fillId="0" borderId="39" xfId="180" applyNumberFormat="1" applyFont="1" applyFill="1" applyBorder="1" applyAlignment="1" applyProtection="1">
      <alignment horizontal="center" vertical="center"/>
      <protection hidden="1"/>
    </xf>
    <xf numFmtId="9" fontId="148" fillId="0" borderId="42" xfId="1092" applyFont="1" applyFill="1" applyBorder="1" applyAlignment="1" applyProtection="1">
      <alignment horizontal="left" vertical="center"/>
      <protection hidden="1"/>
    </xf>
    <xf numFmtId="9" fontId="148" fillId="0" borderId="46" xfId="1092" applyFont="1" applyFill="1" applyBorder="1" applyAlignment="1" applyProtection="1">
      <alignment horizontal="left" vertical="center"/>
      <protection hidden="1"/>
    </xf>
    <xf numFmtId="9" fontId="148" fillId="0" borderId="47" xfId="1092" applyFont="1" applyFill="1" applyBorder="1" applyAlignment="1" applyProtection="1">
      <alignment horizontal="left" vertical="center"/>
      <protection hidden="1"/>
    </xf>
    <xf numFmtId="9" fontId="148" fillId="0" borderId="39" xfId="1092" applyFont="1" applyFill="1" applyBorder="1" applyAlignment="1" applyProtection="1">
      <alignment horizontal="left" vertical="center"/>
      <protection hidden="1"/>
    </xf>
    <xf numFmtId="0" fontId="149" fillId="0" borderId="42" xfId="841" applyFont="1" applyFill="1" applyBorder="1" applyAlignment="1" applyProtection="1">
      <alignment vertical="center"/>
      <protection hidden="1"/>
    </xf>
    <xf numFmtId="0" fontId="149" fillId="0" borderId="46" xfId="841" applyFont="1" applyFill="1" applyBorder="1" applyAlignment="1" applyProtection="1">
      <alignment vertical="center"/>
      <protection hidden="1"/>
    </xf>
    <xf numFmtId="0" fontId="148" fillId="0" borderId="42" xfId="199" applyNumberFormat="1" applyFont="1" applyFill="1" applyBorder="1" applyAlignment="1" applyProtection="1">
      <protection hidden="1"/>
    </xf>
    <xf numFmtId="0" fontId="148" fillId="0" borderId="46" xfId="199" applyNumberFormat="1" applyFont="1" applyFill="1" applyBorder="1" applyAlignment="1" applyProtection="1">
      <protection hidden="1"/>
    </xf>
    <xf numFmtId="0" fontId="148" fillId="0" borderId="52" xfId="841" applyFont="1" applyFill="1" applyBorder="1" applyAlignment="1" applyProtection="1">
      <protection hidden="1"/>
    </xf>
    <xf numFmtId="0" fontId="148" fillId="0" borderId="53" xfId="841" applyFont="1" applyFill="1" applyBorder="1" applyAlignment="1" applyProtection="1">
      <protection hidden="1"/>
    </xf>
    <xf numFmtId="0" fontId="148" fillId="0" borderId="40" xfId="841" applyFont="1" applyFill="1" applyBorder="1" applyAlignment="1" applyProtection="1">
      <alignment horizontal="center"/>
      <protection hidden="1"/>
    </xf>
    <xf numFmtId="0" fontId="148" fillId="0" borderId="42" xfId="841" applyFont="1" applyFill="1" applyBorder="1" applyAlignment="1" applyProtection="1">
      <alignment horizontal="center" vertical="center"/>
      <protection hidden="1"/>
    </xf>
    <xf numFmtId="175" fontId="148" fillId="0" borderId="0" xfId="180" applyNumberFormat="1" applyFont="1" applyFill="1" applyBorder="1" applyAlignment="1" applyProtection="1">
      <alignment vertical="center"/>
      <protection hidden="1"/>
    </xf>
    <xf numFmtId="43" fontId="144" fillId="0" borderId="0" xfId="297" applyFont="1" applyFill="1" applyBorder="1" applyAlignment="1" applyProtection="1">
      <protection hidden="1"/>
    </xf>
    <xf numFmtId="0" fontId="148" fillId="0" borderId="49" xfId="841" applyFont="1" applyFill="1" applyBorder="1" applyAlignment="1" applyProtection="1">
      <protection hidden="1"/>
    </xf>
    <xf numFmtId="0" fontId="148" fillId="0" borderId="50" xfId="841" applyFont="1" applyFill="1" applyBorder="1" applyAlignment="1" applyProtection="1">
      <protection hidden="1"/>
    </xf>
    <xf numFmtId="0" fontId="148" fillId="0" borderId="41" xfId="841" applyFont="1" applyFill="1" applyBorder="1" applyAlignment="1" applyProtection="1">
      <alignment horizontal="center"/>
      <protection hidden="1"/>
    </xf>
    <xf numFmtId="175" fontId="144" fillId="0" borderId="41" xfId="198" applyNumberFormat="1" applyFont="1" applyFill="1" applyBorder="1" applyAlignment="1" applyProtection="1">
      <alignment horizontal="right"/>
      <protection hidden="1"/>
    </xf>
    <xf numFmtId="0" fontId="148" fillId="0" borderId="49" xfId="841" applyFont="1" applyFill="1" applyBorder="1" applyAlignment="1" applyProtection="1">
      <alignment horizontal="left" vertical="center"/>
      <protection hidden="1"/>
    </xf>
    <xf numFmtId="0" fontId="148" fillId="0" borderId="50" xfId="841" applyFont="1" applyFill="1" applyBorder="1" applyAlignment="1" applyProtection="1">
      <alignment horizontal="left" vertical="center"/>
      <protection hidden="1"/>
    </xf>
    <xf numFmtId="0" fontId="148" fillId="0" borderId="52" xfId="841" applyFont="1" applyFill="1" applyBorder="1" applyAlignment="1" applyProtection="1">
      <alignment horizontal="left" vertical="center"/>
      <protection hidden="1"/>
    </xf>
    <xf numFmtId="0" fontId="148" fillId="0" borderId="53" xfId="841" applyFont="1" applyFill="1" applyBorder="1" applyAlignment="1" applyProtection="1">
      <alignment horizontal="left" vertical="center"/>
      <protection hidden="1"/>
    </xf>
    <xf numFmtId="0" fontId="153" fillId="0" borderId="39" xfId="841" applyFont="1" applyFill="1" applyBorder="1" applyAlignment="1" applyProtection="1">
      <alignment horizontal="center" vertical="center"/>
      <protection hidden="1"/>
    </xf>
    <xf numFmtId="43" fontId="144" fillId="0" borderId="0" xfId="0" applyNumberFormat="1" applyFont="1" applyFill="1" applyAlignment="1">
      <alignment horizontal="center" vertical="top" wrapText="1"/>
    </xf>
    <xf numFmtId="0" fontId="146" fillId="0" borderId="41" xfId="0" applyFont="1" applyFill="1" applyBorder="1" applyAlignment="1">
      <alignment vertical="top"/>
    </xf>
    <xf numFmtId="0" fontId="146" fillId="0" borderId="50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vertical="top"/>
    </xf>
    <xf numFmtId="0" fontId="146" fillId="0" borderId="49" xfId="0" applyFont="1" applyFill="1" applyBorder="1" applyAlignment="1">
      <alignment vertical="top" wrapText="1"/>
    </xf>
    <xf numFmtId="0" fontId="146" fillId="0" borderId="51" xfId="0" applyFont="1" applyFill="1" applyBorder="1" applyAlignment="1">
      <alignment wrapText="1"/>
    </xf>
    <xf numFmtId="43" fontId="146" fillId="0" borderId="41" xfId="0" applyNumberFormat="1" applyFont="1" applyFill="1" applyBorder="1" applyAlignment="1">
      <alignment vertical="top"/>
    </xf>
    <xf numFmtId="222" fontId="138" fillId="0" borderId="0" xfId="180" applyNumberFormat="1" applyFont="1" applyFill="1" applyAlignment="1" applyProtection="1">
      <alignment horizontal="right"/>
      <protection hidden="1"/>
    </xf>
    <xf numFmtId="175" fontId="138" fillId="0" borderId="0" xfId="180" applyNumberFormat="1" applyFont="1" applyFill="1" applyAlignment="1" applyProtection="1">
      <alignment horizontal="right"/>
      <protection hidden="1"/>
    </xf>
    <xf numFmtId="43" fontId="138" fillId="0" borderId="0" xfId="115" applyFont="1" applyFill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138" fillId="0" borderId="0" xfId="0" applyFont="1" applyFill="1" applyAlignment="1" applyProtection="1">
      <alignment vertical="center"/>
      <protection hidden="1"/>
    </xf>
    <xf numFmtId="222" fontId="138" fillId="0" borderId="0" xfId="180" applyNumberFormat="1" applyFont="1" applyFill="1" applyAlignment="1" applyProtection="1">
      <alignment vertical="center"/>
      <protection hidden="1"/>
    </xf>
    <xf numFmtId="175" fontId="138" fillId="0" borderId="0" xfId="180" applyNumberFormat="1" applyFont="1" applyFill="1" applyAlignment="1" applyProtection="1">
      <alignment vertical="center"/>
      <protection hidden="1"/>
    </xf>
    <xf numFmtId="43" fontId="138" fillId="0" borderId="75" xfId="115" applyFont="1" applyFill="1" applyBorder="1" applyAlignment="1" applyProtection="1">
      <alignment horizontal="center" vertical="center"/>
      <protection hidden="1"/>
    </xf>
    <xf numFmtId="43" fontId="138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8" fillId="0" borderId="69" xfId="0" applyFont="1" applyFill="1" applyBorder="1" applyAlignment="1" applyProtection="1">
      <alignment horizontal="center" vertical="top"/>
      <protection hidden="1"/>
    </xf>
    <xf numFmtId="222" fontId="138" fillId="0" borderId="69" xfId="180" applyNumberFormat="1" applyFont="1" applyFill="1" applyBorder="1" applyAlignment="1" applyProtection="1">
      <alignment horizontal="right" vertical="top"/>
      <protection hidden="1"/>
    </xf>
    <xf numFmtId="175" fontId="138" fillId="0" borderId="68" xfId="180" applyNumberFormat="1" applyFont="1" applyFill="1" applyBorder="1" applyAlignment="1" applyProtection="1">
      <alignment horizontal="right" vertical="top"/>
      <protection hidden="1"/>
    </xf>
    <xf numFmtId="222" fontId="138" fillId="0" borderId="66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vertical="top" wrapText="1"/>
      <protection hidden="1"/>
    </xf>
    <xf numFmtId="0" fontId="137" fillId="0" borderId="68" xfId="0" applyFont="1" applyFill="1" applyBorder="1" applyAlignment="1" applyProtection="1">
      <alignment vertical="top"/>
      <protection hidden="1"/>
    </xf>
    <xf numFmtId="175" fontId="138" fillId="0" borderId="69" xfId="180" applyNumberFormat="1" applyFont="1" applyFill="1" applyBorder="1" applyAlignment="1" applyProtection="1">
      <alignment horizontal="right" vertical="top"/>
      <protection hidden="1"/>
    </xf>
    <xf numFmtId="0" fontId="143" fillId="0" borderId="66" xfId="0" applyFont="1" applyFill="1" applyBorder="1" applyAlignment="1" applyProtection="1">
      <alignment vertical="top"/>
      <protection hidden="1"/>
    </xf>
    <xf numFmtId="0" fontId="143" fillId="0" borderId="69" xfId="0" applyFont="1" applyFill="1" applyBorder="1" applyAlignment="1" applyProtection="1">
      <alignment horizontal="center" vertical="top"/>
      <protection hidden="1"/>
    </xf>
    <xf numFmtId="222" fontId="137" fillId="0" borderId="64" xfId="180" applyNumberFormat="1" applyFont="1" applyFill="1" applyBorder="1" applyAlignment="1" applyProtection="1">
      <alignment horizontal="right" vertical="top"/>
      <protection hidden="1"/>
    </xf>
    <xf numFmtId="43" fontId="137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protection hidden="1"/>
    </xf>
    <xf numFmtId="173" fontId="137" fillId="0" borderId="0" xfId="0" applyNumberFormat="1" applyFont="1" applyFill="1" applyProtection="1">
      <protection hidden="1"/>
    </xf>
    <xf numFmtId="43" fontId="138" fillId="0" borderId="73" xfId="115" applyFont="1" applyFill="1" applyBorder="1" applyAlignment="1" applyProtection="1">
      <alignment horizontal="center" vertical="center"/>
      <protection hidden="1"/>
    </xf>
    <xf numFmtId="175" fontId="137" fillId="0" borderId="66" xfId="180" applyNumberFormat="1" applyFont="1" applyFill="1" applyBorder="1" applyAlignment="1" applyProtection="1">
      <alignment horizontal="right" vertical="top"/>
      <protection hidden="1"/>
    </xf>
    <xf numFmtId="43" fontId="137" fillId="0" borderId="73" xfId="115" applyFont="1" applyFill="1" applyBorder="1" applyAlignment="1" applyProtection="1">
      <alignment horizontal="right" vertical="top"/>
      <protection hidden="1"/>
    </xf>
    <xf numFmtId="43" fontId="138" fillId="0" borderId="62" xfId="115" applyFont="1" applyFill="1" applyBorder="1" applyAlignment="1" applyProtection="1">
      <alignment horizontal="right"/>
      <protection hidden="1"/>
    </xf>
    <xf numFmtId="222" fontId="137" fillId="0" borderId="68" xfId="180" applyNumberFormat="1" applyFont="1" applyFill="1" applyBorder="1" applyAlignment="1" applyProtection="1">
      <alignment horizontal="right" vertical="top"/>
      <protection hidden="1"/>
    </xf>
    <xf numFmtId="222" fontId="137" fillId="0" borderId="76" xfId="180" applyNumberFormat="1" applyFont="1" applyFill="1" applyBorder="1" applyAlignment="1" applyProtection="1">
      <alignment horizontal="right" vertical="top"/>
      <protection hidden="1"/>
    </xf>
    <xf numFmtId="175" fontId="137" fillId="0" borderId="67" xfId="180" applyNumberFormat="1" applyFont="1" applyFill="1" applyBorder="1" applyAlignment="1" applyProtection="1">
      <alignment horizontal="right" vertical="top"/>
      <protection hidden="1"/>
    </xf>
    <xf numFmtId="0" fontId="138" fillId="0" borderId="68" xfId="0" applyFont="1" applyFill="1" applyBorder="1" applyAlignment="1" applyProtection="1">
      <alignment horizontal="center" vertical="top"/>
      <protection hidden="1"/>
    </xf>
    <xf numFmtId="43" fontId="138" fillId="0" borderId="68" xfId="115" applyFont="1" applyFill="1" applyBorder="1" applyAlignment="1" applyProtection="1">
      <alignment horizontal="right" vertical="top"/>
      <protection hidden="1"/>
    </xf>
    <xf numFmtId="43" fontId="137" fillId="0" borderId="68" xfId="115" applyFont="1" applyFill="1" applyBorder="1" applyAlignment="1" applyProtection="1">
      <alignment horizontal="right" vertical="top"/>
      <protection hidden="1"/>
    </xf>
    <xf numFmtId="0" fontId="143" fillId="0" borderId="68" xfId="0" applyFont="1" applyFill="1" applyBorder="1" applyAlignment="1" applyProtection="1">
      <alignment horizontal="center" vertical="top"/>
      <protection hidden="1"/>
    </xf>
    <xf numFmtId="0" fontId="137" fillId="0" borderId="80" xfId="0" applyFont="1" applyFill="1" applyBorder="1" applyAlignment="1" applyProtection="1">
      <alignment horizontal="center" vertical="top"/>
      <protection hidden="1"/>
    </xf>
    <xf numFmtId="0" fontId="137" fillId="0" borderId="82" xfId="0" applyFont="1" applyFill="1" applyBorder="1" applyAlignment="1" applyProtection="1">
      <alignment horizontal="center" vertical="top"/>
      <protection hidden="1"/>
    </xf>
    <xf numFmtId="0" fontId="138" fillId="0" borderId="62" xfId="0" applyFont="1" applyFill="1" applyBorder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left" vertical="center"/>
      <protection hidden="1"/>
    </xf>
    <xf numFmtId="0" fontId="137" fillId="0" borderId="0" xfId="0" applyFont="1" applyFill="1" applyAlignment="1" applyProtection="1">
      <alignment horizontal="left" vertical="center"/>
      <protection hidden="1"/>
    </xf>
    <xf numFmtId="175" fontId="138" fillId="0" borderId="70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6" xfId="0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center"/>
      <protection hidden="1"/>
    </xf>
    <xf numFmtId="222" fontId="137" fillId="0" borderId="62" xfId="180" applyNumberFormat="1" applyFont="1" applyFill="1" applyBorder="1" applyAlignment="1" applyProtection="1">
      <alignment horizontal="right"/>
      <protection hidden="1"/>
    </xf>
    <xf numFmtId="175" fontId="137" fillId="0" borderId="62" xfId="180" applyNumberFormat="1" applyFont="1" applyFill="1" applyBorder="1" applyAlignment="1" applyProtection="1">
      <alignment horizontal="right"/>
      <protection hidden="1"/>
    </xf>
    <xf numFmtId="43" fontId="137" fillId="0" borderId="62" xfId="115" applyFont="1" applyFill="1" applyBorder="1" applyAlignment="1" applyProtection="1">
      <alignment horizontal="righ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 wrapText="1"/>
      <protection hidden="1"/>
    </xf>
    <xf numFmtId="0" fontId="137" fillId="0" borderId="0" xfId="0" applyFont="1" applyFill="1" applyAlignment="1" applyProtection="1">
      <protection hidden="1"/>
    </xf>
    <xf numFmtId="0" fontId="137" fillId="0" borderId="7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Alignment="1" applyProtection="1">
      <alignment horizontal="left"/>
      <protection hidden="1"/>
    </xf>
    <xf numFmtId="222" fontId="137" fillId="0" borderId="71" xfId="180" applyNumberFormat="1" applyFont="1" applyFill="1" applyBorder="1" applyAlignment="1" applyProtection="1">
      <alignment horizontal="right"/>
      <protection hidden="1"/>
    </xf>
    <xf numFmtId="175" fontId="137" fillId="0" borderId="71" xfId="180" applyNumberFormat="1" applyFont="1" applyFill="1" applyBorder="1" applyAlignment="1" applyProtection="1">
      <alignment horizontal="right"/>
      <protection hidden="1"/>
    </xf>
    <xf numFmtId="43" fontId="137" fillId="0" borderId="71" xfId="115" applyFont="1" applyFill="1" applyBorder="1" applyAlignment="1" applyProtection="1">
      <alignment horizontal="right"/>
      <protection hidden="1"/>
    </xf>
    <xf numFmtId="0" fontId="138" fillId="0" borderId="0" xfId="0" applyFont="1" applyFill="1" applyBorder="1" applyAlignment="1" applyProtection="1">
      <alignment horizontal="left"/>
      <protection hidden="1"/>
    </xf>
    <xf numFmtId="175" fontId="137" fillId="0" borderId="0" xfId="180" applyNumberFormat="1" applyFont="1" applyFill="1" applyBorder="1" applyAlignment="1" applyProtection="1">
      <alignment horizontal="right"/>
      <protection hidden="1"/>
    </xf>
    <xf numFmtId="222" fontId="138" fillId="0" borderId="0" xfId="180" applyNumberFormat="1" applyFont="1" applyFill="1" applyBorder="1" applyAlignment="1" applyProtection="1">
      <alignment horizontal="left"/>
      <protection hidden="1"/>
    </xf>
    <xf numFmtId="175" fontId="138" fillId="0" borderId="0" xfId="180" applyNumberFormat="1" applyFont="1" applyFill="1" applyBorder="1" applyAlignment="1" applyProtection="1">
      <alignment horizontal="left"/>
      <protection hidden="1"/>
    </xf>
    <xf numFmtId="43" fontId="138" fillId="0" borderId="0" xfId="115" applyFont="1" applyFill="1" applyBorder="1" applyAlignment="1" applyProtection="1">
      <alignment horizontal="right"/>
      <protection hidden="1"/>
    </xf>
    <xf numFmtId="0" fontId="137" fillId="0" borderId="0" xfId="0" applyFont="1" applyFill="1" applyBorder="1" applyAlignment="1" applyProtection="1">
      <alignment horizontal="left"/>
      <protection hidden="1"/>
    </xf>
    <xf numFmtId="0" fontId="138" fillId="0" borderId="72" xfId="0" applyFont="1" applyFill="1" applyBorder="1" applyAlignment="1" applyProtection="1">
      <alignment horizontal="center" vertical="center" wrapText="1"/>
      <protection hidden="1"/>
    </xf>
    <xf numFmtId="0" fontId="137" fillId="0" borderId="72" xfId="0" applyFont="1" applyFill="1" applyBorder="1" applyAlignment="1" applyProtection="1">
      <alignment horizontal="center" vertical="top"/>
      <protection hidden="1"/>
    </xf>
    <xf numFmtId="175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vertical="top"/>
      <protection hidden="1"/>
    </xf>
    <xf numFmtId="0" fontId="137" fillId="0" borderId="70" xfId="0" applyFont="1" applyFill="1" applyBorder="1" applyAlignment="1" applyProtection="1">
      <alignment horizontal="center" vertical="top"/>
      <protection hidden="1"/>
    </xf>
    <xf numFmtId="0" fontId="138" fillId="0" borderId="72" xfId="0" applyFont="1" applyFill="1" applyBorder="1" applyAlignment="1" applyProtection="1">
      <alignment horizontal="center" vertical="top"/>
      <protection hidden="1"/>
    </xf>
    <xf numFmtId="0" fontId="143" fillId="0" borderId="72" xfId="0" applyFont="1" applyFill="1" applyBorder="1" applyAlignment="1" applyProtection="1">
      <alignment horizontal="center" vertical="top"/>
      <protection hidden="1"/>
    </xf>
    <xf numFmtId="0" fontId="138" fillId="0" borderId="77" xfId="0" applyFont="1" applyFill="1" applyBorder="1" applyAlignment="1" applyProtection="1">
      <alignment vertical="top"/>
      <protection hidden="1"/>
    </xf>
    <xf numFmtId="0" fontId="138" fillId="0" borderId="77" xfId="0" applyFont="1" applyFill="1" applyBorder="1" applyAlignment="1" applyProtection="1">
      <alignment horizontal="center" vertical="top"/>
      <protection hidden="1"/>
    </xf>
    <xf numFmtId="222" fontId="138" fillId="0" borderId="77" xfId="180" applyNumberFormat="1" applyFont="1" applyFill="1" applyBorder="1" applyAlignment="1" applyProtection="1">
      <alignment horizontal="right" vertical="top"/>
      <protection hidden="1"/>
    </xf>
    <xf numFmtId="175" fontId="138" fillId="0" borderId="77" xfId="180" applyNumberFormat="1" applyFont="1" applyFill="1" applyBorder="1" applyAlignment="1" applyProtection="1">
      <alignment horizontal="right" vertical="top"/>
      <protection hidden="1"/>
    </xf>
    <xf numFmtId="0" fontId="143" fillId="0" borderId="62" xfId="0" applyFont="1" applyFill="1" applyBorder="1" applyAlignment="1" applyProtection="1">
      <alignment vertical="top"/>
      <protection hidden="1"/>
    </xf>
    <xf numFmtId="0" fontId="143" fillId="0" borderId="62" xfId="0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/>
      <protection hidden="1"/>
    </xf>
    <xf numFmtId="0" fontId="138" fillId="0" borderId="64" xfId="0" applyFont="1" applyFill="1" applyBorder="1" applyAlignment="1" applyProtection="1">
      <alignment vertical="top"/>
      <protection hidden="1"/>
    </xf>
    <xf numFmtId="0" fontId="138" fillId="0" borderId="64" xfId="0" applyFont="1" applyFill="1" applyBorder="1" applyAlignment="1" applyProtection="1">
      <alignment horizontal="center" vertical="top"/>
      <protection hidden="1"/>
    </xf>
    <xf numFmtId="222" fontId="138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4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vertical="top"/>
      <protection hidden="1"/>
    </xf>
    <xf numFmtId="0" fontId="137" fillId="0" borderId="62" xfId="0" applyFont="1" applyFill="1" applyBorder="1" applyAlignment="1" applyProtection="1">
      <alignment vertical="top"/>
      <protection hidden="1"/>
    </xf>
    <xf numFmtId="222" fontId="137" fillId="0" borderId="77" xfId="180" applyNumberFormat="1" applyFont="1" applyFill="1" applyBorder="1" applyAlignment="1" applyProtection="1">
      <alignment horizontal="right" vertical="top"/>
      <protection hidden="1"/>
    </xf>
    <xf numFmtId="175" fontId="137" fillId="0" borderId="77" xfId="180" applyNumberFormat="1" applyFont="1" applyFill="1" applyBorder="1" applyAlignment="1" applyProtection="1">
      <alignment horizontal="right" vertical="top"/>
      <protection hidden="1"/>
    </xf>
    <xf numFmtId="43" fontId="137" fillId="0" borderId="62" xfId="115" applyNumberFormat="1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Alignment="1" applyProtection="1">
      <alignment horizontal="left"/>
      <protection hidden="1"/>
    </xf>
    <xf numFmtId="0" fontId="137" fillId="0" borderId="16" xfId="0" applyFont="1" applyFill="1" applyBorder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175" fontId="137" fillId="0" borderId="0" xfId="180" applyNumberFormat="1" applyFont="1" applyFill="1" applyAlignment="1" applyProtection="1">
      <alignment horizontal="center" vertical="top"/>
      <protection hidden="1"/>
    </xf>
    <xf numFmtId="43" fontId="137" fillId="0" borderId="0" xfId="115" applyFont="1" applyFill="1" applyAlignment="1" applyProtection="1">
      <alignment horizontal="center" vertical="top"/>
      <protection hidden="1"/>
    </xf>
    <xf numFmtId="0" fontId="137" fillId="0" borderId="0" xfId="0" applyFont="1" applyFill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115" applyNumberFormat="1" applyFont="1" applyFill="1" applyBorder="1" applyAlignment="1" applyProtection="1">
      <alignment horizontal="center"/>
      <protection hidden="1"/>
    </xf>
    <xf numFmtId="190" fontId="137" fillId="0" borderId="62" xfId="115" applyNumberFormat="1" applyFont="1" applyFill="1" applyBorder="1" applyAlignment="1" applyProtection="1">
      <alignment horizontal="right" vertical="top"/>
      <protection hidden="1"/>
    </xf>
    <xf numFmtId="43" fontId="138" fillId="0" borderId="73" xfId="115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vertical="top" wrapText="1"/>
      <protection hidden="1"/>
    </xf>
    <xf numFmtId="0" fontId="138" fillId="0" borderId="66" xfId="0" applyFont="1" applyFill="1" applyBorder="1" applyAlignment="1" applyProtection="1">
      <alignment horizontal="center" vertical="top" wrapText="1"/>
      <protection hidden="1"/>
    </xf>
    <xf numFmtId="222" fontId="138" fillId="0" borderId="66" xfId="180" applyNumberFormat="1" applyFont="1" applyFill="1" applyBorder="1" applyAlignment="1" applyProtection="1">
      <alignment horizontal="right" vertical="top" wrapText="1"/>
      <protection hidden="1"/>
    </xf>
    <xf numFmtId="43" fontId="138" fillId="0" borderId="62" xfId="115" applyNumberFormat="1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horizontal="center" vertical="center"/>
      <protection hidden="1"/>
    </xf>
    <xf numFmtId="222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5" xfId="180" applyNumberFormat="1" applyFont="1" applyFill="1" applyBorder="1" applyAlignment="1" applyProtection="1">
      <alignment horizontal="right" vertical="top"/>
      <protection hidden="1"/>
    </xf>
    <xf numFmtId="175" fontId="137" fillId="0" borderId="78" xfId="180" applyNumberFormat="1" applyFont="1" applyFill="1" applyBorder="1" applyAlignment="1" applyProtection="1">
      <alignment horizontal="right" vertical="top"/>
      <protection hidden="1"/>
    </xf>
    <xf numFmtId="175" fontId="137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9" xfId="180" applyNumberFormat="1" applyFont="1" applyFill="1" applyBorder="1" applyAlignment="1" applyProtection="1">
      <alignment horizontal="right" vertical="top"/>
      <protection hidden="1"/>
    </xf>
    <xf numFmtId="43" fontId="138" fillId="0" borderId="74" xfId="115" applyFont="1" applyFill="1" applyBorder="1" applyAlignment="1" applyProtection="1">
      <alignment horizontal="center" vertical="center"/>
      <protection hidden="1"/>
    </xf>
    <xf numFmtId="43" fontId="137" fillId="0" borderId="70" xfId="115" applyFont="1" applyFill="1" applyBorder="1" applyAlignment="1" applyProtection="1">
      <alignment horizontal="right" vertical="top"/>
      <protection hidden="1"/>
    </xf>
    <xf numFmtId="43" fontId="138" fillId="0" borderId="70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center" vertical="center" wrapText="1"/>
      <protection hidden="1"/>
    </xf>
    <xf numFmtId="222" fontId="138" fillId="0" borderId="0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5" xfId="180" applyNumberFormat="1" applyFont="1" applyFill="1" applyBorder="1" applyAlignment="1" applyProtection="1">
      <alignment horizontal="center" vertical="center"/>
      <protection hidden="1"/>
    </xf>
    <xf numFmtId="43" fontId="138" fillId="0" borderId="65" xfId="115" applyFont="1" applyFill="1" applyBorder="1" applyAlignment="1" applyProtection="1">
      <alignment horizontal="center" vertical="center"/>
      <protection hidden="1"/>
    </xf>
    <xf numFmtId="177" fontId="138" fillId="0" borderId="62" xfId="198" applyNumberFormat="1" applyFont="1" applyFill="1" applyBorder="1" applyAlignment="1" applyProtection="1">
      <alignment horizontal="center" wrapText="1"/>
      <protection hidden="1"/>
    </xf>
    <xf numFmtId="222" fontId="138" fillId="0" borderId="62" xfId="180" applyNumberFormat="1" applyFont="1" applyFill="1" applyBorder="1" applyAlignment="1" applyProtection="1">
      <alignment horizontal="left" vertical="top"/>
      <protection hidden="1"/>
    </xf>
    <xf numFmtId="175" fontId="138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center" vertical="top"/>
      <protection hidden="1"/>
    </xf>
    <xf numFmtId="175" fontId="138" fillId="0" borderId="80" xfId="180" applyNumberFormat="1" applyFont="1" applyFill="1" applyBorder="1" applyAlignment="1" applyProtection="1">
      <alignment horizontal="center" vertical="center"/>
      <protection hidden="1"/>
    </xf>
    <xf numFmtId="175" fontId="137" fillId="0" borderId="16" xfId="180" applyNumberFormat="1" applyFont="1" applyFill="1" applyBorder="1" applyAlignment="1" applyProtection="1">
      <alignment horizontal="right" vertical="top"/>
      <protection hidden="1"/>
    </xf>
    <xf numFmtId="0" fontId="138" fillId="0" borderId="0" xfId="1016" applyFont="1" applyFill="1" applyProtection="1">
      <protection hidden="1"/>
    </xf>
    <xf numFmtId="0" fontId="137" fillId="0" borderId="0" xfId="1016" applyFont="1" applyFill="1" applyAlignment="1" applyProtection="1">
      <alignment horizontal="center"/>
      <protection hidden="1"/>
    </xf>
    <xf numFmtId="0" fontId="137" fillId="0" borderId="0" xfId="1016" applyFont="1" applyFill="1" applyProtection="1">
      <protection hidden="1"/>
    </xf>
    <xf numFmtId="0" fontId="138" fillId="0" borderId="62" xfId="1016" applyFont="1" applyFill="1" applyBorder="1" applyAlignment="1" applyProtection="1">
      <alignment horizontal="center" vertical="center" wrapText="1"/>
      <protection hidden="1"/>
    </xf>
    <xf numFmtId="0" fontId="137" fillId="0" borderId="0" xfId="1016" applyFont="1" applyFill="1" applyAlignment="1" applyProtection="1">
      <alignment horizontal="center" vertical="center"/>
      <protection hidden="1"/>
    </xf>
    <xf numFmtId="0" fontId="138" fillId="0" borderId="62" xfId="1016" applyFont="1" applyFill="1" applyBorder="1" applyAlignment="1" applyProtection="1">
      <alignment horizontal="center" vertical="top"/>
      <protection hidden="1"/>
    </xf>
    <xf numFmtId="0" fontId="137" fillId="0" borderId="62" xfId="1016" applyFont="1" applyFill="1" applyBorder="1" applyAlignment="1" applyProtection="1">
      <alignment horizontal="center" vertical="top"/>
      <protection hidden="1"/>
    </xf>
    <xf numFmtId="0" fontId="137" fillId="0" borderId="65" xfId="1016" applyFont="1" applyFill="1" applyBorder="1" applyAlignment="1" applyProtection="1">
      <alignment horizontal="left" vertical="top"/>
      <protection hidden="1"/>
    </xf>
    <xf numFmtId="0" fontId="137" fillId="0" borderId="65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vertical="top" wrapText="1"/>
      <protection hidden="1"/>
    </xf>
    <xf numFmtId="0" fontId="139" fillId="0" borderId="62" xfId="0" applyFont="1" applyFill="1" applyBorder="1" applyAlignment="1" applyProtection="1">
      <alignment horizontal="left" vertical="top" wrapText="1"/>
      <protection hidden="1"/>
    </xf>
    <xf numFmtId="222" fontId="138" fillId="0" borderId="74" xfId="180" applyNumberFormat="1" applyFont="1" applyFill="1" applyBorder="1" applyAlignment="1" applyProtection="1">
      <alignment horizontal="right" vertical="top"/>
      <protection hidden="1"/>
    </xf>
    <xf numFmtId="0" fontId="140" fillId="0" borderId="0" xfId="1016" applyFont="1" applyFill="1" applyAlignment="1" applyProtection="1">
      <alignment horizontal="center"/>
      <protection hidden="1"/>
    </xf>
    <xf numFmtId="0" fontId="140" fillId="0" borderId="0" xfId="1016" applyFont="1" applyFill="1" applyProtection="1">
      <protection hidden="1"/>
    </xf>
    <xf numFmtId="222" fontId="140" fillId="0" borderId="0" xfId="180" applyNumberFormat="1" applyFont="1" applyFill="1" applyProtection="1">
      <protection hidden="1"/>
    </xf>
    <xf numFmtId="175" fontId="140" fillId="0" borderId="0" xfId="180" applyNumberFormat="1" applyFont="1" applyFill="1" applyAlignment="1" applyProtection="1">
      <protection hidden="1"/>
    </xf>
    <xf numFmtId="0" fontId="140" fillId="0" borderId="0" xfId="1016" applyFont="1" applyFill="1" applyAlignment="1" applyProtection="1">
      <protection hidden="1"/>
    </xf>
    <xf numFmtId="0" fontId="137" fillId="0" borderId="0" xfId="0" applyFont="1" applyFill="1" applyBorder="1" applyAlignment="1" applyProtection="1">
      <alignment vertical="top"/>
      <protection hidden="1"/>
    </xf>
    <xf numFmtId="222" fontId="137" fillId="0" borderId="66" xfId="180" applyNumberFormat="1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vertical="center" wrapText="1"/>
      <protection hidden="1"/>
    </xf>
    <xf numFmtId="222" fontId="138" fillId="0" borderId="62" xfId="180" applyNumberFormat="1" applyFont="1" applyFill="1" applyBorder="1" applyAlignment="1" applyProtection="1">
      <alignment vertical="center" wrapText="1"/>
      <protection hidden="1"/>
    </xf>
    <xf numFmtId="175" fontId="138" fillId="0" borderId="62" xfId="180" applyNumberFormat="1" applyFont="1" applyFill="1" applyBorder="1" applyAlignment="1" applyProtection="1">
      <alignment vertical="center"/>
      <protection hidden="1"/>
    </xf>
    <xf numFmtId="43" fontId="138" fillId="0" borderId="62" xfId="115" applyFont="1" applyFill="1" applyBorder="1" applyAlignment="1" applyProtection="1">
      <alignment vertical="center"/>
      <protection hidden="1"/>
    </xf>
    <xf numFmtId="0" fontId="137" fillId="0" borderId="0" xfId="0" applyFont="1" applyFill="1" applyAlignment="1" applyProtection="1">
      <alignment vertical="center"/>
      <protection hidden="1"/>
    </xf>
    <xf numFmtId="0" fontId="138" fillId="0" borderId="65" xfId="0" applyFont="1" applyFill="1" applyBorder="1" applyAlignment="1" applyProtection="1">
      <alignment horizontal="center" vertical="top"/>
      <protection hidden="1"/>
    </xf>
    <xf numFmtId="0" fontId="137" fillId="0" borderId="6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Protection="1">
      <protection hidden="1"/>
    </xf>
    <xf numFmtId="0" fontId="138" fillId="0" borderId="83" xfId="0" applyFont="1" applyFill="1" applyBorder="1" applyAlignment="1" applyProtection="1">
      <alignment horizontal="center" vertical="center" wrapText="1"/>
      <protection hidden="1"/>
    </xf>
    <xf numFmtId="222" fontId="137" fillId="0" borderId="69" xfId="180" applyNumberFormat="1" applyFont="1" applyFill="1" applyBorder="1" applyAlignment="1" applyProtection="1">
      <alignment vertical="top"/>
      <protection hidden="1"/>
    </xf>
    <xf numFmtId="0" fontId="141" fillId="0" borderId="0" xfId="906" applyFont="1" applyFill="1" applyAlignment="1" applyProtection="1">
      <alignment horizontal="center" vertical="center"/>
      <protection hidden="1"/>
    </xf>
    <xf numFmtId="0" fontId="141" fillId="0" borderId="0" xfId="906" applyFont="1" applyFill="1" applyAlignment="1" applyProtection="1">
      <protection hidden="1"/>
    </xf>
    <xf numFmtId="0" fontId="141" fillId="0" borderId="0" xfId="906" applyFont="1" applyFill="1" applyAlignment="1" applyProtection="1">
      <alignment horizontal="center"/>
      <protection hidden="1"/>
    </xf>
    <xf numFmtId="222" fontId="141" fillId="0" borderId="0" xfId="180" applyNumberFormat="1" applyFont="1" applyFill="1" applyAlignment="1" applyProtection="1">
      <protection hidden="1"/>
    </xf>
    <xf numFmtId="175" fontId="141" fillId="0" borderId="0" xfId="180" applyNumberFormat="1" applyFont="1" applyFill="1" applyAlignment="1" applyProtection="1">
      <protection hidden="1"/>
    </xf>
    <xf numFmtId="175" fontId="141" fillId="0" borderId="0" xfId="223" applyNumberFormat="1" applyFont="1" applyFill="1" applyAlignment="1" applyProtection="1">
      <protection hidden="1"/>
    </xf>
    <xf numFmtId="177" fontId="147" fillId="0" borderId="0" xfId="198" applyNumberFormat="1" applyFont="1" applyFill="1" applyAlignment="1" applyProtection="1">
      <alignment horizontal="left" vertical="center"/>
      <protection hidden="1"/>
    </xf>
    <xf numFmtId="177" fontId="142" fillId="0" borderId="16" xfId="198" applyNumberFormat="1" applyFont="1" applyFill="1" applyBorder="1" applyAlignment="1" applyProtection="1">
      <alignment wrapText="1"/>
      <protection hidden="1"/>
    </xf>
    <xf numFmtId="0" fontId="138" fillId="0" borderId="66" xfId="0" applyFont="1" applyFill="1" applyBorder="1" applyProtection="1">
      <protection hidden="1"/>
    </xf>
    <xf numFmtId="0" fontId="138" fillId="0" borderId="69" xfId="0" applyFont="1" applyFill="1" applyBorder="1" applyAlignment="1" applyProtection="1">
      <alignment horizontal="center"/>
      <protection hidden="1"/>
    </xf>
    <xf numFmtId="222" fontId="138" fillId="0" borderId="69" xfId="180" applyNumberFormat="1" applyFont="1" applyFill="1" applyBorder="1" applyAlignment="1" applyProtection="1">
      <alignment horizontal="right"/>
      <protection hidden="1"/>
    </xf>
    <xf numFmtId="175" fontId="138" fillId="0" borderId="68" xfId="180" applyNumberFormat="1" applyFont="1" applyFill="1" applyBorder="1" applyAlignment="1" applyProtection="1">
      <alignment horizontal="right"/>
      <protection hidden="1"/>
    </xf>
    <xf numFmtId="0" fontId="147" fillId="0" borderId="0" xfId="905" applyFont="1" applyFill="1" applyBorder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222" fontId="143" fillId="0" borderId="0" xfId="180" applyNumberFormat="1" applyFont="1" applyFill="1" applyAlignment="1" applyProtection="1">
      <alignment horizontal="left" vertical="center" wrapText="1"/>
      <protection hidden="1"/>
    </xf>
    <xf numFmtId="175" fontId="143" fillId="0" borderId="0" xfId="180" applyNumberFormat="1" applyFont="1" applyFill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/>
      <protection hidden="1"/>
    </xf>
    <xf numFmtId="222" fontId="138" fillId="0" borderId="0" xfId="180" applyNumberFormat="1" applyFont="1" applyFill="1" applyAlignment="1" applyProtection="1">
      <alignment horizontal="center" vertical="top" wrapText="1"/>
      <protection hidden="1"/>
    </xf>
    <xf numFmtId="175" fontId="138" fillId="0" borderId="0" xfId="180" applyNumberFormat="1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Alignment="1" applyProtection="1">
      <alignment horizontal="left" vertical="center" wrapText="1"/>
      <protection hidden="1"/>
    </xf>
    <xf numFmtId="175" fontId="138" fillId="0" borderId="0" xfId="180" applyNumberFormat="1" applyFont="1" applyFill="1" applyAlignment="1" applyProtection="1">
      <alignment horizontal="left" vertical="center"/>
      <protection hidden="1"/>
    </xf>
    <xf numFmtId="43" fontId="137" fillId="0" borderId="65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44" fillId="42" borderId="39" xfId="0" applyFont="1" applyFill="1" applyBorder="1" applyAlignment="1">
      <alignment vertical="top"/>
    </xf>
    <xf numFmtId="0" fontId="144" fillId="42" borderId="46" xfId="0" applyFont="1" applyFill="1" applyBorder="1" applyAlignment="1">
      <alignment vertical="top" wrapText="1"/>
    </xf>
    <xf numFmtId="0" fontId="144" fillId="42" borderId="46" xfId="0" applyFont="1" applyFill="1" applyBorder="1" applyAlignment="1">
      <alignment wrapText="1"/>
    </xf>
    <xf numFmtId="43" fontId="144" fillId="42" borderId="39" xfId="0" applyNumberFormat="1" applyFont="1" applyFill="1" applyBorder="1" applyAlignment="1">
      <alignment vertical="top"/>
    </xf>
    <xf numFmtId="0" fontId="144" fillId="42" borderId="0" xfId="0" applyFont="1" applyFill="1"/>
    <xf numFmtId="175" fontId="144" fillId="42" borderId="0" xfId="180" applyNumberFormat="1" applyFont="1" applyFill="1" applyBorder="1" applyAlignment="1">
      <alignment vertical="top"/>
    </xf>
    <xf numFmtId="43" fontId="144" fillId="42" borderId="0" xfId="0" applyNumberFormat="1" applyFont="1" applyFill="1"/>
    <xf numFmtId="0" fontId="144" fillId="42" borderId="42" xfId="0" applyFont="1" applyFill="1" applyBorder="1" applyAlignment="1">
      <alignment vertical="top" wrapText="1"/>
    </xf>
    <xf numFmtId="0" fontId="144" fillId="42" borderId="47" xfId="0" applyFont="1" applyFill="1" applyBorder="1" applyAlignment="1">
      <alignment wrapText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0" xfId="0" applyFont="1"/>
    <xf numFmtId="0" fontId="156" fillId="0" borderId="103" xfId="0" applyFont="1" applyBorder="1" applyAlignment="1">
      <alignment horizontal="center" vertical="center"/>
    </xf>
    <xf numFmtId="0" fontId="156" fillId="0" borderId="104" xfId="0" applyFont="1" applyBorder="1" applyAlignment="1">
      <alignment horizontal="center" vertical="center"/>
    </xf>
    <xf numFmtId="43" fontId="0" fillId="0" borderId="0" xfId="115" applyFont="1"/>
    <xf numFmtId="0" fontId="157" fillId="0" borderId="39" xfId="841" applyFont="1" applyFill="1" applyBorder="1" applyAlignment="1" applyProtection="1">
      <alignment horizontal="center" vertical="center"/>
      <protection hidden="1"/>
    </xf>
    <xf numFmtId="0" fontId="157" fillId="0" borderId="42" xfId="850" applyFont="1" applyFill="1" applyBorder="1" applyAlignment="1" applyProtection="1">
      <alignment vertical="center"/>
      <protection hidden="1"/>
    </xf>
    <xf numFmtId="0" fontId="157" fillId="0" borderId="46" xfId="850" applyFont="1" applyFill="1" applyBorder="1" applyAlignment="1" applyProtection="1">
      <alignment vertical="center"/>
      <protection hidden="1"/>
    </xf>
    <xf numFmtId="0" fontId="157" fillId="0" borderId="47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horizontal="center" vertical="center"/>
      <protection hidden="1"/>
    </xf>
    <xf numFmtId="175" fontId="157" fillId="0" borderId="39" xfId="198" applyNumberFormat="1" applyFont="1" applyFill="1" applyBorder="1" applyAlignment="1" applyProtection="1">
      <alignment vertical="center"/>
      <protection hidden="1"/>
    </xf>
    <xf numFmtId="0" fontId="157" fillId="0" borderId="0" xfId="850" applyFont="1" applyFill="1" applyAlignment="1" applyProtection="1">
      <alignment vertical="center"/>
      <protection hidden="1"/>
    </xf>
    <xf numFmtId="175" fontId="157" fillId="0" borderId="0" xfId="841" applyNumberFormat="1" applyFont="1" applyFill="1" applyAlignment="1" applyProtection="1">
      <alignment vertical="center"/>
      <protection hidden="1"/>
    </xf>
    <xf numFmtId="175" fontId="157" fillId="0" borderId="93" xfId="180" applyNumberFormat="1" applyFont="1" applyFill="1" applyBorder="1" applyAlignment="1" applyProtection="1">
      <alignment vertical="center"/>
      <protection hidden="1"/>
    </xf>
    <xf numFmtId="175" fontId="157" fillId="0" borderId="94" xfId="180" applyNumberFormat="1" applyFont="1" applyFill="1" applyBorder="1" applyAlignment="1" applyProtection="1">
      <alignment vertical="center"/>
      <protection hidden="1"/>
    </xf>
    <xf numFmtId="175" fontId="157" fillId="0" borderId="95" xfId="180" applyNumberFormat="1" applyFont="1" applyFill="1" applyBorder="1" applyAlignment="1" applyProtection="1">
      <alignment vertical="center"/>
      <protection hidden="1"/>
    </xf>
    <xf numFmtId="0" fontId="158" fillId="0" borderId="0" xfId="0" applyFont="1" applyFill="1" applyBorder="1" applyAlignment="1" applyProtection="1">
      <alignment horizontal="center"/>
      <protection hidden="1"/>
    </xf>
    <xf numFmtId="0" fontId="158" fillId="0" borderId="0" xfId="0" applyFont="1" applyFill="1" applyBorder="1" applyAlignment="1" applyProtection="1">
      <alignment horizontal="left" vertical="top"/>
      <protection hidden="1"/>
    </xf>
    <xf numFmtId="0" fontId="159" fillId="0" borderId="0" xfId="0" applyFont="1" applyFill="1" applyBorder="1" applyAlignment="1" applyProtection="1">
      <alignment horizontal="center" vertical="top"/>
      <protection hidden="1"/>
    </xf>
    <xf numFmtId="222" fontId="159" fillId="0" borderId="0" xfId="180" applyNumberFormat="1" applyFont="1" applyFill="1" applyBorder="1" applyAlignment="1" applyProtection="1">
      <alignment horizontal="right" vertical="top"/>
      <protection hidden="1"/>
    </xf>
    <xf numFmtId="175" fontId="159" fillId="0" borderId="0" xfId="180" applyNumberFormat="1" applyFont="1" applyFill="1" applyBorder="1" applyAlignment="1" applyProtection="1">
      <alignment horizontal="right" vertical="top"/>
      <protection hidden="1"/>
    </xf>
    <xf numFmtId="43" fontId="159" fillId="0" borderId="0" xfId="115" applyFont="1" applyFill="1" applyBorder="1" applyAlignment="1" applyProtection="1">
      <alignment horizontal="right" vertical="top"/>
      <protection hidden="1"/>
    </xf>
    <xf numFmtId="0" fontId="159" fillId="0" borderId="0" xfId="0" applyFont="1" applyFill="1" applyProtection="1">
      <protection hidden="1"/>
    </xf>
    <xf numFmtId="43" fontId="156" fillId="0" borderId="104" xfId="115" applyFont="1" applyBorder="1" applyAlignment="1">
      <alignment horizontal="center" vertical="center"/>
    </xf>
    <xf numFmtId="43" fontId="156" fillId="0" borderId="100" xfId="0" applyNumberFormat="1" applyFont="1" applyBorder="1"/>
    <xf numFmtId="0" fontId="0" fillId="0" borderId="108" xfId="0" applyBorder="1"/>
    <xf numFmtId="0" fontId="0" fillId="0" borderId="110" xfId="0" applyBorder="1"/>
    <xf numFmtId="0" fontId="0" fillId="0" borderId="112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156" fillId="0" borderId="119" xfId="0" applyNumberFormat="1" applyFont="1" applyBorder="1" applyAlignment="1">
      <alignment horizontal="center" vertical="center"/>
    </xf>
    <xf numFmtId="0" fontId="156" fillId="0" borderId="120" xfId="0" applyNumberFormat="1" applyFont="1" applyBorder="1" applyAlignment="1">
      <alignment horizontal="center" vertical="center"/>
    </xf>
    <xf numFmtId="0" fontId="156" fillId="0" borderId="120" xfId="115" applyNumberFormat="1" applyFont="1" applyBorder="1" applyAlignment="1">
      <alignment horizontal="center" vertical="center"/>
    </xf>
    <xf numFmtId="0" fontId="156" fillId="0" borderId="99" xfId="0" applyFont="1" applyBorder="1"/>
    <xf numFmtId="0" fontId="0" fillId="0" borderId="0" xfId="0" applyAlignment="1">
      <alignment horizontal="center"/>
    </xf>
    <xf numFmtId="0" fontId="0" fillId="0" borderId="113" xfId="0" applyBorder="1"/>
    <xf numFmtId="0" fontId="0" fillId="0" borderId="117" xfId="0" applyBorder="1"/>
    <xf numFmtId="0" fontId="0" fillId="0" borderId="118" xfId="0" applyBorder="1"/>
    <xf numFmtId="0" fontId="0" fillId="0" borderId="121" xfId="0" applyBorder="1"/>
    <xf numFmtId="0" fontId="0" fillId="0" borderId="7" xfId="0" applyBorder="1"/>
    <xf numFmtId="0" fontId="156" fillId="0" borderId="119" xfId="0" applyFont="1" applyBorder="1" applyAlignment="1">
      <alignment horizontal="center"/>
    </xf>
    <xf numFmtId="0" fontId="156" fillId="0" borderId="111" xfId="0" applyFont="1" applyBorder="1" applyAlignment="1">
      <alignment horizontal="center"/>
    </xf>
    <xf numFmtId="0" fontId="156" fillId="0" borderId="42" xfId="0" applyFont="1" applyBorder="1"/>
    <xf numFmtId="0" fontId="156" fillId="0" borderId="46" xfId="0" applyFont="1" applyBorder="1"/>
    <xf numFmtId="0" fontId="156" fillId="0" borderId="47" xfId="0" applyFont="1" applyBorder="1"/>
    <xf numFmtId="0" fontId="0" fillId="0" borderId="123" xfId="0" applyBorder="1"/>
    <xf numFmtId="0" fontId="0" fillId="0" borderId="124" xfId="0" applyBorder="1"/>
    <xf numFmtId="0" fontId="0" fillId="0" borderId="108" xfId="0" applyFill="1" applyBorder="1"/>
    <xf numFmtId="43" fontId="0" fillId="0" borderId="122" xfId="0" applyNumberFormat="1" applyBorder="1"/>
    <xf numFmtId="43" fontId="0" fillId="0" borderId="125" xfId="0" applyNumberFormat="1" applyBorder="1"/>
    <xf numFmtId="43" fontId="156" fillId="0" borderId="125" xfId="0" applyNumberFormat="1" applyFont="1" applyBorder="1"/>
    <xf numFmtId="0" fontId="161" fillId="0" borderId="0" xfId="0" applyFont="1"/>
    <xf numFmtId="0" fontId="162" fillId="0" borderId="0" xfId="0" applyFont="1"/>
    <xf numFmtId="0" fontId="144" fillId="0" borderId="0" xfId="841" applyFont="1" applyFill="1" applyAlignment="1" applyProtection="1">
      <alignment horizontal="center" vertical="center"/>
      <protection hidden="1"/>
    </xf>
    <xf numFmtId="0" fontId="158" fillId="0" borderId="0" xfId="0" applyFont="1" applyFill="1" applyAlignment="1" applyProtection="1">
      <alignment horizontal="center"/>
      <protection hidden="1"/>
    </xf>
    <xf numFmtId="0" fontId="158" fillId="0" borderId="0" xfId="0" applyFont="1" applyFill="1" applyProtection="1">
      <protection hidden="1"/>
    </xf>
    <xf numFmtId="0" fontId="159" fillId="0" borderId="0" xfId="0" applyFont="1" applyFill="1" applyAlignment="1" applyProtection="1">
      <alignment horizontal="center"/>
      <protection hidden="1"/>
    </xf>
    <xf numFmtId="222" fontId="159" fillId="0" borderId="0" xfId="180" applyNumberFormat="1" applyFont="1" applyFill="1" applyAlignment="1" applyProtection="1">
      <alignment horizontal="right"/>
      <protection hidden="1"/>
    </xf>
    <xf numFmtId="175" fontId="159" fillId="0" borderId="0" xfId="180" applyNumberFormat="1" applyFont="1" applyFill="1" applyAlignment="1" applyProtection="1">
      <alignment horizontal="right"/>
      <protection hidden="1"/>
    </xf>
    <xf numFmtId="43" fontId="159" fillId="0" borderId="0" xfId="115" applyFont="1" applyFill="1" applyAlignment="1" applyProtection="1">
      <alignment horizontal="right"/>
      <protection hidden="1"/>
    </xf>
    <xf numFmtId="0" fontId="158" fillId="0" borderId="62" xfId="0" applyFont="1" applyFill="1" applyBorder="1" applyAlignment="1" applyProtection="1">
      <alignment horizontal="center" vertical="center" wrapText="1"/>
      <protection hidden="1"/>
    </xf>
    <xf numFmtId="0" fontId="158" fillId="0" borderId="66" xfId="0" applyFont="1" applyFill="1" applyBorder="1" applyAlignment="1" applyProtection="1">
      <alignment horizontal="center" vertical="center" wrapText="1"/>
      <protection hidden="1"/>
    </xf>
    <xf numFmtId="222" fontId="158" fillId="0" borderId="66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6" xfId="180" applyNumberFormat="1" applyFont="1" applyFill="1" applyBorder="1" applyAlignment="1" applyProtection="1">
      <alignment horizontal="center" vertical="center"/>
      <protection hidden="1"/>
    </xf>
    <xf numFmtId="43" fontId="158" fillId="0" borderId="62" xfId="115" applyFont="1" applyFill="1" applyBorder="1" applyAlignment="1" applyProtection="1">
      <alignment horizontal="center" vertical="center"/>
      <protection hidden="1"/>
    </xf>
    <xf numFmtId="0" fontId="159" fillId="0" borderId="0" xfId="0" applyFont="1" applyFill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center" vertical="top"/>
      <protection hidden="1"/>
    </xf>
    <xf numFmtId="0" fontId="159" fillId="0" borderId="66" xfId="0" applyFont="1" applyFill="1" applyBorder="1" applyAlignment="1" applyProtection="1">
      <alignment vertical="top"/>
      <protection hidden="1"/>
    </xf>
    <xf numFmtId="0" fontId="159" fillId="0" borderId="66" xfId="0" applyFont="1" applyFill="1" applyBorder="1" applyAlignment="1" applyProtection="1">
      <alignment horizontal="center" vertical="top"/>
      <protection hidden="1"/>
    </xf>
    <xf numFmtId="222" fontId="159" fillId="0" borderId="66" xfId="180" applyNumberFormat="1" applyFont="1" applyFill="1" applyBorder="1" applyAlignment="1" applyProtection="1">
      <alignment horizontal="right" vertical="top"/>
      <protection hidden="1"/>
    </xf>
    <xf numFmtId="175" fontId="159" fillId="0" borderId="66" xfId="180" applyNumberFormat="1" applyFont="1" applyFill="1" applyBorder="1" applyAlignment="1" applyProtection="1">
      <alignment horizontal="right" vertical="top"/>
      <protection hidden="1"/>
    </xf>
    <xf numFmtId="43" fontId="159" fillId="0" borderId="62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center" vertical="top"/>
      <protection hidden="1"/>
    </xf>
    <xf numFmtId="175" fontId="159" fillId="0" borderId="62" xfId="180" applyNumberFormat="1" applyFont="1" applyFill="1" applyBorder="1" applyAlignment="1" applyProtection="1">
      <alignment horizontal="right" vertical="top"/>
      <protection hidden="1"/>
    </xf>
    <xf numFmtId="175" fontId="159" fillId="0" borderId="69" xfId="180" applyNumberFormat="1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vertical="top"/>
      <protection hidden="1"/>
    </xf>
    <xf numFmtId="0" fontId="158" fillId="0" borderId="69" xfId="0" applyFont="1" applyFill="1" applyBorder="1" applyAlignment="1" applyProtection="1">
      <alignment horizontal="center" vertical="top"/>
      <protection hidden="1"/>
    </xf>
    <xf numFmtId="222" fontId="158" fillId="0" borderId="69" xfId="180" applyNumberFormat="1" applyFont="1" applyFill="1" applyBorder="1" applyAlignment="1" applyProtection="1">
      <alignment horizontal="right" vertical="top"/>
      <protection hidden="1"/>
    </xf>
    <xf numFmtId="175" fontId="158" fillId="0" borderId="69" xfId="180" applyNumberFormat="1" applyFont="1" applyFill="1" applyBorder="1" applyAlignment="1" applyProtection="1">
      <alignment horizontal="right" vertical="top"/>
      <protection hidden="1"/>
    </xf>
    <xf numFmtId="43" fontId="158" fillId="0" borderId="62" xfId="115" applyFont="1" applyFill="1" applyBorder="1" applyAlignment="1" applyProtection="1">
      <alignment horizontal="right" vertical="top"/>
      <protection hidden="1"/>
    </xf>
    <xf numFmtId="0" fontId="164" fillId="0" borderId="66" xfId="0" applyFont="1" applyFill="1" applyBorder="1" applyAlignment="1" applyProtection="1">
      <alignment vertical="top"/>
      <protection hidden="1"/>
    </xf>
    <xf numFmtId="0" fontId="164" fillId="0" borderId="69" xfId="0" applyFont="1" applyFill="1" applyBorder="1" applyAlignment="1" applyProtection="1">
      <alignment horizontal="center" vertical="top"/>
      <protection hidden="1"/>
    </xf>
    <xf numFmtId="222" fontId="158" fillId="0" borderId="66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Alignment="1" applyProtection="1">
      <alignment horizontal="center" vertical="center"/>
      <protection hidden="1"/>
    </xf>
    <xf numFmtId="222" fontId="158" fillId="0" borderId="0" xfId="180" applyNumberFormat="1" applyFont="1" applyFill="1" applyAlignment="1" applyProtection="1">
      <alignment horizontal="right"/>
      <protection hidden="1"/>
    </xf>
    <xf numFmtId="175" fontId="158" fillId="0" borderId="0" xfId="180" applyNumberFormat="1" applyFont="1" applyFill="1" applyAlignment="1" applyProtection="1">
      <alignment horizontal="right"/>
      <protection hidden="1"/>
    </xf>
    <xf numFmtId="43" fontId="158" fillId="0" borderId="0" xfId="115" applyFont="1" applyFill="1" applyAlignment="1" applyProtection="1">
      <alignment horizontal="right"/>
      <protection hidden="1"/>
    </xf>
    <xf numFmtId="222" fontId="158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8" fillId="0" borderId="66" xfId="0" applyFont="1" applyFill="1" applyBorder="1" applyAlignment="1" applyProtection="1">
      <alignment horizontal="center" vertical="top"/>
      <protection hidden="1"/>
    </xf>
    <xf numFmtId="222" fontId="159" fillId="0" borderId="69" xfId="180" applyNumberFormat="1" applyFont="1" applyFill="1" applyBorder="1" applyAlignment="1" applyProtection="1">
      <alignment horizontal="right" vertical="top"/>
      <protection hidden="1"/>
    </xf>
    <xf numFmtId="175" fontId="159" fillId="0" borderId="70" xfId="180" applyNumberFormat="1" applyFont="1" applyFill="1" applyBorder="1" applyAlignment="1" applyProtection="1">
      <alignment horizontal="right" vertical="top"/>
      <protection hidden="1"/>
    </xf>
    <xf numFmtId="175" fontId="158" fillId="0" borderId="68" xfId="180" applyNumberFormat="1" applyFont="1" applyFill="1" applyBorder="1" applyAlignment="1" applyProtection="1">
      <alignment horizontal="right" vertical="top"/>
      <protection hidden="1"/>
    </xf>
    <xf numFmtId="43" fontId="158" fillId="0" borderId="83" xfId="115" applyFont="1" applyFill="1" applyBorder="1" applyAlignment="1" applyProtection="1">
      <alignment horizontal="right"/>
      <protection hidden="1"/>
    </xf>
    <xf numFmtId="43" fontId="158" fillId="0" borderId="73" xfId="115" applyFont="1" applyFill="1" applyBorder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222" fontId="159" fillId="0" borderId="62" xfId="180" applyNumberFormat="1" applyFont="1" applyFill="1" applyBorder="1" applyAlignment="1" applyProtection="1">
      <alignment horizontal="right" vertical="top"/>
      <protection hidden="1"/>
    </xf>
    <xf numFmtId="43" fontId="159" fillId="0" borderId="73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43" fontId="158" fillId="0" borderId="62" xfId="115" applyFont="1" applyFill="1" applyBorder="1" applyAlignment="1" applyProtection="1">
      <alignment horizontal="right"/>
      <protection hidden="1"/>
    </xf>
    <xf numFmtId="43" fontId="158" fillId="0" borderId="85" xfId="115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horizontal="left" vertical="top"/>
      <protection hidden="1"/>
    </xf>
    <xf numFmtId="0" fontId="159" fillId="0" borderId="66" xfId="0" applyFont="1" applyFill="1" applyBorder="1" applyAlignment="1" applyProtection="1">
      <alignment horizontal="left" vertical="top"/>
      <protection hidden="1"/>
    </xf>
    <xf numFmtId="0" fontId="159" fillId="0" borderId="80" xfId="0" applyFont="1" applyFill="1" applyBorder="1" applyAlignment="1" applyProtection="1">
      <alignment horizontal="left" vertical="top"/>
      <protection hidden="1"/>
    </xf>
    <xf numFmtId="0" fontId="159" fillId="0" borderId="65" xfId="0" applyFont="1" applyFill="1" applyBorder="1" applyAlignment="1" applyProtection="1">
      <alignment horizontal="center" vertical="top"/>
      <protection hidden="1"/>
    </xf>
    <xf numFmtId="0" fontId="158" fillId="0" borderId="62" xfId="0" applyFont="1" applyFill="1" applyBorder="1" applyAlignment="1" applyProtection="1">
      <alignment horizontal="center" vertical="center"/>
      <protection hidden="1"/>
    </xf>
    <xf numFmtId="222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9" fillId="0" borderId="65" xfId="0" applyFont="1" applyFill="1" applyBorder="1" applyAlignment="1" applyProtection="1">
      <alignment horizontal="left" vertical="top"/>
      <protection hidden="1"/>
    </xf>
    <xf numFmtId="43" fontId="158" fillId="0" borderId="0" xfId="0" applyNumberFormat="1" applyFont="1" applyFill="1" applyProtection="1">
      <protection hidden="1"/>
    </xf>
    <xf numFmtId="0" fontId="158" fillId="0" borderId="65" xfId="0" applyFont="1" applyFill="1" applyBorder="1" applyAlignment="1" applyProtection="1">
      <alignment horizontal="center" vertical="center" wrapText="1"/>
      <protection hidden="1"/>
    </xf>
    <xf numFmtId="177" fontId="159" fillId="0" borderId="62" xfId="198" applyNumberFormat="1" applyFont="1" applyFill="1" applyBorder="1" applyAlignment="1" applyProtection="1">
      <alignment wrapText="1"/>
      <protection hidden="1"/>
    </xf>
    <xf numFmtId="177" fontId="159" fillId="0" borderId="62" xfId="198" applyNumberFormat="1" applyFont="1" applyFill="1" applyBorder="1" applyAlignment="1" applyProtection="1">
      <alignment horizontal="center" wrapText="1"/>
      <protection hidden="1"/>
    </xf>
    <xf numFmtId="222" fontId="159" fillId="0" borderId="62" xfId="180" applyNumberFormat="1" applyFont="1" applyFill="1" applyBorder="1" applyAlignment="1" applyProtection="1">
      <alignment horizontal="right" wrapText="1"/>
      <protection hidden="1"/>
    </xf>
    <xf numFmtId="177" fontId="159" fillId="0" borderId="45" xfId="198" applyNumberFormat="1" applyFont="1" applyFill="1" applyBorder="1" applyAlignment="1" applyProtection="1">
      <alignment wrapText="1"/>
      <protection hidden="1"/>
    </xf>
    <xf numFmtId="177" fontId="159" fillId="0" borderId="45" xfId="198" applyNumberFormat="1" applyFont="1" applyFill="1" applyBorder="1" applyAlignment="1" applyProtection="1">
      <alignment horizontal="center" wrapText="1"/>
      <protection hidden="1"/>
    </xf>
    <xf numFmtId="222" fontId="159" fillId="0" borderId="45" xfId="180" applyNumberFormat="1" applyFont="1" applyFill="1" applyBorder="1" applyAlignment="1" applyProtection="1">
      <alignment horizontal="right" wrapText="1"/>
      <protection hidden="1"/>
    </xf>
    <xf numFmtId="43" fontId="159" fillId="0" borderId="64" xfId="115" applyFont="1" applyFill="1" applyBorder="1" applyAlignment="1" applyProtection="1">
      <alignment horizontal="right" vertical="top"/>
      <protection hidden="1"/>
    </xf>
    <xf numFmtId="177" fontId="159" fillId="0" borderId="16" xfId="198" applyNumberFormat="1" applyFont="1" applyFill="1" applyBorder="1" applyAlignment="1" applyProtection="1">
      <alignment wrapText="1"/>
      <protection hidden="1"/>
    </xf>
    <xf numFmtId="177" fontId="159" fillId="0" borderId="16" xfId="198" applyNumberFormat="1" applyFont="1" applyFill="1" applyBorder="1" applyAlignment="1" applyProtection="1">
      <alignment horizontal="center" wrapText="1"/>
      <protection hidden="1"/>
    </xf>
    <xf numFmtId="222" fontId="159" fillId="0" borderId="16" xfId="180" applyNumberFormat="1" applyFont="1" applyFill="1" applyBorder="1" applyAlignment="1" applyProtection="1">
      <alignment horizontal="right" wrapText="1"/>
      <protection hidden="1"/>
    </xf>
    <xf numFmtId="43" fontId="159" fillId="0" borderId="62" xfId="115" applyFont="1" applyFill="1" applyBorder="1" applyAlignment="1" applyProtection="1">
      <alignment horizontal="center" vertical="center"/>
      <protection hidden="1"/>
    </xf>
    <xf numFmtId="0" fontId="159" fillId="0" borderId="62" xfId="0" applyFont="1" applyFill="1" applyBorder="1" applyAlignment="1" applyProtection="1">
      <alignment horizontal="center" vertical="center"/>
      <protection hidden="1"/>
    </xf>
    <xf numFmtId="222" fontId="159" fillId="0" borderId="62" xfId="180" applyNumberFormat="1" applyFont="1" applyFill="1" applyBorder="1" applyProtection="1">
      <protection hidden="1"/>
    </xf>
    <xf numFmtId="0" fontId="159" fillId="0" borderId="0" xfId="0" applyFont="1" applyFill="1" applyBorder="1" applyProtection="1">
      <protection hidden="1"/>
    </xf>
    <xf numFmtId="173" fontId="159" fillId="0" borderId="0" xfId="0" applyNumberFormat="1" applyFont="1" applyFill="1" applyBorder="1" applyAlignment="1" applyProtection="1">
      <alignment horizontal="right" vertical="top"/>
      <protection hidden="1"/>
    </xf>
    <xf numFmtId="173" fontId="159" fillId="0" borderId="0" xfId="0" applyNumberFormat="1" applyFont="1" applyFill="1" applyBorder="1" applyProtection="1">
      <protection hidden="1"/>
    </xf>
    <xf numFmtId="0" fontId="159" fillId="0" borderId="66" xfId="0" applyFont="1" applyFill="1" applyBorder="1" applyAlignment="1" applyProtection="1">
      <alignment vertical="top" wrapText="1"/>
      <protection hidden="1"/>
    </xf>
    <xf numFmtId="0" fontId="159" fillId="0" borderId="66" xfId="0" applyFont="1" applyFill="1" applyBorder="1" applyAlignment="1" applyProtection="1">
      <alignment horizontal="center" vertical="top" wrapText="1"/>
      <protection hidden="1"/>
    </xf>
    <xf numFmtId="0" fontId="158" fillId="0" borderId="0" xfId="0" applyFont="1" applyFill="1" applyBorder="1" applyAlignment="1" applyProtection="1">
      <alignment horizontal="center" vertical="center"/>
      <protection hidden="1"/>
    </xf>
    <xf numFmtId="43" fontId="159" fillId="0" borderId="68" xfId="115" applyFont="1" applyFill="1" applyBorder="1" applyAlignment="1" applyProtection="1">
      <alignment horizontal="right" vertical="top"/>
      <protection hidden="1"/>
    </xf>
    <xf numFmtId="0" fontId="159" fillId="0" borderId="68" xfId="0" applyFont="1" applyFill="1" applyBorder="1" applyAlignment="1" applyProtection="1">
      <alignment horizontal="center" vertical="top"/>
      <protection hidden="1"/>
    </xf>
    <xf numFmtId="175" fontId="158" fillId="0" borderId="70" xfId="180" applyNumberFormat="1" applyFont="1" applyFill="1" applyBorder="1" applyAlignment="1" applyProtection="1">
      <alignment horizontal="right" vertical="top"/>
      <protection hidden="1"/>
    </xf>
    <xf numFmtId="43" fontId="158" fillId="0" borderId="68" xfId="115" applyFont="1" applyFill="1" applyBorder="1" applyAlignment="1" applyProtection="1">
      <alignment horizontal="right" vertical="top"/>
      <protection hidden="1"/>
    </xf>
    <xf numFmtId="175" fontId="158" fillId="0" borderId="81" xfId="180" applyNumberFormat="1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 wrapText="1"/>
      <protection hidden="1"/>
    </xf>
    <xf numFmtId="175" fontId="159" fillId="0" borderId="68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Border="1" applyProtection="1">
      <protection hidden="1"/>
    </xf>
    <xf numFmtId="0" fontId="159" fillId="0" borderId="0" xfId="0" applyFont="1" applyFill="1" applyBorder="1" applyAlignment="1" applyProtection="1">
      <alignment horizontal="center"/>
      <protection hidden="1"/>
    </xf>
    <xf numFmtId="222" fontId="159" fillId="0" borderId="0" xfId="180" applyNumberFormat="1" applyFont="1" applyFill="1" applyBorder="1" applyAlignment="1" applyProtection="1">
      <alignment horizontal="right"/>
      <protection hidden="1"/>
    </xf>
    <xf numFmtId="175" fontId="159" fillId="0" borderId="0" xfId="180" applyNumberFormat="1" applyFont="1" applyFill="1" applyBorder="1" applyAlignment="1" applyProtection="1">
      <alignment horizontal="right"/>
      <protection hidden="1"/>
    </xf>
    <xf numFmtId="43" fontId="159" fillId="0" borderId="0" xfId="115" applyFont="1" applyFill="1" applyBorder="1" applyAlignment="1" applyProtection="1">
      <alignment horizontal="right"/>
      <protection hidden="1"/>
    </xf>
    <xf numFmtId="0" fontId="144" fillId="0" borderId="138" xfId="841" applyFont="1" applyFill="1" applyBorder="1" applyAlignment="1" applyProtection="1">
      <alignment horizontal="center" vertical="center"/>
      <protection hidden="1"/>
    </xf>
    <xf numFmtId="0" fontId="144" fillId="0" borderId="140" xfId="841" quotePrefix="1" applyFont="1" applyFill="1" applyBorder="1" applyAlignment="1" applyProtection="1">
      <alignment horizontal="center" vertical="center"/>
      <protection hidden="1"/>
    </xf>
    <xf numFmtId="0" fontId="144" fillId="0" borderId="125" xfId="841" applyFont="1" applyFill="1" applyBorder="1" applyAlignment="1" applyProtection="1">
      <alignment horizontal="center" vertical="center"/>
      <protection hidden="1"/>
    </xf>
    <xf numFmtId="0" fontId="144" fillId="0" borderId="101" xfId="841" applyFont="1" applyFill="1" applyBorder="1" applyAlignment="1" applyProtection="1">
      <alignment horizontal="center" vertical="center"/>
      <protection hidden="1"/>
    </xf>
    <xf numFmtId="0" fontId="144" fillId="0" borderId="102" xfId="841" applyFont="1" applyFill="1" applyBorder="1" applyAlignment="1" applyProtection="1">
      <alignment horizontal="center" vertical="center"/>
      <protection hidden="1"/>
    </xf>
    <xf numFmtId="0" fontId="144" fillId="0" borderId="99" xfId="841" applyFont="1" applyFill="1" applyBorder="1" applyAlignment="1" applyProtection="1">
      <alignment horizontal="center" vertical="center"/>
      <protection hidden="1"/>
    </xf>
    <xf numFmtId="0" fontId="144" fillId="0" borderId="100" xfId="841" applyFont="1" applyFill="1" applyBorder="1" applyAlignment="1" applyProtection="1">
      <alignment horizontal="center" vertical="center"/>
      <protection hidden="1"/>
    </xf>
    <xf numFmtId="0" fontId="146" fillId="0" borderId="99" xfId="841" applyFont="1" applyFill="1" applyBorder="1" applyAlignment="1" applyProtection="1">
      <alignment horizontal="center" vertical="center"/>
      <protection hidden="1"/>
    </xf>
    <xf numFmtId="0" fontId="144" fillId="0" borderId="140" xfId="330" applyNumberFormat="1" applyFont="1" applyFill="1" applyBorder="1" applyAlignment="1" applyProtection="1">
      <alignment horizontal="center" vertical="center"/>
      <protection hidden="1"/>
    </xf>
    <xf numFmtId="0" fontId="144" fillId="0" borderId="117" xfId="841" applyFont="1" applyFill="1" applyBorder="1" applyAlignment="1" applyProtection="1">
      <alignment horizontal="center" vertical="center"/>
      <protection hidden="1"/>
    </xf>
    <xf numFmtId="0" fontId="144" fillId="0" borderId="118" xfId="841" applyFont="1" applyFill="1" applyBorder="1" applyAlignment="1" applyProtection="1">
      <alignment horizontal="center" vertical="center"/>
      <protection hidden="1"/>
    </xf>
    <xf numFmtId="172" fontId="144" fillId="0" borderId="100" xfId="841" applyNumberFormat="1" applyFont="1" applyFill="1" applyBorder="1" applyAlignment="1" applyProtection="1">
      <alignment horizontal="center" vertical="center"/>
      <protection hidden="1"/>
    </xf>
    <xf numFmtId="172" fontId="144" fillId="0" borderId="118" xfId="841" applyNumberFormat="1" applyFont="1" applyFill="1" applyBorder="1" applyAlignment="1" applyProtection="1">
      <alignment horizontal="center" vertical="center"/>
      <protection hidden="1"/>
    </xf>
    <xf numFmtId="0" fontId="144" fillId="0" borderId="148" xfId="841" applyFont="1" applyFill="1" applyBorder="1" applyAlignment="1" applyProtection="1">
      <alignment horizontal="center" vertical="center"/>
      <protection hidden="1"/>
    </xf>
    <xf numFmtId="175" fontId="144" fillId="0" borderId="149" xfId="198" applyNumberFormat="1" applyFont="1" applyFill="1" applyBorder="1" applyAlignment="1" applyProtection="1">
      <alignment horizontal="right" vertical="center"/>
      <protection hidden="1"/>
    </xf>
    <xf numFmtId="0" fontId="144" fillId="0" borderId="150" xfId="841" applyFont="1" applyFill="1" applyBorder="1" applyAlignment="1" applyProtection="1">
      <alignment horizontal="center" vertical="center"/>
      <protection hidden="1"/>
    </xf>
    <xf numFmtId="0" fontId="144" fillId="0" borderId="0" xfId="841" applyFont="1" applyFill="1" applyAlignment="1" applyProtection="1">
      <alignment vertical="center"/>
      <protection hidden="1"/>
    </xf>
    <xf numFmtId="0" fontId="144" fillId="0" borderId="0" xfId="841" applyFont="1" applyFill="1" applyAlignment="1" applyProtection="1">
      <alignment horizontal="left" vertical="center"/>
      <protection hidden="1"/>
    </xf>
    <xf numFmtId="0" fontId="144" fillId="0" borderId="140" xfId="841" applyFont="1" applyFill="1" applyBorder="1" applyAlignment="1" applyProtection="1">
      <alignment horizontal="center" vertical="center"/>
      <protection hidden="1"/>
    </xf>
    <xf numFmtId="0" fontId="144" fillId="0" borderId="121" xfId="84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vertical="center"/>
      <protection hidden="1"/>
    </xf>
    <xf numFmtId="0" fontId="144" fillId="0" borderId="7" xfId="841" applyFont="1" applyFill="1" applyBorder="1" applyAlignment="1" applyProtection="1">
      <alignment vertical="center"/>
      <protection hidden="1"/>
    </xf>
    <xf numFmtId="0" fontId="144" fillId="0" borderId="42" xfId="841" applyFont="1" applyFill="1" applyBorder="1" applyAlignment="1" applyProtection="1">
      <alignment vertical="center"/>
      <protection hidden="1"/>
    </xf>
    <xf numFmtId="0" fontId="144" fillId="0" borderId="46" xfId="841" applyFont="1" applyFill="1" applyBorder="1" applyAlignment="1" applyProtection="1">
      <alignment vertical="center"/>
      <protection hidden="1"/>
    </xf>
    <xf numFmtId="0" fontId="144" fillId="0" borderId="47" xfId="841" applyFont="1" applyFill="1" applyBorder="1" applyAlignment="1" applyProtection="1">
      <alignment vertical="center"/>
      <protection hidden="1"/>
    </xf>
    <xf numFmtId="0" fontId="166" fillId="0" borderId="47" xfId="841" applyFont="1" applyFill="1" applyBorder="1" applyAlignment="1" applyProtection="1">
      <alignment vertical="center"/>
      <protection hidden="1"/>
    </xf>
    <xf numFmtId="0" fontId="144" fillId="0" borderId="149" xfId="841" applyFont="1" applyFill="1" applyBorder="1" applyAlignment="1" applyProtection="1">
      <alignment horizontal="center" vertical="center"/>
      <protection hidden="1"/>
    </xf>
    <xf numFmtId="0" fontId="166" fillId="0" borderId="49" xfId="841" applyFont="1" applyFill="1" applyBorder="1" applyAlignment="1" applyProtection="1">
      <alignment vertical="center"/>
      <protection hidden="1"/>
    </xf>
    <xf numFmtId="0" fontId="166" fillId="0" borderId="50" xfId="841" applyFont="1" applyFill="1" applyBorder="1" applyAlignment="1" applyProtection="1">
      <alignment vertical="center"/>
      <protection hidden="1"/>
    </xf>
    <xf numFmtId="0" fontId="166" fillId="0" borderId="51" xfId="841" applyFont="1" applyFill="1" applyBorder="1" applyAlignment="1" applyProtection="1">
      <alignment vertical="center"/>
      <protection hidden="1"/>
    </xf>
    <xf numFmtId="0" fontId="166" fillId="0" borderId="41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alignment vertical="center"/>
      <protection hidden="1"/>
    </xf>
    <xf numFmtId="0" fontId="153" fillId="0" borderId="46" xfId="841" applyFont="1" applyFill="1" applyBorder="1" applyAlignment="1" applyProtection="1">
      <alignment vertical="center"/>
      <protection hidden="1"/>
    </xf>
    <xf numFmtId="0" fontId="166" fillId="0" borderId="46" xfId="841" applyFont="1" applyFill="1" applyBorder="1" applyAlignment="1" applyProtection="1">
      <alignment vertical="center"/>
      <protection hidden="1"/>
    </xf>
    <xf numFmtId="0" fontId="166" fillId="0" borderId="39" xfId="841" applyFont="1" applyFill="1" applyBorder="1" applyAlignment="1" applyProtection="1">
      <alignment vertical="center"/>
      <protection hidden="1"/>
    </xf>
    <xf numFmtId="0" fontId="166" fillId="0" borderId="42" xfId="841" applyFont="1" applyFill="1" applyBorder="1" applyAlignment="1" applyProtection="1">
      <alignment vertical="center"/>
      <protection hidden="1"/>
    </xf>
    <xf numFmtId="0" fontId="144" fillId="0" borderId="39" xfId="841" applyFont="1" applyFill="1" applyBorder="1" applyAlignment="1" applyProtection="1">
      <alignment vertical="center"/>
      <protection hidden="1"/>
    </xf>
    <xf numFmtId="0" fontId="160" fillId="0" borderId="115" xfId="0" applyFont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center" vertical="center"/>
    </xf>
    <xf numFmtId="0" fontId="156" fillId="0" borderId="132" xfId="0" applyNumberFormat="1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center" vertical="center"/>
    </xf>
    <xf numFmtId="0" fontId="156" fillId="0" borderId="99" xfId="0" applyNumberFormat="1" applyFont="1" applyBorder="1" applyAlignment="1">
      <alignment horizontal="center" vertical="center"/>
    </xf>
    <xf numFmtId="0" fontId="156" fillId="0" borderId="46" xfId="0" applyNumberFormat="1" applyFont="1" applyBorder="1" applyAlignment="1">
      <alignment horizontal="center" vertical="center"/>
    </xf>
    <xf numFmtId="0" fontId="156" fillId="0" borderId="47" xfId="0" applyNumberFormat="1" applyFont="1" applyBorder="1" applyAlignment="1">
      <alignment horizontal="center" vertical="center"/>
    </xf>
    <xf numFmtId="0" fontId="156" fillId="0" borderId="39" xfId="0" applyNumberFormat="1" applyFont="1" applyBorder="1" applyAlignment="1">
      <alignment horizontal="center" vertical="center"/>
    </xf>
    <xf numFmtId="0" fontId="156" fillId="0" borderId="42" xfId="0" applyNumberFormat="1" applyFont="1" applyBorder="1" applyAlignment="1">
      <alignment horizontal="left" vertical="center"/>
    </xf>
    <xf numFmtId="0" fontId="155" fillId="0" borderId="99" xfId="0" applyNumberFormat="1" applyFont="1" applyBorder="1" applyAlignment="1">
      <alignment horizontal="center" vertical="center"/>
    </xf>
    <xf numFmtId="0" fontId="155" fillId="0" borderId="42" xfId="0" applyNumberFormat="1" applyFont="1" applyBorder="1" applyAlignment="1">
      <alignment horizontal="left" vertical="center"/>
    </xf>
    <xf numFmtId="0" fontId="155" fillId="0" borderId="46" xfId="0" applyNumberFormat="1" applyFont="1" applyBorder="1" applyAlignment="1">
      <alignment horizontal="center" vertical="center"/>
    </xf>
    <xf numFmtId="0" fontId="155" fillId="0" borderId="47" xfId="0" applyNumberFormat="1" applyFont="1" applyBorder="1" applyAlignment="1">
      <alignment horizontal="center" vertical="center"/>
    </xf>
    <xf numFmtId="0" fontId="155" fillId="0" borderId="39" xfId="0" applyNumberFormat="1" applyFont="1" applyBorder="1" applyAlignment="1">
      <alignment horizontal="center" vertical="center"/>
    </xf>
    <xf numFmtId="0" fontId="155" fillId="0" borderId="0" xfId="0" applyFont="1" applyBorder="1" applyAlignment="1">
      <alignment horizontal="center" vertical="center"/>
    </xf>
    <xf numFmtId="43" fontId="156" fillId="0" borderId="136" xfId="115" applyFont="1" applyBorder="1" applyAlignment="1">
      <alignment horizontal="center" vertical="center"/>
    </xf>
    <xf numFmtId="43" fontId="155" fillId="0" borderId="39" xfId="115" applyFont="1" applyBorder="1" applyAlignment="1">
      <alignment horizontal="center" vertical="center"/>
    </xf>
    <xf numFmtId="43" fontId="156" fillId="0" borderId="105" xfId="115" applyFont="1" applyBorder="1" applyAlignment="1">
      <alignment horizontal="center" vertical="center"/>
    </xf>
    <xf numFmtId="43" fontId="156" fillId="0" borderId="137" xfId="115" applyFont="1" applyBorder="1" applyAlignment="1">
      <alignment horizontal="center" vertical="center"/>
    </xf>
    <xf numFmtId="43" fontId="155" fillId="0" borderId="100" xfId="115" applyFont="1" applyBorder="1" applyAlignment="1">
      <alignment horizontal="center" vertical="center"/>
    </xf>
    <xf numFmtId="0" fontId="156" fillId="0" borderId="111" xfId="115" applyNumberFormat="1" applyFont="1" applyBorder="1" applyAlignment="1">
      <alignment horizontal="center" vertical="center"/>
    </xf>
    <xf numFmtId="43" fontId="156" fillId="0" borderId="100" xfId="115" applyFont="1" applyBorder="1" applyAlignment="1">
      <alignment horizontal="center" vertical="center"/>
    </xf>
    <xf numFmtId="43" fontId="156" fillId="0" borderId="39" xfId="115" applyFont="1" applyBorder="1" applyAlignment="1">
      <alignment horizontal="center" vertical="center"/>
    </xf>
    <xf numFmtId="0" fontId="156" fillId="0" borderId="0" xfId="0" applyFont="1" applyBorder="1" applyAlignment="1">
      <alignment horizontal="center" vertical="center"/>
    </xf>
    <xf numFmtId="43" fontId="155" fillId="0" borderId="107" xfId="115" applyFont="1" applyBorder="1" applyAlignment="1">
      <alignment horizontal="center" vertical="center"/>
    </xf>
    <xf numFmtId="43" fontId="0" fillId="0" borderId="0" xfId="0" applyNumberFormat="1"/>
    <xf numFmtId="43" fontId="155" fillId="0" borderId="0" xfId="115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0" fillId="0" borderId="0" xfId="0" applyAlignment="1">
      <alignment horizontal="center"/>
    </xf>
    <xf numFmtId="43" fontId="156" fillId="0" borderId="0" xfId="115" applyFont="1" applyBorder="1" applyAlignment="1">
      <alignment horizontal="center" vertical="center"/>
    </xf>
    <xf numFmtId="43" fontId="156" fillId="0" borderId="0" xfId="0" applyNumberFormat="1" applyFont="1" applyBorder="1" applyAlignment="1">
      <alignment horizontal="center" vertical="center"/>
    </xf>
    <xf numFmtId="43" fontId="155" fillId="0" borderId="0" xfId="0" applyNumberFormat="1" applyFont="1" applyBorder="1" applyAlignment="1">
      <alignment horizontal="center" vertical="center"/>
    </xf>
    <xf numFmtId="0" fontId="155" fillId="0" borderId="46" xfId="0" applyFont="1" applyBorder="1" applyAlignment="1">
      <alignment horizontal="center" vertical="center"/>
    </xf>
    <xf numFmtId="43" fontId="155" fillId="0" borderId="46" xfId="0" applyNumberFormat="1" applyFont="1" applyBorder="1" applyAlignment="1">
      <alignment horizontal="center" vertical="center"/>
    </xf>
    <xf numFmtId="0" fontId="156" fillId="0" borderId="50" xfId="0" applyFont="1" applyBorder="1" applyAlignment="1">
      <alignment horizontal="center" vertical="center"/>
    </xf>
    <xf numFmtId="0" fontId="156" fillId="0" borderId="46" xfId="0" applyFont="1" applyBorder="1" applyAlignment="1">
      <alignment horizontal="center" vertical="center"/>
    </xf>
    <xf numFmtId="0" fontId="0" fillId="0" borderId="151" xfId="0" applyBorder="1"/>
    <xf numFmtId="0" fontId="0" fillId="0" borderId="129" xfId="0" applyBorder="1"/>
    <xf numFmtId="0" fontId="0" fillId="0" borderId="130" xfId="0" applyBorder="1"/>
    <xf numFmtId="0" fontId="0" fillId="0" borderId="131" xfId="0" applyBorder="1"/>
    <xf numFmtId="43" fontId="0" fillId="0" borderId="141" xfId="0" applyNumberFormat="1" applyBorder="1"/>
    <xf numFmtId="0" fontId="144" fillId="0" borderId="0" xfId="841" applyFont="1" applyFill="1" applyAlignment="1" applyProtection="1">
      <alignment horizontal="center" vertic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0" fillId="0" borderId="0" xfId="0"/>
    <xf numFmtId="43" fontId="0" fillId="0" borderId="0" xfId="115" applyFont="1"/>
    <xf numFmtId="0" fontId="0" fillId="0" borderId="0" xfId="0" applyFill="1"/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101" xfId="0" applyNumberFormat="1" applyFont="1" applyBorder="1" applyAlignment="1">
      <alignment horizontal="center" vertical="center"/>
    </xf>
    <xf numFmtId="0" fontId="156" fillId="0" borderId="41" xfId="0" applyNumberFormat="1" applyFont="1" applyBorder="1" applyAlignment="1">
      <alignment horizontal="center" vertical="center"/>
    </xf>
    <xf numFmtId="43" fontId="156" fillId="0" borderId="41" xfId="115" applyFont="1" applyBorder="1" applyAlignment="1">
      <alignment horizontal="center" vertical="center"/>
    </xf>
    <xf numFmtId="43" fontId="156" fillId="0" borderId="102" xfId="115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left" vertical="center"/>
    </xf>
    <xf numFmtId="0" fontId="156" fillId="0" borderId="41" xfId="0" applyNumberFormat="1" applyFont="1" applyBorder="1" applyAlignment="1">
      <alignment horizontal="left" vertical="center"/>
    </xf>
    <xf numFmtId="0" fontId="155" fillId="0" borderId="39" xfId="0" applyNumberFormat="1" applyFont="1" applyBorder="1" applyAlignment="1">
      <alignment horizontal="left" vertical="center"/>
    </xf>
    <xf numFmtId="43" fontId="155" fillId="0" borderId="137" xfId="115" applyFont="1" applyBorder="1" applyAlignment="1">
      <alignment horizontal="center" vertical="center"/>
    </xf>
    <xf numFmtId="0" fontId="144" fillId="0" borderId="152" xfId="841" applyFont="1" applyFill="1" applyBorder="1" applyAlignment="1" applyProtection="1">
      <alignment vertical="center"/>
      <protection hidden="1"/>
    </xf>
    <xf numFmtId="0" fontId="144" fillId="0" borderId="153" xfId="841" applyFont="1" applyFill="1" applyBorder="1" applyAlignment="1" applyProtection="1">
      <alignment vertical="center"/>
      <protection hidden="1"/>
    </xf>
    <xf numFmtId="0" fontId="144" fillId="0" borderId="155" xfId="841" applyFont="1" applyFill="1" applyBorder="1" applyAlignment="1" applyProtection="1">
      <alignment vertical="center"/>
      <protection hidden="1"/>
    </xf>
    <xf numFmtId="0" fontId="136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Border="1" applyAlignment="1" applyProtection="1">
      <protection hidden="1"/>
    </xf>
    <xf numFmtId="0" fontId="138" fillId="0" borderId="0" xfId="1016" applyFont="1" applyFill="1" applyBorder="1" applyProtection="1">
      <protection hidden="1"/>
    </xf>
    <xf numFmtId="0" fontId="137" fillId="0" borderId="0" xfId="1016" applyFont="1" applyFill="1" applyBorder="1" applyAlignment="1" applyProtection="1">
      <alignment horizontal="center"/>
      <protection hidden="1"/>
    </xf>
    <xf numFmtId="43" fontId="137" fillId="0" borderId="0" xfId="549" applyFont="1" applyFill="1" applyBorder="1" applyAlignment="1" applyProtection="1">
      <alignment horizontal="right"/>
      <protection hidden="1"/>
    </xf>
    <xf numFmtId="0" fontId="168" fillId="0" borderId="0" xfId="906" applyFont="1" applyFill="1" applyBorder="1" applyAlignment="1" applyProtection="1">
      <alignment horizontal="left" vertical="center"/>
      <protection hidden="1"/>
    </xf>
    <xf numFmtId="222" fontId="138" fillId="0" borderId="0" xfId="180" applyNumberFormat="1" applyFont="1" applyFill="1" applyBorder="1" applyAlignment="1" applyProtection="1">
      <alignment horizontal="right"/>
      <protection hidden="1"/>
    </xf>
    <xf numFmtId="175" fontId="138" fillId="0" borderId="0" xfId="180" applyNumberFormat="1" applyFont="1" applyFill="1" applyBorder="1" applyAlignment="1" applyProtection="1">
      <alignment horizontal="right"/>
      <protection hidden="1"/>
    </xf>
    <xf numFmtId="0" fontId="169" fillId="0" borderId="140" xfId="906" applyFont="1" applyFill="1" applyBorder="1" applyAlignment="1" applyProtection="1">
      <protection hidden="1"/>
    </xf>
    <xf numFmtId="222" fontId="169" fillId="0" borderId="140" xfId="180" applyNumberFormat="1" applyFont="1" applyFill="1" applyBorder="1" applyAlignment="1" applyProtection="1">
      <alignment horizontal="right" wrapText="1"/>
      <protection hidden="1"/>
    </xf>
    <xf numFmtId="0" fontId="0" fillId="0" borderId="0" xfId="0" applyAlignment="1">
      <alignment horizontal="center"/>
    </xf>
    <xf numFmtId="167" fontId="144" fillId="0" borderId="0" xfId="841" applyNumberFormat="1" applyFont="1" applyFill="1" applyAlignment="1" applyProtection="1">
      <alignment vertical="center"/>
      <protection hidden="1"/>
    </xf>
    <xf numFmtId="41" fontId="0" fillId="0" borderId="0" xfId="180" applyFont="1"/>
    <xf numFmtId="0" fontId="155" fillId="0" borderId="42" xfId="0" quotePrefix="1" applyNumberFormat="1" applyFont="1" applyBorder="1" applyAlignment="1">
      <alignment horizontal="left" vertical="center"/>
    </xf>
    <xf numFmtId="0" fontId="147" fillId="0" borderId="0" xfId="0" applyFont="1" applyFill="1" applyAlignment="1" applyProtection="1">
      <alignment horizontal="center" vertical="center"/>
      <protection hidden="1"/>
    </xf>
    <xf numFmtId="0" fontId="147" fillId="0" borderId="62" xfId="0" applyFont="1" applyFill="1" applyBorder="1" applyAlignment="1" applyProtection="1">
      <alignment horizontal="center" vertical="center" wrapText="1"/>
      <protection hidden="1"/>
    </xf>
    <xf numFmtId="0" fontId="147" fillId="0" borderId="62" xfId="0" applyFont="1" applyFill="1" applyBorder="1" applyAlignment="1" applyProtection="1">
      <alignment horizontal="center" vertical="top"/>
      <protection hidden="1"/>
    </xf>
    <xf numFmtId="0" fontId="142" fillId="0" borderId="62" xfId="0" applyFont="1" applyFill="1" applyBorder="1" applyAlignment="1" applyProtection="1">
      <alignment horizontal="center" vertical="top"/>
      <protection hidden="1"/>
    </xf>
    <xf numFmtId="0" fontId="142" fillId="0" borderId="0" xfId="0" applyFont="1" applyFill="1" applyAlignment="1" applyProtection="1">
      <alignment horizontal="center"/>
      <protection hidden="1"/>
    </xf>
    <xf numFmtId="0" fontId="170" fillId="0" borderId="0" xfId="0" applyFont="1" applyFill="1" applyAlignment="1">
      <alignment horizontal="center"/>
    </xf>
    <xf numFmtId="0" fontId="142" fillId="0" borderId="66" xfId="0" applyFont="1" applyFill="1" applyBorder="1" applyAlignment="1" applyProtection="1">
      <alignment horizontal="center" vertical="top"/>
      <protection hidden="1"/>
    </xf>
    <xf numFmtId="0" fontId="147" fillId="0" borderId="65" xfId="0" applyFont="1" applyFill="1" applyBorder="1" applyAlignment="1" applyProtection="1">
      <alignment horizontal="center" vertical="top"/>
      <protection hidden="1"/>
    </xf>
    <xf numFmtId="0" fontId="122" fillId="0" borderId="140" xfId="0" applyFont="1" applyFill="1" applyBorder="1" applyAlignment="1"/>
    <xf numFmtId="0" fontId="147" fillId="0" borderId="0" xfId="0" applyFont="1" applyFill="1" applyProtection="1"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2" fillId="0" borderId="0" xfId="0" applyFont="1" applyFill="1" applyProtection="1">
      <protection hidden="1"/>
    </xf>
    <xf numFmtId="0" fontId="170" fillId="0" borderId="0" xfId="0" applyFont="1" applyFill="1" applyAlignment="1"/>
    <xf numFmtId="0" fontId="147" fillId="0" borderId="65" xfId="0" applyFont="1" applyFill="1" applyBorder="1" applyAlignment="1" applyProtection="1">
      <alignment horizontal="left" vertical="top"/>
      <protection hidden="1"/>
    </xf>
    <xf numFmtId="0" fontId="142" fillId="0" borderId="64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center" vertical="top"/>
      <protection hidden="1"/>
    </xf>
    <xf numFmtId="0" fontId="122" fillId="0" borderId="39" xfId="0" applyFont="1" applyFill="1" applyBorder="1" applyAlignment="1">
      <alignment horizontal="center"/>
    </xf>
    <xf numFmtId="0" fontId="122" fillId="0" borderId="45" xfId="0" applyFont="1" applyFill="1" applyBorder="1" applyAlignment="1">
      <alignment horizontal="center"/>
    </xf>
    <xf numFmtId="0" fontId="147" fillId="0" borderId="66" xfId="0" applyFont="1" applyFill="1" applyBorder="1" applyAlignment="1" applyProtection="1">
      <alignment horizontal="center" vertical="center" wrapText="1"/>
      <protection hidden="1"/>
    </xf>
    <xf numFmtId="222" fontId="142" fillId="0" borderId="0" xfId="180" applyNumberFormat="1" applyFont="1" applyFill="1" applyAlignment="1" applyProtection="1">
      <alignment horizontal="right"/>
      <protection hidden="1"/>
    </xf>
    <xf numFmtId="222" fontId="147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42" fillId="0" borderId="62" xfId="180" applyNumberFormat="1" applyFont="1" applyFill="1" applyBorder="1" applyAlignment="1" applyProtection="1">
      <alignment horizontal="right" vertical="top"/>
      <protection hidden="1"/>
    </xf>
    <xf numFmtId="193" fontId="122" fillId="0" borderId="39" xfId="0" applyNumberFormat="1" applyFont="1" applyFill="1" applyBorder="1" applyAlignment="1"/>
    <xf numFmtId="193" fontId="122" fillId="0" borderId="45" xfId="0" applyNumberFormat="1" applyFont="1" applyFill="1" applyBorder="1" applyAlignment="1"/>
    <xf numFmtId="175" fontId="142" fillId="0" borderId="0" xfId="180" applyNumberFormat="1" applyFont="1" applyFill="1" applyAlignment="1" applyProtection="1">
      <alignment horizontal="right"/>
      <protection hidden="1"/>
    </xf>
    <xf numFmtId="175" fontId="147" fillId="0" borderId="66" xfId="180" applyNumberFormat="1" applyFont="1" applyFill="1" applyBorder="1" applyAlignment="1" applyProtection="1">
      <alignment horizontal="center" vertical="center"/>
      <protection hidden="1"/>
    </xf>
    <xf numFmtId="175" fontId="142" fillId="0" borderId="66" xfId="180" applyNumberFormat="1" applyFont="1" applyFill="1" applyBorder="1" applyAlignment="1" applyProtection="1">
      <alignment horizontal="right" vertical="top"/>
      <protection hidden="1"/>
    </xf>
    <xf numFmtId="175" fontId="142" fillId="0" borderId="62" xfId="180" applyNumberFormat="1" applyFont="1" applyFill="1" applyBorder="1" applyAlignment="1" applyProtection="1">
      <alignment horizontal="right" vertical="top"/>
      <protection hidden="1"/>
    </xf>
    <xf numFmtId="175" fontId="147" fillId="0" borderId="62" xfId="180" applyNumberFormat="1" applyFont="1" applyFill="1" applyBorder="1" applyAlignment="1" applyProtection="1">
      <alignment horizontal="center" vertical="center"/>
      <protection hidden="1"/>
    </xf>
    <xf numFmtId="43" fontId="142" fillId="0" borderId="0" xfId="115" applyFont="1" applyFill="1" applyAlignment="1" applyProtection="1">
      <alignment horizontal="right"/>
      <protection hidden="1"/>
    </xf>
    <xf numFmtId="43" fontId="147" fillId="0" borderId="73" xfId="115" applyFont="1" applyFill="1" applyBorder="1" applyAlignment="1" applyProtection="1">
      <alignment horizontal="center" vertical="center"/>
      <protection hidden="1"/>
    </xf>
    <xf numFmtId="43" fontId="142" fillId="0" borderId="73" xfId="115" applyFont="1" applyFill="1" applyBorder="1" applyAlignment="1" applyProtection="1">
      <alignment horizontal="right" vertical="top"/>
      <protection hidden="1"/>
    </xf>
    <xf numFmtId="43" fontId="142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/>
      <protection hidden="1"/>
    </xf>
    <xf numFmtId="43" fontId="147" fillId="0" borderId="62" xfId="115" applyFont="1" applyFill="1" applyBorder="1" applyAlignment="1" applyProtection="1">
      <alignment horizontal="center" vertical="center"/>
      <protection hidden="1"/>
    </xf>
    <xf numFmtId="43" fontId="170" fillId="0" borderId="140" xfId="180" applyNumberFormat="1" applyFont="1" applyFill="1" applyBorder="1" applyAlignment="1" applyProtection="1"/>
    <xf numFmtId="0" fontId="0" fillId="0" borderId="0" xfId="0" applyFont="1" applyBorder="1"/>
    <xf numFmtId="0" fontId="155" fillId="0" borderId="164" xfId="0" applyNumberFormat="1" applyFont="1" applyBorder="1" applyAlignment="1">
      <alignment horizontal="center" vertical="center"/>
    </xf>
    <xf numFmtId="0" fontId="155" fillId="0" borderId="52" xfId="0" applyNumberFormat="1" applyFont="1" applyBorder="1" applyAlignment="1">
      <alignment horizontal="left" vertical="center"/>
    </xf>
    <xf numFmtId="0" fontId="155" fillId="0" borderId="53" xfId="0" applyNumberFormat="1" applyFont="1" applyBorder="1" applyAlignment="1">
      <alignment horizontal="center" vertical="center"/>
    </xf>
    <xf numFmtId="0" fontId="155" fillId="0" borderId="54" xfId="0" applyNumberFormat="1" applyFont="1" applyBorder="1" applyAlignment="1">
      <alignment horizontal="center" vertical="center"/>
    </xf>
    <xf numFmtId="0" fontId="155" fillId="0" borderId="40" xfId="0" applyNumberFormat="1" applyFont="1" applyBorder="1" applyAlignment="1">
      <alignment horizontal="center" vertical="center"/>
    </xf>
    <xf numFmtId="43" fontId="155" fillId="0" borderId="40" xfId="115" applyFont="1" applyBorder="1" applyAlignment="1">
      <alignment horizontal="center" vertical="center"/>
    </xf>
    <xf numFmtId="43" fontId="156" fillId="0" borderId="165" xfId="115" applyFont="1" applyBorder="1" applyAlignment="1">
      <alignment horizontal="center" vertical="center"/>
    </xf>
    <xf numFmtId="0" fontId="0" fillId="0" borderId="0" xfId="0" applyFont="1"/>
    <xf numFmtId="0" fontId="172" fillId="0" borderId="0" xfId="0" applyFont="1"/>
    <xf numFmtId="0" fontId="0" fillId="0" borderId="0" xfId="0" applyFont="1" applyAlignment="1">
      <alignment horizontal="left"/>
    </xf>
    <xf numFmtId="0" fontId="174" fillId="0" borderId="0" xfId="841" applyFont="1" applyFill="1" applyAlignment="1" applyProtection="1">
      <alignment horizontal="center" vertical="center"/>
      <protection hidden="1"/>
    </xf>
    <xf numFmtId="0" fontId="174" fillId="0" borderId="0" xfId="841" applyFont="1" applyFill="1" applyAlignment="1" applyProtection="1">
      <alignment horizontal="left" vertical="top"/>
      <protection hidden="1"/>
    </xf>
    <xf numFmtId="0" fontId="174" fillId="0" borderId="0" xfId="841" applyFont="1" applyFill="1" applyAlignment="1" applyProtection="1">
      <alignment horizontal="left" vertical="center"/>
      <protection hidden="1"/>
    </xf>
    <xf numFmtId="175" fontId="174" fillId="0" borderId="0" xfId="198" applyNumberFormat="1" applyFont="1" applyFill="1" applyAlignment="1" applyProtection="1">
      <alignment horizontal="left" vertical="center"/>
      <protection hidden="1"/>
    </xf>
    <xf numFmtId="0" fontId="174" fillId="0" borderId="0" xfId="841" applyFont="1" applyFill="1" applyAlignment="1" applyProtection="1">
      <alignment vertical="center"/>
      <protection hidden="1"/>
    </xf>
    <xf numFmtId="0" fontId="144" fillId="0" borderId="164" xfId="841" applyFont="1" applyFill="1" applyBorder="1" applyAlignment="1" applyProtection="1">
      <alignment horizontal="center" vertical="center"/>
      <protection hidden="1"/>
    </xf>
    <xf numFmtId="0" fontId="144" fillId="0" borderId="52" xfId="841" applyFont="1" applyFill="1" applyBorder="1" applyAlignment="1" applyProtection="1">
      <alignment vertical="center"/>
      <protection hidden="1"/>
    </xf>
    <xf numFmtId="0" fontId="144" fillId="0" borderId="53" xfId="841" applyFont="1" applyFill="1" applyBorder="1" applyAlignment="1" applyProtection="1">
      <alignment vertical="center"/>
      <protection hidden="1"/>
    </xf>
    <xf numFmtId="0" fontId="144" fillId="0" borderId="54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vertical="center"/>
      <protection hidden="1"/>
    </xf>
    <xf numFmtId="0" fontId="144" fillId="0" borderId="165" xfId="841" applyFont="1" applyFill="1" applyBorder="1" applyAlignment="1" applyProtection="1">
      <alignment horizontal="center" vertical="center"/>
      <protection hidden="1"/>
    </xf>
    <xf numFmtId="175" fontId="0" fillId="0" borderId="0" xfId="180" applyNumberFormat="1" applyFont="1"/>
    <xf numFmtId="0" fontId="0" fillId="0" borderId="140" xfId="0" applyFill="1" applyBorder="1" applyAlignment="1">
      <alignment horizontal="center"/>
    </xf>
    <xf numFmtId="43" fontId="0" fillId="0" borderId="140" xfId="115" applyFont="1" applyFill="1" applyBorder="1" applyAlignment="1">
      <alignment horizontal="center"/>
    </xf>
    <xf numFmtId="0" fontId="156" fillId="0" borderId="140" xfId="0" applyFont="1" applyFill="1" applyBorder="1" applyAlignment="1">
      <alignment horizontal="center"/>
    </xf>
    <xf numFmtId="0" fontId="156" fillId="0" borderId="140" xfId="0" applyFont="1" applyFill="1" applyBorder="1" applyAlignment="1">
      <alignment horizontal="left"/>
    </xf>
    <xf numFmtId="0" fontId="156" fillId="0" borderId="140" xfId="0" applyFont="1" applyFill="1" applyBorder="1"/>
    <xf numFmtId="43" fontId="156" fillId="0" borderId="140" xfId="115" applyFont="1" applyFill="1" applyBorder="1"/>
    <xf numFmtId="0" fontId="0" fillId="0" borderId="140" xfId="0" applyFill="1" applyBorder="1"/>
    <xf numFmtId="43" fontId="0" fillId="0" borderId="140" xfId="115" applyFont="1" applyFill="1" applyBorder="1"/>
    <xf numFmtId="0" fontId="0" fillId="0" borderId="140" xfId="0" quotePrefix="1" applyFill="1" applyBorder="1"/>
    <xf numFmtId="2" fontId="0" fillId="0" borderId="140" xfId="0" applyNumberFormat="1" applyFill="1" applyBorder="1"/>
    <xf numFmtId="2" fontId="1" fillId="0" borderId="140" xfId="0" applyNumberFormat="1" applyFont="1" applyFill="1" applyBorder="1"/>
    <xf numFmtId="2" fontId="167" fillId="0" borderId="140" xfId="0" applyNumberFormat="1" applyFont="1" applyFill="1" applyBorder="1"/>
    <xf numFmtId="0" fontId="1" fillId="0" borderId="140" xfId="0" applyFont="1" applyFill="1" applyBorder="1"/>
    <xf numFmtId="0" fontId="167" fillId="0" borderId="140" xfId="0" applyFont="1" applyFill="1" applyBorder="1"/>
    <xf numFmtId="43" fontId="0" fillId="0" borderId="140" xfId="0" applyNumberFormat="1" applyFill="1" applyBorder="1"/>
    <xf numFmtId="0" fontId="115" fillId="0" borderId="31" xfId="0" applyFont="1" applyBorder="1" applyAlignment="1">
      <alignment horizontal="left" vertical="center" wrapText="1"/>
    </xf>
    <xf numFmtId="0" fontId="115" fillId="0" borderId="5" xfId="0" applyFont="1" applyBorder="1" applyAlignment="1">
      <alignment horizontal="left" vertical="center" wrapText="1"/>
    </xf>
    <xf numFmtId="0" fontId="115" fillId="0" borderId="45" xfId="0" applyFont="1" applyBorder="1" applyAlignment="1">
      <alignment horizontal="left" vertical="center" wrapText="1"/>
    </xf>
    <xf numFmtId="0" fontId="115" fillId="0" borderId="86" xfId="0" applyFont="1" applyBorder="1" applyAlignment="1">
      <alignment horizontal="left" vertical="center" wrapText="1"/>
    </xf>
    <xf numFmtId="0" fontId="115" fillId="0" borderId="87" xfId="0" applyFont="1" applyBorder="1" applyAlignment="1">
      <alignment horizontal="left" vertical="center" wrapText="1"/>
    </xf>
    <xf numFmtId="0" fontId="115" fillId="0" borderId="88" xfId="0" applyFont="1" applyBorder="1" applyAlignment="1">
      <alignment horizontal="left" vertical="center" wrapText="1"/>
    </xf>
    <xf numFmtId="0" fontId="115" fillId="0" borderId="62" xfId="0" applyFont="1" applyBorder="1" applyAlignment="1">
      <alignment horizontal="left" vertical="center" wrapText="1"/>
    </xf>
    <xf numFmtId="0" fontId="115" fillId="0" borderId="65" xfId="0" applyFont="1" applyBorder="1" applyAlignment="1">
      <alignment horizontal="left" vertical="center" wrapText="1"/>
    </xf>
    <xf numFmtId="0" fontId="114" fillId="0" borderId="65" xfId="0" applyFont="1" applyBorder="1" applyAlignment="1">
      <alignment horizontal="center" vertical="center"/>
    </xf>
    <xf numFmtId="0" fontId="114" fillId="0" borderId="62" xfId="0" applyFont="1" applyBorder="1" applyAlignment="1">
      <alignment horizontal="center" vertical="center"/>
    </xf>
    <xf numFmtId="0" fontId="116" fillId="0" borderId="62" xfId="0" applyFont="1" applyBorder="1" applyAlignment="1">
      <alignment horizontal="left" vertical="center" wrapText="1"/>
    </xf>
    <xf numFmtId="0" fontId="138" fillId="0" borderId="0" xfId="0" applyFont="1" applyFill="1" applyBorder="1" applyAlignment="1" applyProtection="1">
      <alignment horizontal="center" vertical="top" wrapText="1"/>
      <protection hidden="1"/>
    </xf>
    <xf numFmtId="0" fontId="138" fillId="0" borderId="66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8" fillId="0" borderId="68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77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43" fillId="0" borderId="62" xfId="0" applyFont="1" applyFill="1" applyBorder="1" applyAlignment="1" applyProtection="1">
      <alignment horizontal="left" vertical="top"/>
      <protection hidden="1"/>
    </xf>
    <xf numFmtId="0" fontId="138" fillId="0" borderId="64" xfId="0" applyFont="1" applyFill="1" applyBorder="1" applyAlignment="1" applyProtection="1">
      <alignment horizontal="left" vertical="top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0" fontId="138" fillId="0" borderId="77" xfId="0" applyFont="1" applyFill="1" applyBorder="1" applyAlignment="1" applyProtection="1">
      <alignment horizontal="left" vertical="top"/>
      <protection hidden="1"/>
    </xf>
    <xf numFmtId="0" fontId="164" fillId="0" borderId="62" xfId="0" applyFont="1" applyFill="1" applyBorder="1" applyAlignment="1" applyProtection="1">
      <alignment horizontal="left" vertical="top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0" fontId="158" fillId="0" borderId="64" xfId="0" applyFont="1" applyFill="1" applyBorder="1" applyAlignment="1" applyProtection="1">
      <alignment horizontal="left" vertical="top"/>
      <protection hidden="1"/>
    </xf>
    <xf numFmtId="0" fontId="137" fillId="0" borderId="83" xfId="0" applyFont="1" applyFill="1" applyBorder="1" applyAlignment="1" applyProtection="1">
      <alignment horizontal="left" vertical="top"/>
      <protection hidden="1"/>
    </xf>
    <xf numFmtId="0" fontId="159" fillId="0" borderId="77" xfId="0" applyFont="1" applyFill="1" applyBorder="1" applyAlignment="1" applyProtection="1">
      <alignment horizontal="lef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0" fontId="158" fillId="0" borderId="77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7" fillId="0" borderId="68" xfId="0" applyFont="1" applyFill="1" applyBorder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 vertical="center" wrapText="1"/>
      <protection hidden="1"/>
    </xf>
    <xf numFmtId="0" fontId="138" fillId="0" borderId="0" xfId="0" applyFont="1" applyFill="1" applyAlignment="1" applyProtection="1">
      <alignment horizontal="center" vertical="top" wrapText="1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38" fillId="0" borderId="75" xfId="0" applyFont="1" applyFill="1" applyBorder="1" applyAlignment="1" applyProtection="1">
      <alignment horizontal="left" vertical="top"/>
      <protection hidden="1"/>
    </xf>
    <xf numFmtId="0" fontId="138" fillId="0" borderId="84" xfId="0" applyFont="1" applyFill="1" applyBorder="1" applyAlignment="1" applyProtection="1">
      <alignment horizontal="left" vertical="top"/>
      <protection hidden="1"/>
    </xf>
    <xf numFmtId="0" fontId="138" fillId="0" borderId="89" xfId="0" applyFont="1" applyFill="1" applyBorder="1" applyAlignment="1" applyProtection="1">
      <alignment horizontal="left" vertical="top"/>
      <protection hidden="1"/>
    </xf>
    <xf numFmtId="0" fontId="143" fillId="0" borderId="64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8" fillId="0" borderId="62" xfId="1016" applyFont="1" applyFill="1" applyBorder="1" applyAlignment="1" applyProtection="1">
      <alignment horizontal="left" vertical="top"/>
      <protection hidden="1"/>
    </xf>
    <xf numFmtId="0" fontId="143" fillId="0" borderId="62" xfId="1016" applyFont="1" applyFill="1" applyBorder="1" applyAlignment="1" applyProtection="1">
      <alignment horizontal="left" vertical="top"/>
      <protection hidden="1"/>
    </xf>
    <xf numFmtId="0" fontId="137" fillId="0" borderId="80" xfId="0" applyFont="1" applyFill="1" applyBorder="1" applyAlignment="1" applyProtection="1">
      <alignment horizontal="left" vertical="top"/>
      <protection hidden="1"/>
    </xf>
    <xf numFmtId="0" fontId="137" fillId="0" borderId="82" xfId="0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8" fillId="0" borderId="16" xfId="0" applyFont="1" applyFill="1" applyBorder="1" applyAlignment="1" applyProtection="1">
      <alignment horizontal="left" vertical="top"/>
      <protection hidden="1"/>
    </xf>
    <xf numFmtId="0" fontId="137" fillId="0" borderId="77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8" fillId="0" borderId="64" xfId="0" applyFont="1" applyFill="1" applyBorder="1" applyAlignment="1" applyProtection="1">
      <alignment horizontal="left"/>
      <protection hidden="1"/>
    </xf>
    <xf numFmtId="0" fontId="143" fillId="0" borderId="62" xfId="0" applyFont="1" applyFill="1" applyBorder="1" applyAlignment="1" applyProtection="1">
      <alignment horizontal="left"/>
      <protection hidden="1"/>
    </xf>
    <xf numFmtId="0" fontId="137" fillId="0" borderId="83" xfId="0" applyFont="1" applyFill="1" applyBorder="1" applyAlignment="1" applyProtection="1">
      <alignment horizontal="left"/>
      <protection hidden="1"/>
    </xf>
    <xf numFmtId="0" fontId="138" fillId="0" borderId="77" xfId="0" applyFont="1" applyFill="1" applyBorder="1" applyAlignment="1" applyProtection="1">
      <alignment horizontal="left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0" applyNumberFormat="1" applyFont="1" applyFill="1" applyBorder="1" applyAlignment="1" applyProtection="1">
      <alignment horizontal="center"/>
      <protection hidden="1"/>
    </xf>
    <xf numFmtId="0" fontId="159" fillId="0" borderId="83" xfId="0" applyFont="1" applyFill="1" applyBorder="1" applyAlignment="1" applyProtection="1">
      <alignment horizontal="left" vertical="top"/>
      <protection hidden="1"/>
    </xf>
    <xf numFmtId="0" fontId="138" fillId="0" borderId="64" xfId="1016" applyFont="1" applyFill="1" applyBorder="1" applyAlignment="1" applyProtection="1">
      <alignment horizontal="left" vertical="top"/>
      <protection hidden="1"/>
    </xf>
    <xf numFmtId="0" fontId="137" fillId="0" borderId="77" xfId="1016" applyFont="1" applyFill="1" applyBorder="1" applyAlignment="1" applyProtection="1">
      <alignment horizontal="left" vertical="top"/>
      <protection hidden="1"/>
    </xf>
    <xf numFmtId="222" fontId="137" fillId="0" borderId="77" xfId="180" applyNumberFormat="1" applyFont="1" applyFill="1" applyBorder="1" applyAlignment="1" applyProtection="1">
      <alignment horizontal="left" vertical="top"/>
      <protection hidden="1"/>
    </xf>
    <xf numFmtId="0" fontId="136" fillId="0" borderId="0" xfId="0" applyFont="1" applyFill="1" applyAlignment="1" applyProtection="1">
      <alignment horizontal="center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54" fillId="0" borderId="0" xfId="841" applyFont="1" applyFill="1" applyAlignment="1" applyProtection="1">
      <alignment horizontal="center" vertical="center"/>
      <protection hidden="1"/>
    </xf>
    <xf numFmtId="0" fontId="146" fillId="0" borderId="31" xfId="841" applyFont="1" applyFill="1" applyBorder="1" applyAlignment="1" applyProtection="1">
      <alignment horizontal="center" vertical="center" wrapText="1"/>
      <protection hidden="1"/>
    </xf>
    <xf numFmtId="0" fontId="146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33" xfId="841" applyFont="1" applyFill="1" applyBorder="1" applyAlignment="1" applyProtection="1">
      <alignment horizontal="center" vertical="center" wrapText="1"/>
      <protection hidden="1"/>
    </xf>
    <xf numFmtId="0" fontId="149" fillId="0" borderId="61" xfId="841" applyFont="1" applyFill="1" applyBorder="1" applyAlignment="1" applyProtection="1">
      <alignment horizontal="center" vertical="center" wrapText="1"/>
      <protection hidden="1"/>
    </xf>
    <xf numFmtId="0" fontId="149" fillId="0" borderId="34" xfId="841" applyFont="1" applyFill="1" applyBorder="1" applyAlignment="1" applyProtection="1">
      <alignment horizontal="center" vertical="center" wrapText="1"/>
      <protection hidden="1"/>
    </xf>
    <xf numFmtId="0" fontId="149" fillId="0" borderId="32" xfId="841" applyFont="1" applyFill="1" applyBorder="1" applyAlignment="1" applyProtection="1">
      <alignment horizontal="center" vertical="center" wrapText="1"/>
      <protection hidden="1"/>
    </xf>
    <xf numFmtId="0" fontId="149" fillId="0" borderId="0" xfId="841" applyFont="1" applyFill="1" applyBorder="1" applyAlignment="1" applyProtection="1">
      <alignment horizontal="center" vertical="center" wrapText="1"/>
      <protection hidden="1"/>
    </xf>
    <xf numFmtId="0" fontId="149" fillId="0" borderId="7" xfId="841" applyFont="1" applyFill="1" applyBorder="1" applyAlignment="1" applyProtection="1">
      <alignment horizontal="center" vertical="center" wrapText="1"/>
      <protection hidden="1"/>
    </xf>
    <xf numFmtId="0" fontId="149" fillId="0" borderId="35" xfId="841" applyFont="1" applyFill="1" applyBorder="1" applyAlignment="1" applyProtection="1">
      <alignment horizontal="center" vertical="center" wrapText="1"/>
      <protection hidden="1"/>
    </xf>
    <xf numFmtId="0" fontId="149" fillId="0" borderId="44" xfId="841" applyFont="1" applyFill="1" applyBorder="1" applyAlignment="1" applyProtection="1">
      <alignment horizontal="center" vertical="center" wrapText="1"/>
      <protection hidden="1"/>
    </xf>
    <xf numFmtId="0" fontId="149" fillId="0" borderId="48" xfId="841" applyFont="1" applyFill="1" applyBorder="1" applyAlignment="1" applyProtection="1">
      <alignment horizontal="center" vertical="center" wrapText="1"/>
      <protection hidden="1"/>
    </xf>
    <xf numFmtId="0" fontId="149" fillId="0" borderId="31" xfId="841" applyFont="1" applyFill="1" applyBorder="1" applyAlignment="1" applyProtection="1">
      <alignment horizontal="center" vertical="center" wrapText="1"/>
      <protection hidden="1"/>
    </xf>
    <xf numFmtId="0" fontId="149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45" xfId="841" applyFont="1" applyFill="1" applyBorder="1" applyAlignment="1" applyProtection="1">
      <alignment horizontal="center" vertical="center" wrapText="1"/>
      <protection hidden="1"/>
    </xf>
    <xf numFmtId="0" fontId="148" fillId="0" borderId="36" xfId="841" applyFont="1" applyFill="1" applyBorder="1" applyAlignment="1" applyProtection="1">
      <alignment horizontal="center" vertical="center"/>
      <protection hidden="1"/>
    </xf>
    <xf numFmtId="0" fontId="148" fillId="0" borderId="10" xfId="841" applyFont="1" applyFill="1" applyBorder="1" applyAlignment="1" applyProtection="1">
      <alignment horizontal="center" vertical="center"/>
      <protection hidden="1"/>
    </xf>
    <xf numFmtId="0" fontId="148" fillId="0" borderId="37" xfId="841" applyFont="1" applyFill="1" applyBorder="1" applyAlignment="1" applyProtection="1">
      <alignment horizontal="center" vertical="center"/>
      <protection hidden="1"/>
    </xf>
    <xf numFmtId="0" fontId="146" fillId="0" borderId="38" xfId="841" applyFont="1" applyFill="1" applyBorder="1" applyAlignment="1" applyProtection="1">
      <alignment horizontal="center" vertical="center" wrapText="1"/>
      <protection hidden="1"/>
    </xf>
    <xf numFmtId="0" fontId="146" fillId="0" borderId="39" xfId="841" applyFont="1" applyFill="1" applyBorder="1" applyAlignment="1" applyProtection="1">
      <alignment horizontal="center" vertical="center" wrapText="1"/>
      <protection hidden="1"/>
    </xf>
    <xf numFmtId="0" fontId="146" fillId="0" borderId="55" xfId="841" applyFont="1" applyFill="1" applyBorder="1" applyAlignment="1" applyProtection="1">
      <alignment horizontal="center" vertical="center" wrapText="1"/>
      <protection hidden="1"/>
    </xf>
    <xf numFmtId="0" fontId="149" fillId="0" borderId="58" xfId="841" applyFont="1" applyFill="1" applyBorder="1" applyAlignment="1" applyProtection="1">
      <alignment horizontal="center" vertical="center" wrapText="1"/>
      <protection hidden="1"/>
    </xf>
    <xf numFmtId="0" fontId="149" fillId="0" borderId="59" xfId="841" applyFont="1" applyFill="1" applyBorder="1" applyAlignment="1" applyProtection="1">
      <alignment horizontal="center" vertical="center" wrapText="1"/>
      <protection hidden="1"/>
    </xf>
    <xf numFmtId="0" fontId="149" fillId="0" borderId="60" xfId="841" applyFont="1" applyFill="1" applyBorder="1" applyAlignment="1" applyProtection="1">
      <alignment horizontal="center" vertical="center" wrapText="1"/>
      <protection hidden="1"/>
    </xf>
    <xf numFmtId="0" fontId="149" fillId="0" borderId="42" xfId="841" applyFont="1" applyFill="1" applyBorder="1" applyAlignment="1" applyProtection="1">
      <alignment horizontal="center" vertical="center" wrapText="1"/>
      <protection hidden="1"/>
    </xf>
    <xf numFmtId="0" fontId="149" fillId="0" borderId="46" xfId="841" applyFont="1" applyFill="1" applyBorder="1" applyAlignment="1" applyProtection="1">
      <alignment horizontal="center" vertical="center" wrapText="1"/>
      <protection hidden="1"/>
    </xf>
    <xf numFmtId="0" fontId="149" fillId="0" borderId="47" xfId="841" applyFont="1" applyFill="1" applyBorder="1" applyAlignment="1" applyProtection="1">
      <alignment horizontal="center" vertical="center" wrapText="1"/>
      <protection hidden="1"/>
    </xf>
    <xf numFmtId="0" fontId="149" fillId="0" borderId="56" xfId="841" applyFont="1" applyFill="1" applyBorder="1" applyAlignment="1" applyProtection="1">
      <alignment horizontal="center" vertical="center" wrapText="1"/>
      <protection hidden="1"/>
    </xf>
    <xf numFmtId="0" fontId="149" fillId="0" borderId="43" xfId="841" applyFont="1" applyFill="1" applyBorder="1" applyAlignment="1" applyProtection="1">
      <alignment horizontal="center" vertical="center" wrapText="1"/>
      <protection hidden="1"/>
    </xf>
    <xf numFmtId="0" fontId="149" fillId="0" borderId="57" xfId="841" applyFont="1" applyFill="1" applyBorder="1" applyAlignment="1" applyProtection="1">
      <alignment horizontal="center" vertical="center" wrapText="1"/>
      <protection hidden="1"/>
    </xf>
    <xf numFmtId="176" fontId="146" fillId="0" borderId="31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5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45" xfId="576" applyNumberFormat="1" applyFont="1" applyFill="1" applyBorder="1" applyAlignment="1" applyProtection="1">
      <alignment horizontal="center" vertical="center" wrapText="1"/>
      <protection hidden="1"/>
    </xf>
    <xf numFmtId="0" fontId="149" fillId="0" borderId="38" xfId="841" applyFont="1" applyFill="1" applyBorder="1" applyAlignment="1" applyProtection="1">
      <alignment horizontal="center" vertical="center" wrapText="1"/>
      <protection hidden="1"/>
    </xf>
    <xf numFmtId="0" fontId="149" fillId="0" borderId="39" xfId="841" applyFont="1" applyFill="1" applyBorder="1" applyAlignment="1" applyProtection="1">
      <alignment horizontal="center" vertical="center" wrapText="1"/>
      <protection hidden="1"/>
    </xf>
    <xf numFmtId="0" fontId="149" fillId="0" borderId="55" xfId="841" applyFont="1" applyFill="1" applyBorder="1" applyAlignment="1" applyProtection="1">
      <alignment horizontal="center" vertical="center" wrapText="1"/>
      <protection hidden="1"/>
    </xf>
    <xf numFmtId="175" fontId="146" fillId="0" borderId="38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9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1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45" xfId="198" applyNumberFormat="1" applyFont="1" applyFill="1" applyBorder="1" applyAlignment="1" applyProtection="1">
      <alignment horizontal="center" vertical="center" wrapText="1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 wrapText="1"/>
      <protection hidden="1"/>
    </xf>
    <xf numFmtId="0" fontId="148" fillId="0" borderId="42" xfId="850" applyFont="1" applyFill="1" applyBorder="1" applyAlignment="1" applyProtection="1">
      <alignment horizontal="left" vertical="top" wrapText="1"/>
      <protection hidden="1"/>
    </xf>
    <xf numFmtId="0" fontId="148" fillId="0" borderId="46" xfId="850" applyFont="1" applyFill="1" applyBorder="1" applyAlignment="1" applyProtection="1">
      <alignment horizontal="left" vertical="top" wrapText="1"/>
      <protection hidden="1"/>
    </xf>
    <xf numFmtId="0" fontId="148" fillId="0" borderId="47" xfId="850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top" wrapText="1"/>
      <protection hidden="1"/>
    </xf>
    <xf numFmtId="0" fontId="148" fillId="0" borderId="46" xfId="841" applyFont="1" applyFill="1" applyBorder="1" applyAlignment="1" applyProtection="1">
      <alignment horizontal="left" vertical="top" wrapText="1"/>
      <protection hidden="1"/>
    </xf>
    <xf numFmtId="0" fontId="148" fillId="0" borderId="47" xfId="841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0" fontId="148" fillId="0" borderId="47" xfId="841" applyFont="1" applyFill="1" applyBorder="1" applyAlignment="1" applyProtection="1">
      <alignment horizontal="left" vertical="center"/>
      <protection hidden="1"/>
    </xf>
    <xf numFmtId="0" fontId="148" fillId="0" borderId="42" xfId="841" applyFont="1" applyFill="1" applyBorder="1" applyAlignment="1" applyProtection="1">
      <alignment horizontal="left" vertical="center" wrapText="1"/>
      <protection hidden="1"/>
    </xf>
    <xf numFmtId="0" fontId="148" fillId="0" borderId="46" xfId="841" applyFont="1" applyFill="1" applyBorder="1" applyAlignment="1" applyProtection="1">
      <alignment horizontal="left" vertical="center" wrapText="1"/>
      <protection hidden="1"/>
    </xf>
    <xf numFmtId="175" fontId="144" fillId="0" borderId="0" xfId="198" applyNumberFormat="1" applyFont="1" applyFill="1" applyBorder="1" applyAlignment="1" applyProtection="1">
      <alignment horizontal="center" vertical="center"/>
      <protection hidden="1"/>
    </xf>
    <xf numFmtId="0" fontId="144" fillId="0" borderId="0" xfId="841" applyFont="1" applyFill="1" applyAlignment="1" applyProtection="1">
      <alignment horizontal="center"/>
      <protection hidden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56" fillId="0" borderId="120" xfId="0" applyFont="1" applyBorder="1" applyAlignment="1">
      <alignment horizontal="center"/>
    </xf>
    <xf numFmtId="0" fontId="0" fillId="0" borderId="0" xfId="0" applyAlignment="1">
      <alignment horizontal="center"/>
    </xf>
    <xf numFmtId="0" fontId="175" fillId="0" borderId="0" xfId="0" applyFont="1" applyAlignment="1">
      <alignment horizontal="center"/>
    </xf>
    <xf numFmtId="0" fontId="156" fillId="0" borderId="128" xfId="0" applyFont="1" applyBorder="1" applyAlignment="1">
      <alignment horizontal="center" vertical="center"/>
    </xf>
    <xf numFmtId="0" fontId="156" fillId="0" borderId="127" xfId="0" applyFont="1" applyBorder="1" applyAlignment="1">
      <alignment horizontal="center" vertical="center"/>
    </xf>
    <xf numFmtId="0" fontId="156" fillId="0" borderId="126" xfId="0" applyFont="1" applyBorder="1" applyAlignment="1">
      <alignment horizontal="center" vertical="center"/>
    </xf>
    <xf numFmtId="0" fontId="156" fillId="0" borderId="128" xfId="0" applyNumberFormat="1" applyFont="1" applyBorder="1" applyAlignment="1">
      <alignment horizontal="center" vertical="center"/>
    </xf>
    <xf numFmtId="0" fontId="156" fillId="0" borderId="127" xfId="0" applyNumberFormat="1" applyFont="1" applyBorder="1" applyAlignment="1">
      <alignment horizontal="center" vertical="center"/>
    </xf>
    <xf numFmtId="0" fontId="156" fillId="0" borderId="126" xfId="0" applyNumberFormat="1" applyFont="1" applyBorder="1" applyAlignment="1">
      <alignment horizontal="center" vertical="center"/>
    </xf>
    <xf numFmtId="0" fontId="163" fillId="0" borderId="0" xfId="0" applyFont="1" applyAlignment="1">
      <alignment horizontal="center"/>
    </xf>
    <xf numFmtId="0" fontId="144" fillId="0" borderId="139" xfId="841" applyFont="1" applyFill="1" applyBorder="1" applyAlignment="1" applyProtection="1">
      <alignment horizontal="center" vertical="center"/>
      <protection hidden="1"/>
    </xf>
    <xf numFmtId="0" fontId="144" fillId="0" borderId="108" xfId="841" applyFont="1" applyFill="1" applyBorder="1" applyAlignment="1" applyProtection="1">
      <alignment horizontal="center" vertical="center"/>
      <protection hidden="1"/>
    </xf>
    <xf numFmtId="0" fontId="144" fillId="0" borderId="109" xfId="841" applyFont="1" applyFill="1" applyBorder="1" applyAlignment="1" applyProtection="1">
      <alignment horizontal="center" vertical="center"/>
      <protection hidden="1"/>
    </xf>
    <xf numFmtId="0" fontId="165" fillId="0" borderId="0" xfId="841" applyFont="1" applyFill="1" applyAlignment="1" applyProtection="1">
      <alignment horizontal="center" vertical="center"/>
      <protection hidden="1"/>
    </xf>
    <xf numFmtId="0" fontId="146" fillId="0" borderId="132" xfId="841" applyFont="1" applyFill="1" applyBorder="1" applyAlignment="1" applyProtection="1">
      <alignment horizontal="center" vertical="center" wrapText="1"/>
      <protection hidden="1"/>
    </xf>
    <xf numFmtId="0" fontId="146" fillId="0" borderId="99" xfId="841" applyFont="1" applyFill="1" applyBorder="1" applyAlignment="1" applyProtection="1">
      <alignment horizontal="center" vertical="center" wrapText="1"/>
      <protection hidden="1"/>
    </xf>
    <xf numFmtId="0" fontId="146" fillId="0" borderId="106" xfId="841" applyFont="1" applyFill="1" applyBorder="1" applyAlignment="1" applyProtection="1">
      <alignment horizontal="center" vertical="center" wrapText="1"/>
      <protection hidden="1"/>
    </xf>
    <xf numFmtId="0" fontId="146" fillId="0" borderId="133" xfId="841" applyFont="1" applyFill="1" applyBorder="1" applyAlignment="1" applyProtection="1">
      <alignment horizontal="center" vertical="center" wrapText="1"/>
      <protection hidden="1"/>
    </xf>
    <xf numFmtId="0" fontId="146" fillId="0" borderId="134" xfId="841" applyFont="1" applyFill="1" applyBorder="1" applyAlignment="1" applyProtection="1">
      <alignment horizontal="center" vertical="center" wrapText="1"/>
      <protection hidden="1"/>
    </xf>
    <xf numFmtId="0" fontId="146" fillId="0" borderId="135" xfId="841" applyFont="1" applyFill="1" applyBorder="1" applyAlignment="1" applyProtection="1">
      <alignment horizontal="center" vertical="center" wrapText="1"/>
      <protection hidden="1"/>
    </xf>
    <xf numFmtId="0" fontId="146" fillId="0" borderId="42" xfId="841" applyFont="1" applyFill="1" applyBorder="1" applyAlignment="1" applyProtection="1">
      <alignment horizontal="center" vertical="center" wrapText="1"/>
      <protection hidden="1"/>
    </xf>
    <xf numFmtId="0" fontId="146" fillId="0" borderId="46" xfId="841" applyFont="1" applyFill="1" applyBorder="1" applyAlignment="1" applyProtection="1">
      <alignment horizontal="center" vertical="center" wrapText="1"/>
      <protection hidden="1"/>
    </xf>
    <xf numFmtId="0" fontId="146" fillId="0" borderId="47" xfId="841" applyFont="1" applyFill="1" applyBorder="1" applyAlignment="1" applyProtection="1">
      <alignment horizontal="center" vertical="center" wrapText="1"/>
      <protection hidden="1"/>
    </xf>
    <xf numFmtId="0" fontId="146" fillId="0" borderId="56" xfId="841" applyFont="1" applyFill="1" applyBorder="1" applyAlignment="1" applyProtection="1">
      <alignment horizontal="center" vertical="center" wrapText="1"/>
      <protection hidden="1"/>
    </xf>
    <xf numFmtId="0" fontId="146" fillId="0" borderId="43" xfId="841" applyFont="1" applyFill="1" applyBorder="1" applyAlignment="1" applyProtection="1">
      <alignment horizontal="center" vertical="center" wrapText="1"/>
      <protection hidden="1"/>
    </xf>
    <xf numFmtId="0" fontId="146" fillId="0" borderId="57" xfId="841" applyFont="1" applyFill="1" applyBorder="1" applyAlignment="1" applyProtection="1">
      <alignment horizontal="center" vertical="center" wrapText="1"/>
      <protection hidden="1"/>
    </xf>
    <xf numFmtId="0" fontId="146" fillId="0" borderId="136" xfId="841" applyFont="1" applyFill="1" applyBorder="1" applyAlignment="1" applyProtection="1">
      <alignment horizontal="center" vertical="center" wrapText="1"/>
      <protection hidden="1"/>
    </xf>
    <xf numFmtId="175" fontId="146" fillId="0" borderId="136" xfId="198" applyNumberFormat="1" applyFont="1" applyFill="1" applyBorder="1" applyAlignment="1" applyProtection="1">
      <alignment horizontal="center" vertical="center" wrapText="1"/>
      <protection hidden="1"/>
    </xf>
    <xf numFmtId="0" fontId="146" fillId="0" borderId="137" xfId="841" applyFont="1" applyFill="1" applyBorder="1" applyAlignment="1" applyProtection="1">
      <alignment horizontal="center" vertical="center" wrapText="1"/>
      <protection hidden="1"/>
    </xf>
    <xf numFmtId="0" fontId="146" fillId="0" borderId="100" xfId="841" applyFont="1" applyFill="1" applyBorder="1" applyAlignment="1" applyProtection="1">
      <alignment horizontal="center" vertical="center" wrapText="1"/>
      <protection hidden="1"/>
    </xf>
    <xf numFmtId="0" fontId="146" fillId="0" borderId="107" xfId="841" applyFont="1" applyFill="1" applyBorder="1" applyAlignment="1" applyProtection="1">
      <alignment horizontal="center" vertical="center" wrapText="1"/>
      <protection hidden="1"/>
    </xf>
    <xf numFmtId="0" fontId="146" fillId="0" borderId="142" xfId="841" applyFont="1" applyFill="1" applyBorder="1" applyAlignment="1" applyProtection="1">
      <alignment horizontal="center" vertical="center" wrapText="1"/>
      <protection hidden="1"/>
    </xf>
    <xf numFmtId="0" fontId="146" fillId="0" borderId="117" xfId="841" applyFont="1" applyFill="1" applyBorder="1" applyAlignment="1" applyProtection="1">
      <alignment horizontal="center" vertical="center" wrapText="1"/>
      <protection hidden="1"/>
    </xf>
    <xf numFmtId="0" fontId="146" fillId="0" borderId="143" xfId="841" applyFont="1" applyFill="1" applyBorder="1" applyAlignment="1" applyProtection="1">
      <alignment horizontal="center" vertical="center" wrapText="1"/>
      <protection hidden="1"/>
    </xf>
    <xf numFmtId="0" fontId="146" fillId="0" borderId="154" xfId="841" applyFont="1" applyFill="1" applyBorder="1" applyAlignment="1" applyProtection="1">
      <alignment horizontal="center" vertical="center" wrapText="1"/>
      <protection hidden="1"/>
    </xf>
    <xf numFmtId="0" fontId="146" fillId="0" borderId="144" xfId="841" applyFont="1" applyFill="1" applyBorder="1" applyAlignment="1" applyProtection="1">
      <alignment horizontal="center" vertical="center" wrapText="1"/>
      <protection hidden="1"/>
    </xf>
    <xf numFmtId="0" fontId="146" fillId="0" borderId="121" xfId="841" applyFont="1" applyFill="1" applyBorder="1" applyAlignment="1" applyProtection="1">
      <alignment horizontal="center" vertical="center" wrapText="1"/>
      <protection hidden="1"/>
    </xf>
    <xf numFmtId="0" fontId="146" fillId="0" borderId="0" xfId="841" applyFont="1" applyFill="1" applyBorder="1" applyAlignment="1" applyProtection="1">
      <alignment horizontal="center" vertical="center" wrapText="1"/>
      <protection hidden="1"/>
    </xf>
    <xf numFmtId="0" fontId="146" fillId="0" borderId="7" xfId="841" applyFont="1" applyFill="1" applyBorder="1" applyAlignment="1" applyProtection="1">
      <alignment horizontal="center" vertical="center" wrapText="1"/>
      <protection hidden="1"/>
    </xf>
    <xf numFmtId="0" fontId="146" fillId="0" borderId="35" xfId="841" applyFont="1" applyFill="1" applyBorder="1" applyAlignment="1" applyProtection="1">
      <alignment horizontal="center" vertical="center" wrapText="1"/>
      <protection hidden="1"/>
    </xf>
    <xf numFmtId="0" fontId="146" fillId="0" borderId="44" xfId="841" applyFont="1" applyFill="1" applyBorder="1" applyAlignment="1" applyProtection="1">
      <alignment horizontal="center" vertical="center" wrapText="1"/>
      <protection hidden="1"/>
    </xf>
    <xf numFmtId="0" fontId="146" fillId="0" borderId="48" xfId="841" applyFont="1" applyFill="1" applyBorder="1" applyAlignment="1" applyProtection="1">
      <alignment horizontal="center" vertical="center" wrapText="1"/>
      <protection hidden="1"/>
    </xf>
    <xf numFmtId="0" fontId="146" fillId="0" borderId="145" xfId="841" applyFont="1" applyFill="1" applyBorder="1" applyAlignment="1" applyProtection="1">
      <alignment horizontal="center" vertical="center" wrapText="1"/>
      <protection hidden="1"/>
    </xf>
    <xf numFmtId="0" fontId="146" fillId="0" borderId="45" xfId="841" applyFont="1" applyFill="1" applyBorder="1" applyAlignment="1" applyProtection="1">
      <alignment horizontal="center" vertical="center" wrapText="1"/>
      <protection hidden="1"/>
    </xf>
    <xf numFmtId="175" fontId="146" fillId="0" borderId="145" xfId="198" applyNumberFormat="1" applyFont="1" applyFill="1" applyBorder="1" applyAlignment="1" applyProtection="1">
      <alignment horizontal="center" vertical="center" wrapText="1"/>
      <protection hidden="1"/>
    </xf>
    <xf numFmtId="176" fontId="146" fillId="0" borderId="146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18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47" xfId="576" applyNumberFormat="1" applyFont="1" applyFill="1" applyBorder="1" applyAlignment="1" applyProtection="1">
      <alignment horizontal="center" vertical="center" wrapText="1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71" fillId="0" borderId="62" xfId="0" applyFont="1" applyFill="1" applyBorder="1" applyAlignment="1" applyProtection="1">
      <alignment horizontal="left" vertical="top"/>
      <protection hidden="1"/>
    </xf>
    <xf numFmtId="0" fontId="142" fillId="0" borderId="77" xfId="0" applyFont="1" applyFill="1" applyBorder="1" applyAlignment="1" applyProtection="1">
      <alignment horizontal="left" vertical="top"/>
      <protection hidden="1"/>
    </xf>
    <xf numFmtId="0" fontId="142" fillId="0" borderId="66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left" vertical="top"/>
      <protection hidden="1"/>
    </xf>
    <xf numFmtId="0" fontId="147" fillId="0" borderId="66" xfId="0" applyFont="1" applyFill="1" applyBorder="1" applyAlignment="1" applyProtection="1">
      <alignment horizontal="left" vertical="top"/>
      <protection hidden="1"/>
    </xf>
    <xf numFmtId="0" fontId="147" fillId="0" borderId="69" xfId="0" applyFont="1" applyFill="1" applyBorder="1" applyAlignment="1" applyProtection="1">
      <alignment horizontal="left" vertical="top"/>
      <protection hidden="1"/>
    </xf>
    <xf numFmtId="0" fontId="147" fillId="0" borderId="68" xfId="0" applyFont="1" applyFill="1" applyBorder="1" applyAlignment="1" applyProtection="1">
      <alignment horizontal="left" vertical="top"/>
      <protection hidden="1"/>
    </xf>
    <xf numFmtId="0" fontId="122" fillId="0" borderId="161" xfId="0" applyFont="1" applyFill="1" applyBorder="1" applyAlignment="1">
      <alignment horizontal="left"/>
    </xf>
    <xf numFmtId="0" fontId="122" fillId="0" borderId="162" xfId="0" applyFont="1" applyFill="1" applyBorder="1" applyAlignment="1">
      <alignment horizontal="left"/>
    </xf>
    <xf numFmtId="0" fontId="122" fillId="0" borderId="163" xfId="0" applyFont="1" applyFill="1" applyBorder="1" applyAlignment="1">
      <alignment horizontal="left"/>
    </xf>
    <xf numFmtId="0" fontId="138" fillId="0" borderId="140" xfId="0" applyFont="1" applyFill="1" applyBorder="1" applyAlignment="1" applyProtection="1">
      <alignment horizontal="left" vertical="top"/>
      <protection hidden="1"/>
    </xf>
    <xf numFmtId="0" fontId="145" fillId="0" borderId="0" xfId="0" applyFont="1" applyFill="1" applyBorder="1" applyAlignment="1" applyProtection="1">
      <alignment horizontal="center"/>
      <protection hidden="1"/>
    </xf>
    <xf numFmtId="0" fontId="144" fillId="0" borderId="0" xfId="0" applyFont="1" applyFill="1" applyAlignment="1">
      <alignment horizontal="center" vertical="top" wrapText="1"/>
    </xf>
    <xf numFmtId="0" fontId="145" fillId="0" borderId="44" xfId="0" applyFont="1" applyFill="1" applyBorder="1" applyAlignment="1">
      <alignment horizontal="center" vertical="center"/>
    </xf>
    <xf numFmtId="0" fontId="144" fillId="0" borderId="42" xfId="0" applyFont="1" applyFill="1" applyBorder="1" applyAlignment="1">
      <alignment horizontal="left" vertical="top"/>
    </xf>
    <xf numFmtId="0" fontId="144" fillId="0" borderId="47" xfId="0" applyFont="1" applyFill="1" applyBorder="1" applyAlignment="1">
      <alignment horizontal="left" vertical="top"/>
    </xf>
    <xf numFmtId="0" fontId="144" fillId="0" borderId="42" xfId="0" applyFont="1" applyFill="1" applyBorder="1" applyAlignment="1">
      <alignment horizontal="left" vertical="top" wrapText="1"/>
    </xf>
    <xf numFmtId="0" fontId="144" fillId="0" borderId="47" xfId="0" applyFont="1" applyFill="1" applyBorder="1" applyAlignment="1">
      <alignment horizontal="left" vertical="top" wrapText="1"/>
    </xf>
    <xf numFmtId="0" fontId="131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64" xfId="0" applyFont="1" applyFill="1" applyBorder="1" applyAlignment="1">
      <alignment horizontal="left" vertical="top"/>
    </xf>
    <xf numFmtId="0" fontId="129" fillId="40" borderId="77" xfId="0" applyFont="1" applyFill="1" applyBorder="1" applyAlignment="1">
      <alignment horizontal="left" vertical="top"/>
    </xf>
    <xf numFmtId="0" fontId="129" fillId="40" borderId="83" xfId="0" applyFont="1" applyFill="1" applyBorder="1" applyAlignment="1">
      <alignment horizontal="left" vertical="top"/>
    </xf>
    <xf numFmtId="0" fontId="129" fillId="40" borderId="64" xfId="1016" applyFont="1" applyFill="1" applyBorder="1" applyAlignment="1">
      <alignment horizontal="left" vertical="top"/>
    </xf>
    <xf numFmtId="0" fontId="129" fillId="40" borderId="77" xfId="1016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29" fillId="40" borderId="83" xfId="1016" applyFont="1" applyFill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77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4" xfId="0" applyFont="1" applyBorder="1" applyAlignment="1">
      <alignment horizontal="left" vertical="top"/>
    </xf>
    <xf numFmtId="0" fontId="118" fillId="0" borderId="77" xfId="0" applyFont="1" applyBorder="1" applyAlignment="1">
      <alignment horizontal="left" vertical="top"/>
    </xf>
    <xf numFmtId="0" fontId="134" fillId="0" borderId="62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/>
    </xf>
    <xf numFmtId="0" fontId="116" fillId="0" borderId="16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35" fillId="0" borderId="0" xfId="0" applyFont="1" applyAlignment="1">
      <alignment horizontal="center" vertical="center" wrapText="1"/>
    </xf>
    <xf numFmtId="0" fontId="135" fillId="0" borderId="0" xfId="0" applyFont="1" applyAlignment="1">
      <alignment horizontal="left" vertical="center" wrapText="1"/>
    </xf>
    <xf numFmtId="0" fontId="115" fillId="0" borderId="77" xfId="0" applyFont="1" applyBorder="1" applyAlignment="1">
      <alignment horizontal="right" vertical="top"/>
    </xf>
    <xf numFmtId="0" fontId="0" fillId="0" borderId="62" xfId="0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4" xfId="0" applyFont="1" applyBorder="1" applyAlignment="1">
      <alignment horizontal="right" vertical="top"/>
    </xf>
    <xf numFmtId="0" fontId="115" fillId="0" borderId="65" xfId="0" applyFont="1" applyBorder="1" applyAlignment="1">
      <alignment horizontal="left" vertical="top"/>
    </xf>
    <xf numFmtId="0" fontId="114" fillId="0" borderId="64" xfId="0" applyFont="1" applyBorder="1" applyAlignment="1">
      <alignment horizontal="left" vertical="top"/>
    </xf>
  </cellXfs>
  <cellStyles count="1480">
    <cellStyle name="_Rc-1-aLT" xfId="1"/>
    <cellStyle name="_RC-wismaIII-DISK" xfId="2"/>
    <cellStyle name="‚" xfId="3"/>
    <cellStyle name="‚_RAB Electonic01" xfId="4"/>
    <cellStyle name="„" xfId="5"/>
    <cellStyle name="„_RAB Electonic01" xfId="6"/>
    <cellStyle name="…" xfId="7"/>
    <cellStyle name="…_RAB Electonic01" xfId="8"/>
    <cellStyle name="†" xfId="9"/>
    <cellStyle name="†_RAB Electonic01" xfId="10"/>
    <cellStyle name="‡" xfId="11"/>
    <cellStyle name="‡_BOOK1" xfId="12"/>
    <cellStyle name="‡_BOOK1 2" xfId="1219"/>
    <cellStyle name="‡_PLDT" xfId="13"/>
    <cellStyle name="‡_PLDT_RAB Electonic01" xfId="14"/>
    <cellStyle name="‡_RAB Electonic01" xfId="15"/>
    <cellStyle name="‡_STA-DRP" xfId="16"/>
    <cellStyle name="‡_STA-DRP_BOOK1" xfId="17"/>
    <cellStyle name="‡_STA-DRP_BOOK1 2" xfId="1220"/>
    <cellStyle name="" xfId="18"/>
    <cellStyle name="" xfId="19"/>
    <cellStyle name="_RAB Electonic01" xfId="20"/>
    <cellStyle name="_RAB Electonic01" xfId="21"/>
    <cellStyle name="0,0_x000d_&#10;NA_x000d_&#10;" xfId="22"/>
    <cellStyle name="0,0_x000d_&#10;NA_x000d_&#10; 2" xfId="1221"/>
    <cellStyle name="¹éºÐÀ²_±âÅ¸" xfId="23"/>
    <cellStyle name="20% - Accent1 2" xfId="24"/>
    <cellStyle name="20% - Accent2 2" xfId="25"/>
    <cellStyle name="20% - Accent3 2" xfId="26"/>
    <cellStyle name="20% - Accent4 2" xfId="27"/>
    <cellStyle name="20% - Accent5 2" xfId="28"/>
    <cellStyle name="20% - Accent6 2" xfId="29"/>
    <cellStyle name="20% - Aksen1" xfId="30"/>
    <cellStyle name="20% - Aksen2" xfId="31"/>
    <cellStyle name="20% - Aksen3" xfId="32"/>
    <cellStyle name="20% - Aksen4" xfId="33"/>
    <cellStyle name="20% - Aksen5" xfId="34"/>
    <cellStyle name="20% - Aksen6" xfId="35"/>
    <cellStyle name="40% - Accent1 2" xfId="36"/>
    <cellStyle name="40% - Accent2 2" xfId="37"/>
    <cellStyle name="40% - Accent3 2" xfId="38"/>
    <cellStyle name="40% - Accent4 2" xfId="39"/>
    <cellStyle name="40% - Accent5 2" xfId="40"/>
    <cellStyle name="40% - Accent6 2" xfId="41"/>
    <cellStyle name="40% - Aksen1" xfId="42"/>
    <cellStyle name="40% - Aksen2" xfId="43"/>
    <cellStyle name="40% - Aksen3" xfId="44"/>
    <cellStyle name="40% - Aksen4" xfId="45"/>
    <cellStyle name="40% - Aksen5" xfId="46"/>
    <cellStyle name="40% - Aksen6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Aksen1" xfId="54"/>
    <cellStyle name="60% - Aksen2" xfId="55"/>
    <cellStyle name="60% - Aksen3" xfId="56"/>
    <cellStyle name="60% - Aksen4" xfId="57"/>
    <cellStyle name="60% - Aksen5" xfId="58"/>
    <cellStyle name="60% - Aksen6" xfId="59"/>
    <cellStyle name="a" xfId="60"/>
    <cellStyle name="a 2" xfId="61"/>
    <cellStyle name="a 3" xfId="62"/>
    <cellStyle name="a 4" xfId="63"/>
    <cellStyle name="a 5" xfId="64"/>
    <cellStyle name="a 6" xfId="65"/>
    <cellStyle name="a_2 - RAB-PAJAK MEDAN - 2009 (ME) - r2 -PP" xfId="66"/>
    <cellStyle name="a_Analisa_RAPK_SAMPOERNA" xfId="67"/>
    <cellStyle name="a_BTL_Salemba_18_nop 2005  basement for prelim (version 2)" xfId="68"/>
    <cellStyle name="a_FINALISASI MARUDA" xfId="69"/>
    <cellStyle name="a_REAL COST   SEKOLAH - RHESA-06  (18-12-06) FINAL VERSI - 3" xfId="70"/>
    <cellStyle name="A4 Small 210 x 297 mm" xfId="71"/>
    <cellStyle name="A4 Small 210 x 297 mm 2" xfId="1222"/>
    <cellStyle name="acc-0" xfId="72"/>
    <cellStyle name="acc-0 2" xfId="1223"/>
    <cellStyle name="acc-2" xfId="73"/>
    <cellStyle name="acc-2 2" xfId="1224"/>
    <cellStyle name="Accent1 2" xfId="74"/>
    <cellStyle name="Accent2 2" xfId="75"/>
    <cellStyle name="Accent3 2" xfId="76"/>
    <cellStyle name="Accent4 2" xfId="77"/>
    <cellStyle name="Accent5 2" xfId="78"/>
    <cellStyle name="Accent6 2" xfId="79"/>
    <cellStyle name="ÅëÈ­ [0]_±âÅ¸" xfId="80"/>
    <cellStyle name="ÅëÈ­_±âÅ¸" xfId="81"/>
    <cellStyle name="Aksen1" xfId="82"/>
    <cellStyle name="Aksen2" xfId="83"/>
    <cellStyle name="Aksen3" xfId="84"/>
    <cellStyle name="Aksen4" xfId="85"/>
    <cellStyle name="Aksen5" xfId="86"/>
    <cellStyle name="Aksen6" xfId="87"/>
    <cellStyle name="args.style" xfId="88"/>
    <cellStyle name="Arial10" xfId="89"/>
    <cellStyle name="Arial10 2" xfId="90"/>
    <cellStyle name="Arial10 2 2" xfId="1226"/>
    <cellStyle name="Arial10 3" xfId="91"/>
    <cellStyle name="Arial10 3 2" xfId="1227"/>
    <cellStyle name="Arial10 4" xfId="92"/>
    <cellStyle name="Arial10 4 2" xfId="1228"/>
    <cellStyle name="Arial10 5" xfId="93"/>
    <cellStyle name="Arial10 5 2" xfId="1229"/>
    <cellStyle name="Arial10 6" xfId="94"/>
    <cellStyle name="Arial10 6 2" xfId="1230"/>
    <cellStyle name="Arial10 7" xfId="95"/>
    <cellStyle name="Arial10 7 2" xfId="1231"/>
    <cellStyle name="Arial10 8" xfId="1225"/>
    <cellStyle name="Arial10_2 - RAB-PAJAK MEDAN - 2009 (ME) - r2 -PP" xfId="96"/>
    <cellStyle name="ÄÞ¸¶ [0]_±âÅ¸" xfId="97"/>
    <cellStyle name="ÄÞ¸¶_±âÅ¸" xfId="98"/>
    <cellStyle name="Bad 2" xfId="99"/>
    <cellStyle name="Baik" xfId="100"/>
    <cellStyle name="Body" xfId="101"/>
    <cellStyle name="bottom" xfId="102"/>
    <cellStyle name="Buruk" xfId="103"/>
    <cellStyle name="Ç¥ÁØ_¿¬°£´©°è¿¹»ó" xfId="104"/>
    <cellStyle name="Calc Currency (0)" xfId="105"/>
    <cellStyle name="Calc Currency (0) 2" xfId="106"/>
    <cellStyle name="Calc Currency (0) 2 2" xfId="1233"/>
    <cellStyle name="Calc Currency (0) 3" xfId="1232"/>
    <cellStyle name="Calculation 2" xfId="107"/>
    <cellStyle name="Catatan" xfId="108"/>
    <cellStyle name="Catatan 2" xfId="109"/>
    <cellStyle name="Catatan 2 2" xfId="1234"/>
    <cellStyle name="Catatan 3" xfId="110"/>
    <cellStyle name="Catatan 4" xfId="111"/>
    <cellStyle name="Catatan 5" xfId="112"/>
    <cellStyle name="Cek Sel" xfId="113"/>
    <cellStyle name="Cek Sel 2" xfId="1235"/>
    <cellStyle name="Check Cell 2" xfId="114"/>
    <cellStyle name="Check Cell 2 2" xfId="1236"/>
    <cellStyle name="Comma" xfId="115" builtinId="3"/>
    <cellStyle name="Comma  - Style1" xfId="116"/>
    <cellStyle name="Comma  - Style1 2" xfId="117"/>
    <cellStyle name="Comma  - Style1 3" xfId="118"/>
    <cellStyle name="Comma  - Style1 4" xfId="119"/>
    <cellStyle name="Comma  - Style1 5" xfId="120"/>
    <cellStyle name="Comma  - Style1 6" xfId="121"/>
    <cellStyle name="Comma  - Style1 7" xfId="122"/>
    <cellStyle name="Comma  - Style1_2 - RAB-PAJAK MEDAN - 2009 (ME) - r2 -PP" xfId="123"/>
    <cellStyle name="Comma  - Style2" xfId="124"/>
    <cellStyle name="Comma  - Style2 2" xfId="125"/>
    <cellStyle name="Comma  - Style2 3" xfId="126"/>
    <cellStyle name="Comma  - Style2 4" xfId="127"/>
    <cellStyle name="Comma  - Style2 5" xfId="128"/>
    <cellStyle name="Comma  - Style2 6" xfId="129"/>
    <cellStyle name="Comma  - Style2 7" xfId="130"/>
    <cellStyle name="Comma  - Style2_2 - RAB-PAJAK MEDAN - 2009 (ME) - r2 -PP" xfId="131"/>
    <cellStyle name="Comma  - Style3" xfId="132"/>
    <cellStyle name="Comma  - Style3 2" xfId="133"/>
    <cellStyle name="Comma  - Style3 3" xfId="134"/>
    <cellStyle name="Comma  - Style3 4" xfId="135"/>
    <cellStyle name="Comma  - Style3 5" xfId="136"/>
    <cellStyle name="Comma  - Style3 6" xfId="137"/>
    <cellStyle name="Comma  - Style3 7" xfId="138"/>
    <cellStyle name="Comma  - Style3_2 - RAB-PAJAK MEDAN - 2009 (ME) - r2 -PP" xfId="139"/>
    <cellStyle name="Comma  - Style4" xfId="140"/>
    <cellStyle name="Comma  - Style4 2" xfId="141"/>
    <cellStyle name="Comma  - Style4 3" xfId="142"/>
    <cellStyle name="Comma  - Style4 4" xfId="143"/>
    <cellStyle name="Comma  - Style4 5" xfId="144"/>
    <cellStyle name="Comma  - Style4 6" xfId="145"/>
    <cellStyle name="Comma  - Style4 7" xfId="146"/>
    <cellStyle name="Comma  - Style4_2 - RAB-PAJAK MEDAN - 2009 (ME) - r2 -PP" xfId="147"/>
    <cellStyle name="Comma  - Style5" xfId="148"/>
    <cellStyle name="Comma  - Style5 2" xfId="149"/>
    <cellStyle name="Comma  - Style5 3" xfId="150"/>
    <cellStyle name="Comma  - Style5 4" xfId="151"/>
    <cellStyle name="Comma  - Style5 5" xfId="152"/>
    <cellStyle name="Comma  - Style5 6" xfId="153"/>
    <cellStyle name="Comma  - Style5 7" xfId="154"/>
    <cellStyle name="Comma  - Style5_2 - RAB-PAJAK MEDAN - 2009 (ME) - r2 -PP" xfId="155"/>
    <cellStyle name="Comma  - Style6" xfId="156"/>
    <cellStyle name="Comma  - Style6 2" xfId="157"/>
    <cellStyle name="Comma  - Style6 3" xfId="158"/>
    <cellStyle name="Comma  - Style6 4" xfId="159"/>
    <cellStyle name="Comma  - Style6 5" xfId="160"/>
    <cellStyle name="Comma  - Style6 6" xfId="161"/>
    <cellStyle name="Comma  - Style6 7" xfId="162"/>
    <cellStyle name="Comma  - Style6_2 - RAB-PAJAK MEDAN - 2009 (ME) - r2 -PP" xfId="163"/>
    <cellStyle name="Comma  - Style7" xfId="164"/>
    <cellStyle name="Comma  - Style7 2" xfId="165"/>
    <cellStyle name="Comma  - Style7 3" xfId="166"/>
    <cellStyle name="Comma  - Style7 4" xfId="167"/>
    <cellStyle name="Comma  - Style7 5" xfId="168"/>
    <cellStyle name="Comma  - Style7 6" xfId="169"/>
    <cellStyle name="Comma  - Style7 7" xfId="170"/>
    <cellStyle name="Comma  - Style7_2 - RAB-PAJAK MEDAN - 2009 (ME) - r2 -PP" xfId="171"/>
    <cellStyle name="Comma  - Style8" xfId="172"/>
    <cellStyle name="Comma  - Style8 2" xfId="173"/>
    <cellStyle name="Comma  - Style8 3" xfId="174"/>
    <cellStyle name="Comma  - Style8 4" xfId="175"/>
    <cellStyle name="Comma  - Style8 5" xfId="176"/>
    <cellStyle name="Comma  - Style8 6" xfId="177"/>
    <cellStyle name="Comma  - Style8 7" xfId="178"/>
    <cellStyle name="Comma  - Style8_2 - RAB-PAJAK MEDAN - 2009 (ME) - r2 -PP" xfId="179"/>
    <cellStyle name="Comma [0]" xfId="180" builtinId="6"/>
    <cellStyle name="Comma [0] 10" xfId="181"/>
    <cellStyle name="Comma [0] 10 2" xfId="182"/>
    <cellStyle name="Comma [0] 10 2 2" xfId="1238"/>
    <cellStyle name="Comma [0] 10 3" xfId="183"/>
    <cellStyle name="Comma [0] 10 3 2" xfId="184"/>
    <cellStyle name="Comma [0] 10 3 2 2" xfId="1240"/>
    <cellStyle name="Comma [0] 10 3 3" xfId="1239"/>
    <cellStyle name="Comma [0] 10 4" xfId="1237"/>
    <cellStyle name="Comma [0] 11" xfId="185"/>
    <cellStyle name="Comma [0] 11 2" xfId="186"/>
    <cellStyle name="Comma [0] 11 2 2" xfId="1242"/>
    <cellStyle name="Comma [0] 11 3" xfId="187"/>
    <cellStyle name="Comma [0] 11 4" xfId="1241"/>
    <cellStyle name="Comma [0] 12" xfId="188"/>
    <cellStyle name="Comma [0] 12 2" xfId="189"/>
    <cellStyle name="Comma [0] 13" xfId="190"/>
    <cellStyle name="Comma [0] 13 2" xfId="191"/>
    <cellStyle name="Comma [0] 13 3" xfId="1243"/>
    <cellStyle name="Comma [0] 14" xfId="192"/>
    <cellStyle name="Comma [0] 15" xfId="193"/>
    <cellStyle name="Comma [0] 16" xfId="194"/>
    <cellStyle name="Comma [0] 17" xfId="195"/>
    <cellStyle name="Comma [0] 18" xfId="196"/>
    <cellStyle name="Comma [0] 18 2" xfId="1244"/>
    <cellStyle name="Comma [0] 19" xfId="197"/>
    <cellStyle name="Comma [0] 19 2" xfId="1245"/>
    <cellStyle name="Comma [0] 2" xfId="198"/>
    <cellStyle name="Comma [0] 2 2" xfId="199"/>
    <cellStyle name="Comma [0] 2 2 2" xfId="200"/>
    <cellStyle name="Comma [0] 2 2 2 2" xfId="201"/>
    <cellStyle name="Comma [0] 2 2 2 2 2" xfId="1248"/>
    <cellStyle name="Comma [0] 2 2 2 3" xfId="1247"/>
    <cellStyle name="Comma [0] 2 2 3" xfId="202"/>
    <cellStyle name="Comma [0] 2 2 3 2" xfId="203"/>
    <cellStyle name="Comma [0] 2 2 3 2 2" xfId="1249"/>
    <cellStyle name="Comma [0] 2 2 4" xfId="204"/>
    <cellStyle name="Comma [0] 2 2 4 2" xfId="1250"/>
    <cellStyle name="Comma [0] 2 2 5" xfId="205"/>
    <cellStyle name="Comma [0] 2 2 6" xfId="206"/>
    <cellStyle name="Comma [0] 2 2 7" xfId="207"/>
    <cellStyle name="Comma [0] 2 2 8" xfId="1246"/>
    <cellStyle name="Comma [0] 2 3" xfId="208"/>
    <cellStyle name="Comma [0] 2 3 2" xfId="209"/>
    <cellStyle name="Comma [0] 2 3 2 2" xfId="1251"/>
    <cellStyle name="Comma [0] 2 3 3" xfId="210"/>
    <cellStyle name="Comma [0] 2 3 3 2" xfId="1252"/>
    <cellStyle name="Comma [0] 2 3 4" xfId="211"/>
    <cellStyle name="Comma [0] 2 3 5" xfId="212"/>
    <cellStyle name="Comma [0] 2 3 6" xfId="213"/>
    <cellStyle name="Comma [0] 2 3 7" xfId="214"/>
    <cellStyle name="Comma [0] 2 3_RAB  POWER HOUSE STAI 07-11-09" xfId="215"/>
    <cellStyle name="Comma [0] 2 4" xfId="216"/>
    <cellStyle name="Comma [0] 2 4 2" xfId="217"/>
    <cellStyle name="Comma [0] 2 4 3" xfId="1253"/>
    <cellStyle name="Comma [0] 2 5" xfId="218"/>
    <cellStyle name="Comma [0] 2 5 2" xfId="1254"/>
    <cellStyle name="Comma [0] 2 6" xfId="219"/>
    <cellStyle name="Comma [0] 2 6 2" xfId="1255"/>
    <cellStyle name="Comma [0] 2 7" xfId="220"/>
    <cellStyle name="Comma [0] 2 8" xfId="221"/>
    <cellStyle name="Comma [0] 2 8 2" xfId="1256"/>
    <cellStyle name="Comma [0] 2_CV.AJ" xfId="222"/>
    <cellStyle name="Comma [0] 20" xfId="223"/>
    <cellStyle name="Comma [0] 20 2" xfId="224"/>
    <cellStyle name="Comma [0] 20 2 2" xfId="225"/>
    <cellStyle name="Comma [0] 20 3" xfId="1257"/>
    <cellStyle name="Comma [0] 21" xfId="226"/>
    <cellStyle name="Comma [0] 21 2" xfId="227"/>
    <cellStyle name="Comma [0] 21 3" xfId="228"/>
    <cellStyle name="Comma [0] 22" xfId="229"/>
    <cellStyle name="Comma [0] 22 2" xfId="230"/>
    <cellStyle name="Comma [0] 3" xfId="231"/>
    <cellStyle name="Comma [0] 3 10" xfId="232"/>
    <cellStyle name="Comma [0] 3 11" xfId="233"/>
    <cellStyle name="Comma [0] 3 12" xfId="234"/>
    <cellStyle name="Comma [0] 3 2" xfId="235"/>
    <cellStyle name="Comma [0] 3 2 10" xfId="236"/>
    <cellStyle name="Comma [0] 3 2 2" xfId="237"/>
    <cellStyle name="Comma [0] 3 2 2 2" xfId="238"/>
    <cellStyle name="Comma [0] 3 2 2 2 2" xfId="239"/>
    <cellStyle name="Comma [0] 3 2 2 2 3" xfId="240"/>
    <cellStyle name="Comma [0] 3 2 2 2 4" xfId="241"/>
    <cellStyle name="Comma [0] 3 2 2 3" xfId="242"/>
    <cellStyle name="Comma [0] 3 2 2 4" xfId="243"/>
    <cellStyle name="Comma [0] 3 2 2 5" xfId="244"/>
    <cellStyle name="Comma [0] 3 2 2_1-BOQ." xfId="245"/>
    <cellStyle name="Comma [0] 3 2 3" xfId="246"/>
    <cellStyle name="Comma [0] 3 2 3 2" xfId="247"/>
    <cellStyle name="Comma [0] 3 2 3 3" xfId="248"/>
    <cellStyle name="Comma [0] 3 2 3 4" xfId="249"/>
    <cellStyle name="Comma [0] 3 2 4" xfId="250"/>
    <cellStyle name="Comma [0] 3 2 4 2" xfId="1258"/>
    <cellStyle name="Comma [0] 3 2 5" xfId="251"/>
    <cellStyle name="Comma [0] 3 2 5 2" xfId="1259"/>
    <cellStyle name="Comma [0] 3 2 6" xfId="252"/>
    <cellStyle name="Comma [0] 3 2 6 2" xfId="1260"/>
    <cellStyle name="Comma [0] 3 2 7" xfId="253"/>
    <cellStyle name="Comma [0] 3 2 7 2" xfId="1261"/>
    <cellStyle name="Comma [0] 3 2 8" xfId="254"/>
    <cellStyle name="Comma [0] 3 2 9" xfId="255"/>
    <cellStyle name="Comma [0] 3 2_1-BOQ" xfId="256"/>
    <cellStyle name="Comma [0] 3 3" xfId="257"/>
    <cellStyle name="Comma [0] 3 3 2" xfId="258"/>
    <cellStyle name="Comma [0] 3 3 3" xfId="259"/>
    <cellStyle name="Comma [0] 3 3 4" xfId="260"/>
    <cellStyle name="Comma [0] 3 4" xfId="261"/>
    <cellStyle name="Comma [0] 3 4 2" xfId="262"/>
    <cellStyle name="Comma [0] 3 4 3" xfId="263"/>
    <cellStyle name="Comma [0] 3 4 4" xfId="264"/>
    <cellStyle name="Comma [0] 3 5" xfId="265"/>
    <cellStyle name="Comma [0] 3 5 2" xfId="266"/>
    <cellStyle name="Comma [0] 3 5 3" xfId="267"/>
    <cellStyle name="Comma [0] 3 5 4" xfId="268"/>
    <cellStyle name="Comma [0] 3 6" xfId="269"/>
    <cellStyle name="Comma [0] 3 7" xfId="270"/>
    <cellStyle name="Comma [0] 3 8" xfId="271"/>
    <cellStyle name="Comma [0] 3 9" xfId="272"/>
    <cellStyle name="Comma [0] 3_POSKESDES Ds. Lhok Keutapang Tangse" xfId="273"/>
    <cellStyle name="Comma [0] 4" xfId="274"/>
    <cellStyle name="Comma [0] 4 2" xfId="275"/>
    <cellStyle name="Comma [0] 4 3" xfId="276"/>
    <cellStyle name="Comma [0] 4 4" xfId="277"/>
    <cellStyle name="Comma [0] 5" xfId="278"/>
    <cellStyle name="Comma [0] 5 2" xfId="279"/>
    <cellStyle name="Comma [0] 5 3" xfId="280"/>
    <cellStyle name="Comma [0] 5 4" xfId="281"/>
    <cellStyle name="Comma [0] 5 5" xfId="282"/>
    <cellStyle name="Comma [0] 6" xfId="283"/>
    <cellStyle name="Comma [0] 6 2" xfId="284"/>
    <cellStyle name="Comma [0] 6 3" xfId="285"/>
    <cellStyle name="Comma [0] 6 4" xfId="286"/>
    <cellStyle name="Comma [0] 7" xfId="287"/>
    <cellStyle name="Comma [0] 7 2" xfId="288"/>
    <cellStyle name="Comma [0] 7 3" xfId="289"/>
    <cellStyle name="Comma [0] 7 4" xfId="290"/>
    <cellStyle name="Comma [0] 8" xfId="291"/>
    <cellStyle name="Comma [0] 8 2" xfId="1262"/>
    <cellStyle name="Comma [0] 9" xfId="292"/>
    <cellStyle name="Comma [0] 9 2" xfId="293"/>
    <cellStyle name="Comma [0] 9 2 2" xfId="1264"/>
    <cellStyle name="Comma [0] 9 3" xfId="1263"/>
    <cellStyle name="Comma [2]" xfId="294"/>
    <cellStyle name="Comma [3]" xfId="295"/>
    <cellStyle name="Comma [3] 2" xfId="1265"/>
    <cellStyle name="Comma 0" xfId="296"/>
    <cellStyle name="Comma 10" xfId="297"/>
    <cellStyle name="Comma 10 2" xfId="298"/>
    <cellStyle name="Comma 10 2 2" xfId="1266"/>
    <cellStyle name="Comma 10 3" xfId="299"/>
    <cellStyle name="Comma 11" xfId="300"/>
    <cellStyle name="Comma 11 2" xfId="301"/>
    <cellStyle name="Comma 11 2 2" xfId="1267"/>
    <cellStyle name="Comma 11 3" xfId="302"/>
    <cellStyle name="Comma 11 3 2" xfId="303"/>
    <cellStyle name="Comma 11 3 2 2" xfId="1269"/>
    <cellStyle name="Comma 11 3 3" xfId="1268"/>
    <cellStyle name="Comma 12" xfId="304"/>
    <cellStyle name="Comma 12 2" xfId="305"/>
    <cellStyle name="Comma 12 3" xfId="306"/>
    <cellStyle name="Comma 12 3 2" xfId="1270"/>
    <cellStyle name="Comma 12 4" xfId="307"/>
    <cellStyle name="Comma 12 4 2" xfId="308"/>
    <cellStyle name="Comma 12 4 2 2" xfId="1272"/>
    <cellStyle name="Comma 12 4 3" xfId="1271"/>
    <cellStyle name="Comma 13" xfId="309"/>
    <cellStyle name="Comma 13 2" xfId="310"/>
    <cellStyle name="Comma 13 2 2" xfId="1273"/>
    <cellStyle name="Comma 14" xfId="311"/>
    <cellStyle name="Comma 14 2" xfId="312"/>
    <cellStyle name="Comma 15" xfId="313"/>
    <cellStyle name="Comma 16" xfId="314"/>
    <cellStyle name="Comma 17" xfId="315"/>
    <cellStyle name="Comma 17 2" xfId="316"/>
    <cellStyle name="Comma 17 2 2" xfId="317"/>
    <cellStyle name="Comma 17 3" xfId="318"/>
    <cellStyle name="Comma 17 3 2" xfId="319"/>
    <cellStyle name="Comma 17 4" xfId="320"/>
    <cellStyle name="Comma 17 4 2" xfId="321"/>
    <cellStyle name="Comma 17 5" xfId="322"/>
    <cellStyle name="Comma 17 5 2" xfId="323"/>
    <cellStyle name="Comma 17 6" xfId="324"/>
    <cellStyle name="Comma 17 7" xfId="325"/>
    <cellStyle name="Comma 17 7 2" xfId="326"/>
    <cellStyle name="Comma 18" xfId="327"/>
    <cellStyle name="Comma 18 2" xfId="328"/>
    <cellStyle name="Comma 18 2 2" xfId="1274"/>
    <cellStyle name="Comma 19" xfId="329"/>
    <cellStyle name="Comma 19 2" xfId="1275"/>
    <cellStyle name="Comma 2" xfId="330"/>
    <cellStyle name="Comma 2 10" xfId="331"/>
    <cellStyle name="Comma 2 2" xfId="332"/>
    <cellStyle name="Comma 2 2 10" xfId="333"/>
    <cellStyle name="Comma 2 2 11" xfId="334"/>
    <cellStyle name="Comma 2 2 12" xfId="335"/>
    <cellStyle name="Comma 2 2 13" xfId="336"/>
    <cellStyle name="Comma 2 2 2" xfId="337"/>
    <cellStyle name="Comma 2 2 2 2" xfId="338"/>
    <cellStyle name="Comma 2 2 2 2 2" xfId="1277"/>
    <cellStyle name="Comma 2 2 2 3" xfId="1276"/>
    <cellStyle name="Comma 2 2 3" xfId="339"/>
    <cellStyle name="Comma 2 2 3 2" xfId="340"/>
    <cellStyle name="Comma 2 2 3 2 2" xfId="1279"/>
    <cellStyle name="Comma 2 2 3 3" xfId="1278"/>
    <cellStyle name="Comma 2 2 4" xfId="341"/>
    <cellStyle name="Comma 2 2 4 2" xfId="342"/>
    <cellStyle name="Comma 2 2 4 2 2" xfId="1281"/>
    <cellStyle name="Comma 2 2 4 3" xfId="1280"/>
    <cellStyle name="Comma 2 2 5" xfId="343"/>
    <cellStyle name="Comma 2 2 5 2" xfId="1282"/>
    <cellStyle name="Comma 2 2 6" xfId="344"/>
    <cellStyle name="Comma 2 2 6 2" xfId="1283"/>
    <cellStyle name="Comma 2 2 7" xfId="345"/>
    <cellStyle name="Comma 2 2 7 2" xfId="1284"/>
    <cellStyle name="Comma 2 2 8" xfId="346"/>
    <cellStyle name="Comma 2 2 8 2" xfId="1285"/>
    <cellStyle name="Comma 2 2 9" xfId="347"/>
    <cellStyle name="Comma 2 3" xfId="348"/>
    <cellStyle name="Comma 2 3 2" xfId="349"/>
    <cellStyle name="Comma 2 3 2 2" xfId="350"/>
    <cellStyle name="Comma 2 3 2 3" xfId="351"/>
    <cellStyle name="Comma 2 3 2 4" xfId="352"/>
    <cellStyle name="Comma 2 3 3" xfId="353"/>
    <cellStyle name="Comma 2 3 3 2" xfId="1286"/>
    <cellStyle name="Comma 2 3 4" xfId="354"/>
    <cellStyle name="Comma 2 3 5" xfId="355"/>
    <cellStyle name="Comma 2 3 6" xfId="356"/>
    <cellStyle name="Comma 2 3 7" xfId="357"/>
    <cellStyle name="Comma 2 4" xfId="358"/>
    <cellStyle name="Comma 2 4 2" xfId="359"/>
    <cellStyle name="Comma 2 4 3" xfId="360"/>
    <cellStyle name="Comma 2 4 4" xfId="361"/>
    <cellStyle name="Comma 2 4 5" xfId="362"/>
    <cellStyle name="Comma 2 5" xfId="363"/>
    <cellStyle name="Comma 2 5 2" xfId="364"/>
    <cellStyle name="Comma 2 5 2 2" xfId="1288"/>
    <cellStyle name="Comma 2 5 3" xfId="365"/>
    <cellStyle name="Comma 2 5 3 2" xfId="366"/>
    <cellStyle name="Comma 2 5 3 2 2" xfId="1290"/>
    <cellStyle name="Comma 2 5 3 3" xfId="1289"/>
    <cellStyle name="Comma 2 5 4" xfId="1287"/>
    <cellStyle name="Comma 2 6" xfId="367"/>
    <cellStyle name="Comma 2 6 2" xfId="368"/>
    <cellStyle name="Comma 2 6 2 2" xfId="1291"/>
    <cellStyle name="Comma 2 7" xfId="369"/>
    <cellStyle name="Comma 2 8" xfId="370"/>
    <cellStyle name="Comma 2_RAB  ASRAMA PUTRI STAI R5 18-11-09" xfId="371"/>
    <cellStyle name="Comma 20" xfId="372"/>
    <cellStyle name="Comma 20 2" xfId="373"/>
    <cellStyle name="Comma 20 2 2" xfId="374"/>
    <cellStyle name="Comma 20 3" xfId="375"/>
    <cellStyle name="Comma 20 3 2" xfId="376"/>
    <cellStyle name="Comma 20 4" xfId="377"/>
    <cellStyle name="Comma 20 4 2" xfId="378"/>
    <cellStyle name="Comma 20 5" xfId="379"/>
    <cellStyle name="Comma 20 5 2" xfId="380"/>
    <cellStyle name="Comma 20 6" xfId="381"/>
    <cellStyle name="Comma 20 7" xfId="382"/>
    <cellStyle name="Comma 20 7 2" xfId="383"/>
    <cellStyle name="Comma 20 8" xfId="384"/>
    <cellStyle name="Comma 20 9" xfId="1292"/>
    <cellStyle name="Comma 21" xfId="385"/>
    <cellStyle name="Comma 21 2" xfId="1293"/>
    <cellStyle name="Comma 22" xfId="386"/>
    <cellStyle name="Comma 22 2" xfId="1294"/>
    <cellStyle name="Comma 23" xfId="387"/>
    <cellStyle name="Comma 23 2" xfId="1295"/>
    <cellStyle name="Comma 24" xfId="388"/>
    <cellStyle name="Comma 25" xfId="389"/>
    <cellStyle name="Comma 26" xfId="390"/>
    <cellStyle name="Comma 27" xfId="391"/>
    <cellStyle name="Comma 28" xfId="392"/>
    <cellStyle name="Comma 29" xfId="393"/>
    <cellStyle name="Comma 3" xfId="394"/>
    <cellStyle name="Comma 3 10" xfId="395"/>
    <cellStyle name="Comma 3 11" xfId="396"/>
    <cellStyle name="Comma 3 12" xfId="397"/>
    <cellStyle name="Comma 3 13" xfId="398"/>
    <cellStyle name="Comma 3 14" xfId="399"/>
    <cellStyle name="Comma 3 2" xfId="400"/>
    <cellStyle name="Comma 3 2 2" xfId="401"/>
    <cellStyle name="Comma 3 2 3" xfId="402"/>
    <cellStyle name="Comma 3 2 4" xfId="403"/>
    <cellStyle name="Comma 3 3" xfId="404"/>
    <cellStyle name="Comma 3 3 2" xfId="405"/>
    <cellStyle name="Comma 3 3 3" xfId="406"/>
    <cellStyle name="Comma 3 3 4" xfId="407"/>
    <cellStyle name="Comma 3 4" xfId="408"/>
    <cellStyle name="Comma 3 4 2" xfId="409"/>
    <cellStyle name="Comma 3 4 3" xfId="410"/>
    <cellStyle name="Comma 3 4 4" xfId="411"/>
    <cellStyle name="Comma 3 5" xfId="412"/>
    <cellStyle name="Comma 3 5 2" xfId="413"/>
    <cellStyle name="Comma 3 5 3" xfId="414"/>
    <cellStyle name="Comma 3 5 4" xfId="415"/>
    <cellStyle name="Comma 3 6" xfId="416"/>
    <cellStyle name="Comma 3 6 2" xfId="417"/>
    <cellStyle name="Comma 3 6 3" xfId="418"/>
    <cellStyle name="Comma 3 6 4" xfId="419"/>
    <cellStyle name="Comma 3 7" xfId="420"/>
    <cellStyle name="Comma 3 7 2" xfId="421"/>
    <cellStyle name="Comma 3 7 3" xfId="422"/>
    <cellStyle name="Comma 3 7 4" xfId="423"/>
    <cellStyle name="Comma 3 8" xfId="424"/>
    <cellStyle name="Comma 3 8 2" xfId="425"/>
    <cellStyle name="Comma 3 8 3" xfId="426"/>
    <cellStyle name="Comma 3 8 4" xfId="427"/>
    <cellStyle name="Comma 3 9" xfId="428"/>
    <cellStyle name="Comma 3 9 2" xfId="429"/>
    <cellStyle name="Comma 3 9 3" xfId="430"/>
    <cellStyle name="Comma 3 9 4" xfId="431"/>
    <cellStyle name="Comma 30" xfId="432"/>
    <cellStyle name="Comma 31" xfId="433"/>
    <cellStyle name="Comma 32" xfId="434"/>
    <cellStyle name="Comma 33" xfId="435"/>
    <cellStyle name="Comma 34" xfId="436"/>
    <cellStyle name="Comma 35" xfId="437"/>
    <cellStyle name="Comma 36" xfId="438"/>
    <cellStyle name="Comma 37" xfId="439"/>
    <cellStyle name="Comma 38" xfId="440"/>
    <cellStyle name="Comma 39" xfId="441"/>
    <cellStyle name="Comma 4" xfId="442"/>
    <cellStyle name="Comma 4 10" xfId="443"/>
    <cellStyle name="Comma 4 10 2" xfId="1296"/>
    <cellStyle name="Comma 4 11" xfId="444"/>
    <cellStyle name="Comma 4 12" xfId="445"/>
    <cellStyle name="Comma 4 13" xfId="446"/>
    <cellStyle name="Comma 4 2" xfId="447"/>
    <cellStyle name="Comma 4 2 10" xfId="448"/>
    <cellStyle name="Comma 4 2 2" xfId="449"/>
    <cellStyle name="Comma 4 2 2 2" xfId="450"/>
    <cellStyle name="Comma 4 2 2 2 2" xfId="451"/>
    <cellStyle name="Comma 4 2 2 2 2 2" xfId="1297"/>
    <cellStyle name="Comma 4 2 2 2 3" xfId="452"/>
    <cellStyle name="Comma 4 2 2 2 4" xfId="453"/>
    <cellStyle name="Comma 4 2 2 2 5" xfId="454"/>
    <cellStyle name="Comma 4 2 2 3" xfId="455"/>
    <cellStyle name="Comma 4 2 2 3 2" xfId="1298"/>
    <cellStyle name="Comma 4 2 2 4" xfId="456"/>
    <cellStyle name="Comma 4 2 2 5" xfId="457"/>
    <cellStyle name="Comma 4 2 2 6" xfId="458"/>
    <cellStyle name="Comma 4 2 2_1-BOQ." xfId="459"/>
    <cellStyle name="Comma 4 2 3" xfId="460"/>
    <cellStyle name="Comma 4 2 3 2" xfId="461"/>
    <cellStyle name="Comma 4 2 3 3" xfId="462"/>
    <cellStyle name="Comma 4 2 3 4" xfId="463"/>
    <cellStyle name="Comma 4 2 4" xfId="464"/>
    <cellStyle name="Comma 4 2 4 2" xfId="1299"/>
    <cellStyle name="Comma 4 2 5" xfId="465"/>
    <cellStyle name="Comma 4 2 5 2" xfId="1300"/>
    <cellStyle name="Comma 4 2 6" xfId="466"/>
    <cellStyle name="Comma 4 2 6 2" xfId="1301"/>
    <cellStyle name="Comma 4 2 7" xfId="467"/>
    <cellStyle name="Comma 4 2 7 2" xfId="1302"/>
    <cellStyle name="Comma 4 2 8" xfId="468"/>
    <cellStyle name="Comma 4 2 9" xfId="469"/>
    <cellStyle name="Comma 4 2_1-BOQ" xfId="470"/>
    <cellStyle name="Comma 4 3" xfId="471"/>
    <cellStyle name="Comma 4 3 2" xfId="472"/>
    <cellStyle name="Comma 4 3 2 2" xfId="1303"/>
    <cellStyle name="Comma 4 3 3" xfId="473"/>
    <cellStyle name="Comma 4 3 4" xfId="474"/>
    <cellStyle name="Comma 4 3 5" xfId="475"/>
    <cellStyle name="Comma 4 4" xfId="476"/>
    <cellStyle name="Comma 4 4 2" xfId="477"/>
    <cellStyle name="Comma 4 4 3" xfId="478"/>
    <cellStyle name="Comma 4 4 4" xfId="479"/>
    <cellStyle name="Comma 4 5" xfId="480"/>
    <cellStyle name="Comma 4 5 2" xfId="1304"/>
    <cellStyle name="Comma 4 6" xfId="481"/>
    <cellStyle name="Comma 4 6 2" xfId="1305"/>
    <cellStyle name="Comma 4 7" xfId="482"/>
    <cellStyle name="Comma 4 7 2" xfId="1306"/>
    <cellStyle name="Comma 4 8" xfId="483"/>
    <cellStyle name="Comma 4 8 2" xfId="1307"/>
    <cellStyle name="Comma 4 9" xfId="484"/>
    <cellStyle name="Comma 4 9 2" xfId="1308"/>
    <cellStyle name="Comma 4_POSKESDES Ds. Lhok Keutapang Tangse" xfId="485"/>
    <cellStyle name="Comma 40" xfId="486"/>
    <cellStyle name="Comma 40 2" xfId="1309"/>
    <cellStyle name="Comma 41" xfId="487"/>
    <cellStyle name="Comma 42" xfId="488"/>
    <cellStyle name="Comma 43" xfId="489"/>
    <cellStyle name="Comma 44" xfId="490"/>
    <cellStyle name="Comma 45" xfId="491"/>
    <cellStyle name="Comma 45 2" xfId="1310"/>
    <cellStyle name="Comma 46" xfId="492"/>
    <cellStyle name="Comma 47" xfId="493"/>
    <cellStyle name="Comma 48" xfId="494"/>
    <cellStyle name="Comma 49" xfId="495"/>
    <cellStyle name="Comma 5" xfId="496"/>
    <cellStyle name="Comma 5 2" xfId="497"/>
    <cellStyle name="Comma 5 2 2" xfId="498"/>
    <cellStyle name="Comma 5 2 3" xfId="499"/>
    <cellStyle name="Comma 5 2 4" xfId="500"/>
    <cellStyle name="Comma 5 3" xfId="501"/>
    <cellStyle name="Comma 5 3 2" xfId="502"/>
    <cellStyle name="Comma 5 3 3" xfId="503"/>
    <cellStyle name="Comma 5 3 4" xfId="504"/>
    <cellStyle name="Comma 5 4" xfId="505"/>
    <cellStyle name="Comma 5 4 2" xfId="1311"/>
    <cellStyle name="Comma 5 5" xfId="506"/>
    <cellStyle name="Comma 5 6" xfId="507"/>
    <cellStyle name="Comma 5 7" xfId="508"/>
    <cellStyle name="Comma 50" xfId="509"/>
    <cellStyle name="Comma 50 2" xfId="1312"/>
    <cellStyle name="Comma 51" xfId="510"/>
    <cellStyle name="Comma 52" xfId="511"/>
    <cellStyle name="Comma 52 2" xfId="1313"/>
    <cellStyle name="Comma 53" xfId="512"/>
    <cellStyle name="Comma 53 2" xfId="1314"/>
    <cellStyle name="Comma 54" xfId="513"/>
    <cellStyle name="Comma 54 2" xfId="1315"/>
    <cellStyle name="Comma 55" xfId="514"/>
    <cellStyle name="Comma 55 2" xfId="1316"/>
    <cellStyle name="Comma 56" xfId="515"/>
    <cellStyle name="Comma 56 2" xfId="1317"/>
    <cellStyle name="Comma 57" xfId="516"/>
    <cellStyle name="Comma 57 2" xfId="1318"/>
    <cellStyle name="Comma 58" xfId="517"/>
    <cellStyle name="Comma 58 2" xfId="1319"/>
    <cellStyle name="Comma 59" xfId="518"/>
    <cellStyle name="Comma 59 2" xfId="1320"/>
    <cellStyle name="Comma 6" xfId="519"/>
    <cellStyle name="Comma 6 2" xfId="520"/>
    <cellStyle name="Comma 6 2 2" xfId="521"/>
    <cellStyle name="Comma 6 2 2 2" xfId="1322"/>
    <cellStyle name="Comma 6 2 3" xfId="1321"/>
    <cellStyle name="Comma 6 3" xfId="522"/>
    <cellStyle name="Comma 6 3 2" xfId="1323"/>
    <cellStyle name="Comma 6 4" xfId="523"/>
    <cellStyle name="Comma 6 4 2" xfId="1324"/>
    <cellStyle name="Comma 6 5" xfId="524"/>
    <cellStyle name="Comma 6 6" xfId="525"/>
    <cellStyle name="Comma 6 7" xfId="526"/>
    <cellStyle name="Comma 60" xfId="527"/>
    <cellStyle name="Comma 60 2" xfId="1325"/>
    <cellStyle name="Comma 61" xfId="528"/>
    <cellStyle name="Comma 61 2" xfId="1326"/>
    <cellStyle name="Comma 62" xfId="529"/>
    <cellStyle name="Comma 62 2" xfId="1327"/>
    <cellStyle name="Comma 63" xfId="530"/>
    <cellStyle name="Comma 63 2" xfId="1328"/>
    <cellStyle name="Comma 64" xfId="531"/>
    <cellStyle name="Comma 64 2" xfId="1329"/>
    <cellStyle name="Comma 65" xfId="532"/>
    <cellStyle name="Comma 65 2" xfId="1330"/>
    <cellStyle name="Comma 66" xfId="533"/>
    <cellStyle name="Comma 66 2" xfId="1331"/>
    <cellStyle name="Comma 67" xfId="534"/>
    <cellStyle name="Comma 67 2" xfId="1332"/>
    <cellStyle name="Comma 68" xfId="535"/>
    <cellStyle name="Comma 68 2" xfId="1333"/>
    <cellStyle name="Comma 69" xfId="536"/>
    <cellStyle name="Comma 69 2" xfId="1334"/>
    <cellStyle name="Comma 7" xfId="537"/>
    <cellStyle name="Comma 7 2" xfId="538"/>
    <cellStyle name="Comma 7 2 2" xfId="539"/>
    <cellStyle name="Comma 7 2 3" xfId="540"/>
    <cellStyle name="Comma 7 2 4" xfId="541"/>
    <cellStyle name="Comma 7 3" xfId="542"/>
    <cellStyle name="Comma 7 3 2" xfId="1335"/>
    <cellStyle name="Comma 7 4" xfId="543"/>
    <cellStyle name="Comma 7 5" xfId="544"/>
    <cellStyle name="Comma 7 6" xfId="545"/>
    <cellStyle name="Comma 7 7" xfId="546"/>
    <cellStyle name="Comma 7 8" xfId="547"/>
    <cellStyle name="Comma 70" xfId="548"/>
    <cellStyle name="Comma 70 2" xfId="1336"/>
    <cellStyle name="Comma 71" xfId="549"/>
    <cellStyle name="Comma 72" xfId="550"/>
    <cellStyle name="Comma 8" xfId="551"/>
    <cellStyle name="Comma 8 2" xfId="552"/>
    <cellStyle name="Comma 8 3" xfId="553"/>
    <cellStyle name="Comma 8 4" xfId="554"/>
    <cellStyle name="Comma 9" xfId="555"/>
    <cellStyle name="Comma 9 2" xfId="556"/>
    <cellStyle name="Comma 9 2 2" xfId="1338"/>
    <cellStyle name="Comma 9 3" xfId="1337"/>
    <cellStyle name="Comma0" xfId="557"/>
    <cellStyle name="Comma0 2" xfId="558"/>
    <cellStyle name="Comma0 2 2" xfId="559"/>
    <cellStyle name="Comma0 2 2 2" xfId="1339"/>
    <cellStyle name="Comma0 2 3" xfId="560"/>
    <cellStyle name="Comma0 2 4" xfId="561"/>
    <cellStyle name="Comma0 2 5" xfId="562"/>
    <cellStyle name="Comma0 3" xfId="563"/>
    <cellStyle name="Comma0 3 2" xfId="564"/>
    <cellStyle name="Comma0 3 2 2" xfId="1340"/>
    <cellStyle name="Comma0 3 3" xfId="565"/>
    <cellStyle name="Comma0 3 4" xfId="566"/>
    <cellStyle name="Comma0 3 5" xfId="567"/>
    <cellStyle name="Comma0 4" xfId="568"/>
    <cellStyle name="Comma0 4 2" xfId="1341"/>
    <cellStyle name="Comma0 5" xfId="569"/>
    <cellStyle name="Comma0 5 2" xfId="1342"/>
    <cellStyle name="Comma0 6" xfId="570"/>
    <cellStyle name="Comma0 6 2" xfId="1343"/>
    <cellStyle name="Comma0 7" xfId="571"/>
    <cellStyle name="Comma0 8" xfId="572"/>
    <cellStyle name="Comma0 9" xfId="573"/>
    <cellStyle name="Copied" xfId="574"/>
    <cellStyle name="Ctrrency [0]_pldt_3_BOOK1" xfId="575"/>
    <cellStyle name="Currency [0] 2" xfId="576"/>
    <cellStyle name="Currency [0] 2 2" xfId="577"/>
    <cellStyle name="Currency [0] 2 3" xfId="578"/>
    <cellStyle name="Currency [0] 2 4" xfId="579"/>
    <cellStyle name="Currency [0] 3" xfId="580"/>
    <cellStyle name="Currency [0] 3 2" xfId="1344"/>
    <cellStyle name="Currency [0] 4" xfId="581"/>
    <cellStyle name="Currency [0] 4 2" xfId="582"/>
    <cellStyle name="Currency [0] 4 2 2" xfId="1346"/>
    <cellStyle name="Currency [0] 4 3" xfId="583"/>
    <cellStyle name="Currency [0] 4 3 2" xfId="584"/>
    <cellStyle name="Currency [0] 4 3 2 2" xfId="1348"/>
    <cellStyle name="Currency [0] 4 3 3" xfId="1347"/>
    <cellStyle name="Currency [0] 4 4" xfId="1345"/>
    <cellStyle name="Currency [0] 5" xfId="585"/>
    <cellStyle name="Currency [0] 6" xfId="586"/>
    <cellStyle name="Currency [0] 6 2" xfId="587"/>
    <cellStyle name="Currency [0] 6 2 2" xfId="588"/>
    <cellStyle name="Currency [0] 6 3" xfId="1349"/>
    <cellStyle name="Currency 2" xfId="589"/>
    <cellStyle name="Currency 2 2" xfId="590"/>
    <cellStyle name="Currency 2 3" xfId="591"/>
    <cellStyle name="Currency 2 4" xfId="592"/>
    <cellStyle name="Currency 3" xfId="593"/>
    <cellStyle name="Currency 3 2" xfId="594"/>
    <cellStyle name="Currency 3 3" xfId="595"/>
    <cellStyle name="Currency 3 4" xfId="596"/>
    <cellStyle name="Currency0" xfId="597"/>
    <cellStyle name="Currency0 2" xfId="598"/>
    <cellStyle name="Currency0 2 2" xfId="599"/>
    <cellStyle name="Currency0 2 2 2" xfId="1350"/>
    <cellStyle name="Currency0 2 3" xfId="600"/>
    <cellStyle name="Currency0 2 4" xfId="601"/>
    <cellStyle name="Currency0 2 5" xfId="602"/>
    <cellStyle name="Currency0 3" xfId="603"/>
    <cellStyle name="Currency0 3 2" xfId="604"/>
    <cellStyle name="Currency0 3 2 2" xfId="1351"/>
    <cellStyle name="Currency0 3 3" xfId="605"/>
    <cellStyle name="Currency0 3 4" xfId="606"/>
    <cellStyle name="Currency0 3 5" xfId="607"/>
    <cellStyle name="Currency0 4" xfId="608"/>
    <cellStyle name="Currency0 4 2" xfId="1352"/>
    <cellStyle name="Currency0 5" xfId="609"/>
    <cellStyle name="Currency0 5 2" xfId="1353"/>
    <cellStyle name="Currency0 6" xfId="610"/>
    <cellStyle name="Currency0 6 2" xfId="1354"/>
    <cellStyle name="Currency0 7" xfId="611"/>
    <cellStyle name="Currency0 8" xfId="612"/>
    <cellStyle name="Currency0 9" xfId="613"/>
    <cellStyle name="Custom - Style8" xfId="614"/>
    <cellStyle name="Data   - Style2" xfId="615"/>
    <cellStyle name="Date" xfId="616"/>
    <cellStyle name="Date 10" xfId="617"/>
    <cellStyle name="Date 10 2" xfId="1356"/>
    <cellStyle name="Date 11" xfId="618"/>
    <cellStyle name="Date 11 2" xfId="1357"/>
    <cellStyle name="Date 12" xfId="619"/>
    <cellStyle name="Date 12 2" xfId="1358"/>
    <cellStyle name="DATE 13" xfId="620"/>
    <cellStyle name="DATE 13 2" xfId="1359"/>
    <cellStyle name="DATE 14" xfId="621"/>
    <cellStyle name="DATE 14 2" xfId="1360"/>
    <cellStyle name="DATE 15" xfId="622"/>
    <cellStyle name="DATE 15 2" xfId="1361"/>
    <cellStyle name="DATE 16" xfId="623"/>
    <cellStyle name="DATE 16 2" xfId="1362"/>
    <cellStyle name="Date 17" xfId="624"/>
    <cellStyle name="Date 18" xfId="625"/>
    <cellStyle name="Date 19" xfId="626"/>
    <cellStyle name="Date 2" xfId="627"/>
    <cellStyle name="DATE 2 2" xfId="628"/>
    <cellStyle name="DATE 2 2 2" xfId="1364"/>
    <cellStyle name="Date 2 3" xfId="629"/>
    <cellStyle name="Date 2 4" xfId="630"/>
    <cellStyle name="Date 2 5" xfId="631"/>
    <cellStyle name="Date 2 6" xfId="1363"/>
    <cellStyle name="Date 20" xfId="1355"/>
    <cellStyle name="Date 3" xfId="632"/>
    <cellStyle name="DATE 3 2" xfId="633"/>
    <cellStyle name="DATE 3 2 2" xfId="1366"/>
    <cellStyle name="Date 3 3" xfId="634"/>
    <cellStyle name="Date 3 4" xfId="635"/>
    <cellStyle name="Date 3 5" xfId="636"/>
    <cellStyle name="Date 3 6" xfId="1365"/>
    <cellStyle name="Date 4" xfId="637"/>
    <cellStyle name="DATE 4 2" xfId="638"/>
    <cellStyle name="DATE 4 2 2" xfId="1368"/>
    <cellStyle name="Date 4 3" xfId="1367"/>
    <cellStyle name="DATE 5" xfId="639"/>
    <cellStyle name="DATE 5 2" xfId="1369"/>
    <cellStyle name="DATE 6" xfId="640"/>
    <cellStyle name="DATE 6 2" xfId="1370"/>
    <cellStyle name="DATE 7" xfId="641"/>
    <cellStyle name="DATE 7 2" xfId="1371"/>
    <cellStyle name="DATE 8" xfId="642"/>
    <cellStyle name="DATE 8 2" xfId="1372"/>
    <cellStyle name="Date 9" xfId="643"/>
    <cellStyle name="Date 9 2" xfId="1373"/>
    <cellStyle name="DATE_2 - RAB-PAJAK MEDAN - 2009 (ME) - r2 -PP" xfId="644"/>
    <cellStyle name="date1" xfId="645"/>
    <cellStyle name="date1 2" xfId="646"/>
    <cellStyle name="date1 2 2" xfId="1375"/>
    <cellStyle name="date1 3" xfId="647"/>
    <cellStyle name="date1 3 2" xfId="1376"/>
    <cellStyle name="date1 4" xfId="648"/>
    <cellStyle name="date1 4 2" xfId="1377"/>
    <cellStyle name="date1 5" xfId="649"/>
    <cellStyle name="date1 5 2" xfId="1378"/>
    <cellStyle name="date1 6" xfId="650"/>
    <cellStyle name="date1 6 2" xfId="1379"/>
    <cellStyle name="date1 7" xfId="1374"/>
    <cellStyle name="date1_2 - RAB-PAJAK MEDAN - 2009 (ME) - r2 -PP" xfId="651"/>
    <cellStyle name="Description" xfId="652"/>
    <cellStyle name="Description 2" xfId="653"/>
    <cellStyle name="Description 3" xfId="654"/>
    <cellStyle name="Description 4" xfId="655"/>
    <cellStyle name="Description 5" xfId="656"/>
    <cellStyle name="Description 6" xfId="657"/>
    <cellStyle name="Description_2 - RAB-PAJAK MEDAN - 2009 (ME) - r2 -PP" xfId="658"/>
    <cellStyle name="Dezimal [0]_hcl-Tank (GB)" xfId="659"/>
    <cellStyle name="Dezimal_hcl-Tank (GB)" xfId="660"/>
    <cellStyle name="DUA" xfId="661"/>
    <cellStyle name="DUA 2" xfId="662"/>
    <cellStyle name="DUA 2 2" xfId="1381"/>
    <cellStyle name="DUA 3" xfId="663"/>
    <cellStyle name="DUA 3 2" xfId="1382"/>
    <cellStyle name="DUA 4" xfId="1380"/>
    <cellStyle name="Emphasis 1" xfId="664"/>
    <cellStyle name="Emphasis 1 2" xfId="1383"/>
    <cellStyle name="Emphasis 2" xfId="665"/>
    <cellStyle name="Emphasis 2 2" xfId="1384"/>
    <cellStyle name="Emphasis 3" xfId="666"/>
    <cellStyle name="Emphasis 3 2" xfId="1385"/>
    <cellStyle name="Entered" xfId="667"/>
    <cellStyle name="Euro" xfId="668"/>
    <cellStyle name="Euro 2" xfId="669"/>
    <cellStyle name="Euro 2 2" xfId="1387"/>
    <cellStyle name="Euro 3" xfId="670"/>
    <cellStyle name="Euro 3 2" xfId="1388"/>
    <cellStyle name="Euro 4" xfId="1386"/>
    <cellStyle name="Explanatory Text 2" xfId="671"/>
    <cellStyle name="ƒ" xfId="672"/>
    <cellStyle name="ƒ_RAB Electonic01" xfId="673"/>
    <cellStyle name="F2" xfId="674"/>
    <cellStyle name="F3" xfId="675"/>
    <cellStyle name="F4" xfId="676"/>
    <cellStyle name="F5" xfId="677"/>
    <cellStyle name="F6" xfId="678"/>
    <cellStyle name="F7" xfId="679"/>
    <cellStyle name="F8" xfId="680"/>
    <cellStyle name="Fixed" xfId="681"/>
    <cellStyle name="Fixed 10" xfId="682"/>
    <cellStyle name="Fixed 11" xfId="683"/>
    <cellStyle name="Fixed 2" xfId="684"/>
    <cellStyle name="Fixed 2 2" xfId="685"/>
    <cellStyle name="Fixed 2 2 2" xfId="1389"/>
    <cellStyle name="Fixed 2 3" xfId="686"/>
    <cellStyle name="Fixed 2 4" xfId="687"/>
    <cellStyle name="Fixed 2 5" xfId="688"/>
    <cellStyle name="Fixed 3" xfId="689"/>
    <cellStyle name="Fixed 3 2" xfId="690"/>
    <cellStyle name="Fixed 3 2 2" xfId="1390"/>
    <cellStyle name="Fixed 3 3" xfId="691"/>
    <cellStyle name="Fixed 3 4" xfId="692"/>
    <cellStyle name="Fixed 3 5" xfId="693"/>
    <cellStyle name="Fixed 4" xfId="694"/>
    <cellStyle name="Fixed 4 2" xfId="695"/>
    <cellStyle name="Fixed 4 2 2" xfId="1392"/>
    <cellStyle name="Fixed 4 3" xfId="1391"/>
    <cellStyle name="Fixed 5" xfId="696"/>
    <cellStyle name="Fixed 5 2" xfId="1393"/>
    <cellStyle name="Fixed 6" xfId="697"/>
    <cellStyle name="Fixed 6 2" xfId="1394"/>
    <cellStyle name="Fixed 7" xfId="698"/>
    <cellStyle name="Fixed 7 2" xfId="1395"/>
    <cellStyle name="Fixed 8" xfId="699"/>
    <cellStyle name="Fixed 8 2" xfId="1396"/>
    <cellStyle name="Fixed 9" xfId="700"/>
    <cellStyle name="Fixed_2 - RAB-PAJAK MEDAN - 2009 (ME) - r2 -PP" xfId="701"/>
    <cellStyle name="Good 2" xfId="702"/>
    <cellStyle name="Grey" xfId="703"/>
    <cellStyle name="GTT%" xfId="704"/>
    <cellStyle name="GTT% 2" xfId="705"/>
    <cellStyle name="GTT% 2 2" xfId="1398"/>
    <cellStyle name="GTT% 3" xfId="706"/>
    <cellStyle name="GTT% 3 2" xfId="1399"/>
    <cellStyle name="GTT% 4" xfId="707"/>
    <cellStyle name="GTT% 4 2" xfId="1400"/>
    <cellStyle name="GTT% 5" xfId="708"/>
    <cellStyle name="GTT% 5 2" xfId="1401"/>
    <cellStyle name="GTT% 6" xfId="709"/>
    <cellStyle name="GTT% 6 2" xfId="1402"/>
    <cellStyle name="GTT% 7" xfId="1397"/>
    <cellStyle name="GTT%_2 - RAB-PAJAK MEDAN - 2009 (ME) - r2 -PP" xfId="710"/>
    <cellStyle name="Header - Style1" xfId="711"/>
    <cellStyle name="Header1" xfId="712"/>
    <cellStyle name="Header2" xfId="713"/>
    <cellStyle name="Header2 2" xfId="714"/>
    <cellStyle name="Header2 3" xfId="715"/>
    <cellStyle name="Heading" xfId="716"/>
    <cellStyle name="Heading 1 2" xfId="717"/>
    <cellStyle name="Heading 1 2 2" xfId="718"/>
    <cellStyle name="Heading 1 2 3" xfId="719"/>
    <cellStyle name="Heading 1 3" xfId="720"/>
    <cellStyle name="Heading 1 4" xfId="721"/>
    <cellStyle name="Heading 1 5" xfId="722"/>
    <cellStyle name="Heading 1 6" xfId="723"/>
    <cellStyle name="Heading 1 7" xfId="724"/>
    <cellStyle name="Heading 1 8" xfId="725"/>
    <cellStyle name="Heading 1 9" xfId="726"/>
    <cellStyle name="Heading 1 9 2" xfId="1403"/>
    <cellStyle name="Heading 2 2" xfId="727"/>
    <cellStyle name="Heading 2 2 2" xfId="728"/>
    <cellStyle name="Heading 2 2 3" xfId="729"/>
    <cellStyle name="Heading 2 3" xfId="730"/>
    <cellStyle name="Heading 2 4" xfId="731"/>
    <cellStyle name="Heading 2 5" xfId="732"/>
    <cellStyle name="Heading 2 6" xfId="733"/>
    <cellStyle name="Heading 2 7" xfId="734"/>
    <cellStyle name="Heading 2 8" xfId="735"/>
    <cellStyle name="Heading 2 9" xfId="736"/>
    <cellStyle name="Heading 2 9 2" xfId="1404"/>
    <cellStyle name="Heading 3 2" xfId="737"/>
    <cellStyle name="Heading 4 2" xfId="738"/>
    <cellStyle name="Heading1" xfId="739"/>
    <cellStyle name="Heading1 2" xfId="740"/>
    <cellStyle name="Heading2" xfId="741"/>
    <cellStyle name="Heading2 2" xfId="742"/>
    <cellStyle name="HEADINGS" xfId="743"/>
    <cellStyle name="HEADINGSTOP" xfId="744"/>
    <cellStyle name="Input [yellow]" xfId="745"/>
    <cellStyle name="Input 2" xfId="746"/>
    <cellStyle name="Input 3" xfId="747"/>
    <cellStyle name="Input 4" xfId="748"/>
    <cellStyle name="Judul" xfId="749"/>
    <cellStyle name="Keluaran" xfId="750"/>
    <cellStyle name="Keluaran 2" xfId="751"/>
    <cellStyle name="Keluaran 3" xfId="752"/>
    <cellStyle name="Koma [0] 2" xfId="753"/>
    <cellStyle name="Koma [0] 2 2" xfId="754"/>
    <cellStyle name="Koma [0] 2 3" xfId="755"/>
    <cellStyle name="Koma [0] 2 4" xfId="756"/>
    <cellStyle name="Koma 2" xfId="757"/>
    <cellStyle name="Koma 2 2" xfId="758"/>
    <cellStyle name="Koma 2 3" xfId="759"/>
    <cellStyle name="Koma 2 4" xfId="760"/>
    <cellStyle name="kop" xfId="761"/>
    <cellStyle name="Labels - Style3" xfId="762"/>
    <cellStyle name="Linked Cell 2" xfId="763"/>
    <cellStyle name="Linked Cell 2 2" xfId="1405"/>
    <cellStyle name="m" xfId="764"/>
    <cellStyle name="m 2" xfId="765"/>
    <cellStyle name="m 3" xfId="766"/>
    <cellStyle name="m 4" xfId="767"/>
    <cellStyle name="m 5" xfId="768"/>
    <cellStyle name="m 6" xfId="769"/>
    <cellStyle name="m_Analisa_RAPK_SAMPOERNA" xfId="770"/>
    <cellStyle name="m_Analisa_RAPK_SAMPOERNA_EE KPP Tahap III Rev Krm" xfId="771"/>
    <cellStyle name="m_Analisa_RAPK_SAMPOERNA_RC ME -1.340.505.950" xfId="772"/>
    <cellStyle name="m_BTL_Salemba_18_nop 2005  basement for prelim (version 2)" xfId="773"/>
    <cellStyle name="m_EE KPP Tahap III Rev Krm" xfId="774"/>
    <cellStyle name="m_FINALISASI MARUDA" xfId="775"/>
    <cellStyle name="m_FINALISASI MARUDA_EE KPP Tahap III Rev Krm" xfId="776"/>
    <cellStyle name="m_FINALISASI MARUDA_RC ME -1.340.505.950" xfId="777"/>
    <cellStyle name="m_REAL COST   SEKOLAH - RHESA-06  (18-12-06) FINAL VERSI - 3" xfId="778"/>
    <cellStyle name="m_REAL COST   SEKOLAH - RHESA-06  (18-12-06) FINAL VERSI - 3_EE KPP Tahap III Rev Krm" xfId="779"/>
    <cellStyle name="m_REAL COST   SEKOLAH - RHESA-06  (18-12-06) FINAL VERSI - 3_RC ME -1.340.505.950" xfId="780"/>
    <cellStyle name="Masukan" xfId="781"/>
    <cellStyle name="Masukan 2" xfId="782"/>
    <cellStyle name="Masukan 3" xfId="783"/>
    <cellStyle name="Mata Uang 2" xfId="784"/>
    <cellStyle name="Mata Uang 2 2" xfId="785"/>
    <cellStyle name="Mata Uang 2 3" xfId="786"/>
    <cellStyle name="Mata Uang 2 4" xfId="787"/>
    <cellStyle name="Milliers [0]_AR1194" xfId="788"/>
    <cellStyle name="Milliers_AR1194" xfId="789"/>
    <cellStyle name="Monétaire [0]_AR1194" xfId="790"/>
    <cellStyle name="Monétaire_AR1194" xfId="791"/>
    <cellStyle name="Netral" xfId="792"/>
    <cellStyle name="Neutral 2" xfId="793"/>
    <cellStyle name="no dec" xfId="794"/>
    <cellStyle name="Normal" xfId="0" builtinId="0"/>
    <cellStyle name="Normal - Style1" xfId="795"/>
    <cellStyle name="Normal - Style1 2" xfId="796"/>
    <cellStyle name="Normal - Style1 3" xfId="797"/>
    <cellStyle name="Normal - Style1 4" xfId="798"/>
    <cellStyle name="Normal - Style1 5" xfId="799"/>
    <cellStyle name="Normal - Style1 6" xfId="800"/>
    <cellStyle name="Normal - Style2" xfId="801"/>
    <cellStyle name="Normal - Style2 2" xfId="802"/>
    <cellStyle name="Normal - Style3" xfId="803"/>
    <cellStyle name="Normal - Style3 2" xfId="804"/>
    <cellStyle name="Normal - Style4" xfId="805"/>
    <cellStyle name="Normal - Style5" xfId="806"/>
    <cellStyle name="Normal - Style6" xfId="807"/>
    <cellStyle name="Normal - Style7" xfId="808"/>
    <cellStyle name="Normal - Style8" xfId="809"/>
    <cellStyle name="Normal 10" xfId="810"/>
    <cellStyle name="Normal 11" xfId="811"/>
    <cellStyle name="Normal 12" xfId="812"/>
    <cellStyle name="Normal 12 2" xfId="813"/>
    <cellStyle name="Normal 12 2 2" xfId="1407"/>
    <cellStyle name="Normal 12 3" xfId="1406"/>
    <cellStyle name="Normal 13" xfId="814"/>
    <cellStyle name="Normal 13 2" xfId="815"/>
    <cellStyle name="Normal 13 2 2" xfId="1408"/>
    <cellStyle name="Normal 13 3" xfId="816"/>
    <cellStyle name="Normal 14" xfId="817"/>
    <cellStyle name="Normal 14 2" xfId="818"/>
    <cellStyle name="Normal 14 2 2" xfId="1409"/>
    <cellStyle name="Normal 14 3" xfId="819"/>
    <cellStyle name="Normal 14 3 2" xfId="820"/>
    <cellStyle name="Normal 14 3 2 2" xfId="1411"/>
    <cellStyle name="Normal 14 3 3" xfId="1410"/>
    <cellStyle name="Normal 15" xfId="821"/>
    <cellStyle name="Normal 15 2" xfId="822"/>
    <cellStyle name="Normal 15 3" xfId="823"/>
    <cellStyle name="Normal 15 3 2" xfId="824"/>
    <cellStyle name="Normal 15 3 2 2" xfId="1413"/>
    <cellStyle name="Normal 15 3 3" xfId="1412"/>
    <cellStyle name="Normal 16" xfId="825"/>
    <cellStyle name="Normal 16 2" xfId="826"/>
    <cellStyle name="Normal 16 3" xfId="827"/>
    <cellStyle name="Normal 16 3 2" xfId="828"/>
    <cellStyle name="Normal 17" xfId="829"/>
    <cellStyle name="Normal 17 2" xfId="830"/>
    <cellStyle name="Normal 17 3" xfId="831"/>
    <cellStyle name="Normal 17 3 2" xfId="832"/>
    <cellStyle name="Normal 18" xfId="833"/>
    <cellStyle name="Normal 18 2" xfId="834"/>
    <cellStyle name="Normal 18 3" xfId="835"/>
    <cellStyle name="Normal 18 3 2" xfId="836"/>
    <cellStyle name="Normal 19" xfId="837"/>
    <cellStyle name="Normal 19 2" xfId="838"/>
    <cellStyle name="Normal 19 3" xfId="839"/>
    <cellStyle name="Normal 19 3 2" xfId="840"/>
    <cellStyle name="Normal 2" xfId="841"/>
    <cellStyle name="Normal 2 10" xfId="842"/>
    <cellStyle name="Normal 2 10 2" xfId="1414"/>
    <cellStyle name="Normal 2 11" xfId="843"/>
    <cellStyle name="Normal 2 12" xfId="844"/>
    <cellStyle name="Normal 2 12 2" xfId="845"/>
    <cellStyle name="Normal 2 13" xfId="846"/>
    <cellStyle name="Normal 2 14" xfId="847"/>
    <cellStyle name="Normal 2 15" xfId="848"/>
    <cellStyle name="Normal 2 16" xfId="849"/>
    <cellStyle name="Normal 2 2" xfId="850"/>
    <cellStyle name="Normal 2 2 10" xfId="851"/>
    <cellStyle name="Normal 2 2 11" xfId="852"/>
    <cellStyle name="Normal 2 2 12" xfId="853"/>
    <cellStyle name="Normal 2 2 13" xfId="854"/>
    <cellStyle name="Normal 2 2 14" xfId="855"/>
    <cellStyle name="Normal 2 2 15" xfId="856"/>
    <cellStyle name="Normal 2 2 16" xfId="857"/>
    <cellStyle name="Normal 2 2 17" xfId="858"/>
    <cellStyle name="Normal 2 2 18" xfId="859"/>
    <cellStyle name="Normal 2 2 19" xfId="860"/>
    <cellStyle name="Normal 2 2 2" xfId="861"/>
    <cellStyle name="Normal 2 2 2 2" xfId="1415"/>
    <cellStyle name="Normal 2 2 3" xfId="862"/>
    <cellStyle name="Normal 2 2 4" xfId="863"/>
    <cellStyle name="Normal 2 2 5" xfId="864"/>
    <cellStyle name="Normal 2 2 6" xfId="865"/>
    <cellStyle name="Normal 2 2 7" xfId="866"/>
    <cellStyle name="Normal 2 2 8" xfId="867"/>
    <cellStyle name="Normal 2 2 9" xfId="868"/>
    <cellStyle name="Normal 2 2_harga satuan MKSR" xfId="869"/>
    <cellStyle name="Normal 2 3" xfId="870"/>
    <cellStyle name="Normal 2 3 2" xfId="871"/>
    <cellStyle name="Normal 2 3 3" xfId="872"/>
    <cellStyle name="Normal 2 3 4" xfId="873"/>
    <cellStyle name="Normal 2 3 5" xfId="874"/>
    <cellStyle name="Normal 2 4" xfId="875"/>
    <cellStyle name="Normal 2 4 2" xfId="876"/>
    <cellStyle name="Normal 2 4 3" xfId="877"/>
    <cellStyle name="Normal 2 4 4" xfId="878"/>
    <cellStyle name="Normal 2 5" xfId="879"/>
    <cellStyle name="Normal 2 5 2" xfId="880"/>
    <cellStyle name="Normal 2 5 3" xfId="881"/>
    <cellStyle name="Normal 2 5 4" xfId="882"/>
    <cellStyle name="Normal 2 6" xfId="883"/>
    <cellStyle name="Normal 2 6 2" xfId="884"/>
    <cellStyle name="Normal 2 6 3" xfId="885"/>
    <cellStyle name="Normal 2 6 4" xfId="886"/>
    <cellStyle name="Normal 2 7" xfId="887"/>
    <cellStyle name="Normal 2 7 2" xfId="888"/>
    <cellStyle name="Normal 2 7 3" xfId="889"/>
    <cellStyle name="Normal 2 7 4" xfId="890"/>
    <cellStyle name="Normal 2 8" xfId="891"/>
    <cellStyle name="Normal 2 8 2" xfId="892"/>
    <cellStyle name="Normal 2 8 3" xfId="893"/>
    <cellStyle name="Normal 2 8 4" xfId="894"/>
    <cellStyle name="Normal 2 9" xfId="895"/>
    <cellStyle name="Normal 2 9 2" xfId="896"/>
    <cellStyle name="Normal 2 9 3" xfId="897"/>
    <cellStyle name="Normal 2 9 4" xfId="898"/>
    <cellStyle name="Normal 2_1-BOQ." xfId="899"/>
    <cellStyle name="Normal 20" xfId="900"/>
    <cellStyle name="Normal 20 2" xfId="901"/>
    <cellStyle name="Normal 20 2 2" xfId="1416"/>
    <cellStyle name="Normal 21" xfId="902"/>
    <cellStyle name="Normal 21 2" xfId="903"/>
    <cellStyle name="Normal 21 2 2" xfId="1418"/>
    <cellStyle name="Normal 21 3" xfId="1417"/>
    <cellStyle name="Normal 22" xfId="904"/>
    <cellStyle name="Normal 22 2" xfId="1419"/>
    <cellStyle name="Normal 23" xfId="905"/>
    <cellStyle name="Normal 23 2" xfId="906"/>
    <cellStyle name="Normal 24" xfId="907"/>
    <cellStyle name="Normal 24 2" xfId="908"/>
    <cellStyle name="Normal 24 3" xfId="909"/>
    <cellStyle name="Normal 24 3 2" xfId="910"/>
    <cellStyle name="Normal 25" xfId="911"/>
    <cellStyle name="Normal 26" xfId="912"/>
    <cellStyle name="Normal 27" xfId="913"/>
    <cellStyle name="Normal 27 2" xfId="1420"/>
    <cellStyle name="Normal 28" xfId="914"/>
    <cellStyle name="Normal 28 2" xfId="915"/>
    <cellStyle name="Normal 28 2 2" xfId="916"/>
    <cellStyle name="Normal 29" xfId="917"/>
    <cellStyle name="Normal 3" xfId="918"/>
    <cellStyle name="Normal 3 10" xfId="919"/>
    <cellStyle name="Normal 3 11" xfId="920"/>
    <cellStyle name="Normal 3 12" xfId="921"/>
    <cellStyle name="Normal 3 2" xfId="922"/>
    <cellStyle name="Normal 3 2 2" xfId="923"/>
    <cellStyle name="Normal 3 2 2 2" xfId="924"/>
    <cellStyle name="Normal 3 2 2 3" xfId="925"/>
    <cellStyle name="Normal 3 2 2 4" xfId="926"/>
    <cellStyle name="Normal 3 2 3" xfId="927"/>
    <cellStyle name="Normal 3 2 3 2" xfId="928"/>
    <cellStyle name="Normal 3 2 3 3" xfId="929"/>
    <cellStyle name="Normal 3 2 3 4" xfId="930"/>
    <cellStyle name="Normal 3 2 4" xfId="931"/>
    <cellStyle name="Normal 3 2 5" xfId="932"/>
    <cellStyle name="Normal 3 2 6" xfId="933"/>
    <cellStyle name="Normal 3 2 7" xfId="934"/>
    <cellStyle name="Normal 3 2 8" xfId="935"/>
    <cellStyle name="Normal 3 2_1-BOQ." xfId="936"/>
    <cellStyle name="Normal 3 3" xfId="937"/>
    <cellStyle name="Normal 3 3 2" xfId="938"/>
    <cellStyle name="Normal 3 3 3" xfId="939"/>
    <cellStyle name="Normal 3 3 4" xfId="940"/>
    <cellStyle name="Normal 3 3 5" xfId="941"/>
    <cellStyle name="Normal 3 4" xfId="942"/>
    <cellStyle name="Normal 3 4 2" xfId="943"/>
    <cellStyle name="Normal 3 4 3" xfId="944"/>
    <cellStyle name="Normal 3 4 4" xfId="945"/>
    <cellStyle name="Normal 3 4 5" xfId="946"/>
    <cellStyle name="Normal 3 5" xfId="947"/>
    <cellStyle name="Normal 3 6" xfId="948"/>
    <cellStyle name="Normal 3 7" xfId="949"/>
    <cellStyle name="Normal 3 8" xfId="950"/>
    <cellStyle name="Normal 3 9" xfId="951"/>
    <cellStyle name="Normal 3_1-BOQ." xfId="952"/>
    <cellStyle name="Normal 30" xfId="953"/>
    <cellStyle name="Normal 31" xfId="954"/>
    <cellStyle name="Normal 32" xfId="955"/>
    <cellStyle name="Normal 33" xfId="956"/>
    <cellStyle name="Normal 34" xfId="957"/>
    <cellStyle name="Normal 35" xfId="958"/>
    <cellStyle name="Normal 36" xfId="959"/>
    <cellStyle name="Normal 36 2" xfId="960"/>
    <cellStyle name="Normal 37" xfId="961"/>
    <cellStyle name="Normal 38" xfId="962"/>
    <cellStyle name="Normal 39" xfId="963"/>
    <cellStyle name="Normal 4" xfId="964"/>
    <cellStyle name="Normal 4 2" xfId="965"/>
    <cellStyle name="Normal 4 2 2" xfId="966"/>
    <cellStyle name="Normal 4 2 3" xfId="967"/>
    <cellStyle name="Normal 4 2 4" xfId="968"/>
    <cellStyle name="Normal 4 2 5" xfId="969"/>
    <cellStyle name="Normal 4 3" xfId="970"/>
    <cellStyle name="Normal 4 3 2" xfId="971"/>
    <cellStyle name="Normal 4 3 3" xfId="972"/>
    <cellStyle name="Normal 4 3 4" xfId="973"/>
    <cellStyle name="Normal 4 4" xfId="974"/>
    <cellStyle name="Normal 4 4 2" xfId="975"/>
    <cellStyle name="Normal 4 4 3" xfId="976"/>
    <cellStyle name="Normal 4 4 4" xfId="977"/>
    <cellStyle name="Normal 4 5" xfId="978"/>
    <cellStyle name="Normal 4 6" xfId="979"/>
    <cellStyle name="Normal 4 7" xfId="980"/>
    <cellStyle name="Normal 4 8" xfId="981"/>
    <cellStyle name="Normal 4_1-BOQ." xfId="982"/>
    <cellStyle name="Normal 40" xfId="983"/>
    <cellStyle name="Normal 41" xfId="984"/>
    <cellStyle name="Normal 42" xfId="985"/>
    <cellStyle name="Normal 43" xfId="986"/>
    <cellStyle name="Normal 44" xfId="987"/>
    <cellStyle name="Normal 45" xfId="988"/>
    <cellStyle name="Normal 45 2" xfId="989"/>
    <cellStyle name="Normal 46" xfId="990"/>
    <cellStyle name="Normal 47" xfId="991"/>
    <cellStyle name="Normal 47 2" xfId="992"/>
    <cellStyle name="Normal 48" xfId="993"/>
    <cellStyle name="Normal 49" xfId="994"/>
    <cellStyle name="Normal 5" xfId="995"/>
    <cellStyle name="Normal 5 2" xfId="996"/>
    <cellStyle name="Normal 5 2 2" xfId="997"/>
    <cellStyle name="Normal 5 2 2 2" xfId="1421"/>
    <cellStyle name="Normal 5 2 3" xfId="998"/>
    <cellStyle name="Normal 5 2 4" xfId="999"/>
    <cellStyle name="Normal 5 2 5" xfId="1000"/>
    <cellStyle name="Normal 5 3" xfId="1001"/>
    <cellStyle name="Normal 5 3 2" xfId="1002"/>
    <cellStyle name="Normal 5 3 3" xfId="1003"/>
    <cellStyle name="Normal 5 3 4" xfId="1004"/>
    <cellStyle name="Normal 5 4" xfId="1005"/>
    <cellStyle name="Normal 5 5" xfId="1006"/>
    <cellStyle name="Normal 5 6" xfId="1007"/>
    <cellStyle name="Normal 5 7" xfId="1008"/>
    <cellStyle name="Normal 5_1-BOQ." xfId="1009"/>
    <cellStyle name="Normal 50" xfId="1010"/>
    <cellStyle name="Normal 51" xfId="1011"/>
    <cellStyle name="Normal 52" xfId="1012"/>
    <cellStyle name="Normal 52 2" xfId="1422"/>
    <cellStyle name="Normal 53" xfId="1013"/>
    <cellStyle name="Normal 54" xfId="1014"/>
    <cellStyle name="Normal 54 2" xfId="1423"/>
    <cellStyle name="Normal 55" xfId="1015"/>
    <cellStyle name="Normal 56" xfId="1016"/>
    <cellStyle name="Normal 56 2" xfId="1017"/>
    <cellStyle name="Normal 56 2 2" xfId="1018"/>
    <cellStyle name="Normal 57" xfId="1019"/>
    <cellStyle name="Normal 58" xfId="1020"/>
    <cellStyle name="Normal 59" xfId="1021"/>
    <cellStyle name="Normal 6" xfId="1022"/>
    <cellStyle name="Normal 6 2" xfId="1023"/>
    <cellStyle name="Normal 6 2 2" xfId="1024"/>
    <cellStyle name="Normal 6 2 3" xfId="1025"/>
    <cellStyle name="Normal 6 2 4" xfId="1026"/>
    <cellStyle name="Normal 6 3" xfId="1027"/>
    <cellStyle name="Normal 6 3 2" xfId="1028"/>
    <cellStyle name="Normal 6 3 3" xfId="1029"/>
    <cellStyle name="Normal 6 3 4" xfId="1030"/>
    <cellStyle name="Normal 6 4" xfId="1031"/>
    <cellStyle name="Normal 6 4 2" xfId="1424"/>
    <cellStyle name="Normal 6 5" xfId="1032"/>
    <cellStyle name="Normal 6 6" xfId="1033"/>
    <cellStyle name="Normal 6 7" xfId="1034"/>
    <cellStyle name="Normal 6_1-BOQ." xfId="1035"/>
    <cellStyle name="Normal 60" xfId="1036"/>
    <cellStyle name="Normal 7" xfId="1037"/>
    <cellStyle name="Normal 7 2" xfId="1038"/>
    <cellStyle name="Normal 7 2 2" xfId="1039"/>
    <cellStyle name="Normal 7 2 3" xfId="1040"/>
    <cellStyle name="Normal 7 2 4" xfId="1041"/>
    <cellStyle name="Normal 7 3" xfId="1042"/>
    <cellStyle name="Normal 7 4" xfId="1043"/>
    <cellStyle name="Normal 7 5" xfId="1044"/>
    <cellStyle name="Normal 7 6" xfId="1045"/>
    <cellStyle name="Normal 7_JS." xfId="1046"/>
    <cellStyle name="Normal 8" xfId="1047"/>
    <cellStyle name="Normal 8 2" xfId="1048"/>
    <cellStyle name="Normal 8 2 2" xfId="1049"/>
    <cellStyle name="Normal 8 2 3" xfId="1050"/>
    <cellStyle name="Normal 8 2 4" xfId="1051"/>
    <cellStyle name="Normal 8 3" xfId="1052"/>
    <cellStyle name="Normal 8 4" xfId="1053"/>
    <cellStyle name="Normal 8 5" xfId="1054"/>
    <cellStyle name="Normal 8 6" xfId="1055"/>
    <cellStyle name="Normal 8 7" xfId="1056"/>
    <cellStyle name="Normal 8_DINKES ACEH TAMIANG SNI" xfId="1057"/>
    <cellStyle name="Normal 9" xfId="1058"/>
    <cellStyle name="Normal 9 2" xfId="1059"/>
    <cellStyle name="Normal 9 2 2" xfId="1060"/>
    <cellStyle name="Normal 9 2 3" xfId="1061"/>
    <cellStyle name="Normal 9 2 4" xfId="1062"/>
    <cellStyle name="Normal 9 3" xfId="1063"/>
    <cellStyle name="Normal 9 4" xfId="1064"/>
    <cellStyle name="Normal 9 5" xfId="1065"/>
    <cellStyle name="Normal 9 6" xfId="1066"/>
    <cellStyle name="note 2" xfId="1067"/>
    <cellStyle name="Note 2 2" xfId="1068"/>
    <cellStyle name="note 3" xfId="1069"/>
    <cellStyle name="note 4" xfId="1070"/>
    <cellStyle name="note 5" xfId="1071"/>
    <cellStyle name="note 6" xfId="1072"/>
    <cellStyle name="Note 7" xfId="1073"/>
    <cellStyle name="Note 8" xfId="1074"/>
    <cellStyle name="Note 9" xfId="1075"/>
    <cellStyle name="Num-0" xfId="1076"/>
    <cellStyle name="Œ…‹æØ‚è [0.00]_BQ4" xfId="1077"/>
    <cellStyle name="Œ…‹æØ‚è_BQ4" xfId="1078"/>
    <cellStyle name="Output 2" xfId="1079"/>
    <cellStyle name="per.style" xfId="1080"/>
    <cellStyle name="Percent [2]" xfId="1081"/>
    <cellStyle name="Percent [2] 2" xfId="1425"/>
    <cellStyle name="Percent 10" xfId="1082"/>
    <cellStyle name="Percent 11" xfId="1083"/>
    <cellStyle name="Percent 12" xfId="1084"/>
    <cellStyle name="Percent 13" xfId="1085"/>
    <cellStyle name="Percent 14" xfId="1086"/>
    <cellStyle name="Percent 15" xfId="1087"/>
    <cellStyle name="Percent 16" xfId="1088"/>
    <cellStyle name="Percent 17" xfId="1089"/>
    <cellStyle name="Percent 18" xfId="1090"/>
    <cellStyle name="Percent 19" xfId="1091"/>
    <cellStyle name="Percent 2" xfId="1092"/>
    <cellStyle name="Percent 2 2" xfId="1093"/>
    <cellStyle name="Percent 2 2 2" xfId="1426"/>
    <cellStyle name="Percent 2 3" xfId="1094"/>
    <cellStyle name="Percent 2 4" xfId="1095"/>
    <cellStyle name="Percent 2 5" xfId="1096"/>
    <cellStyle name="Percent 20" xfId="1097"/>
    <cellStyle name="Percent 21" xfId="1098"/>
    <cellStyle name="Percent 22" xfId="1099"/>
    <cellStyle name="Percent 23" xfId="1100"/>
    <cellStyle name="Percent 24" xfId="1101"/>
    <cellStyle name="Percent 25" xfId="1102"/>
    <cellStyle name="Percent 26" xfId="1103"/>
    <cellStyle name="Percent 27" xfId="1104"/>
    <cellStyle name="Percent 27 2" xfId="1427"/>
    <cellStyle name="Percent 28" xfId="1105"/>
    <cellStyle name="Percent 29" xfId="1106"/>
    <cellStyle name="Percent 3" xfId="1107"/>
    <cellStyle name="Percent 3 2" xfId="1428"/>
    <cellStyle name="Percent 30" xfId="1108"/>
    <cellStyle name="Percent 31" xfId="1109"/>
    <cellStyle name="Percent 32" xfId="1110"/>
    <cellStyle name="Percent 4" xfId="1111"/>
    <cellStyle name="Percent 4 2" xfId="1112"/>
    <cellStyle name="Percent 4 2 2" xfId="1430"/>
    <cellStyle name="Percent 4 3" xfId="1113"/>
    <cellStyle name="Percent 4 3 2" xfId="1114"/>
    <cellStyle name="Percent 4 3 2 2" xfId="1432"/>
    <cellStyle name="Percent 4 3 3" xfId="1431"/>
    <cellStyle name="Percent 4 4" xfId="1429"/>
    <cellStyle name="Percent 5" xfId="1115"/>
    <cellStyle name="Percent 6" xfId="1116"/>
    <cellStyle name="Percent 7" xfId="1117"/>
    <cellStyle name="Percent 7 2" xfId="1433"/>
    <cellStyle name="Percent 8" xfId="1118"/>
    <cellStyle name="Percent 9" xfId="1119"/>
    <cellStyle name="Percent 9 2" xfId="1434"/>
    <cellStyle name="PERCENTAGE" xfId="1120"/>
    <cellStyle name="Perhitungan" xfId="1121"/>
    <cellStyle name="Perhitungan 2" xfId="1122"/>
    <cellStyle name="Perhitungan 3" xfId="1123"/>
    <cellStyle name="pound_mu" xfId="1124"/>
    <cellStyle name="regstoresfromspecstores" xfId="1125"/>
    <cellStyle name="Reset  - Style7" xfId="1126"/>
    <cellStyle name="RevList" xfId="1127"/>
    <cellStyle name="RevList 2" xfId="1128"/>
    <cellStyle name="RevList 3" xfId="1435"/>
    <cellStyle name="SATU" xfId="1129"/>
    <cellStyle name="SATU 2" xfId="1130"/>
    <cellStyle name="SATU 2 2" xfId="1437"/>
    <cellStyle name="SATU 3" xfId="1131"/>
    <cellStyle name="SATU 3 2" xfId="1438"/>
    <cellStyle name="SATU 4" xfId="1436"/>
    <cellStyle name="Sel Tertaut" xfId="1132"/>
    <cellStyle name="Sel Tertaut 2" xfId="1439"/>
    <cellStyle name="SHADEDSTORES" xfId="1133"/>
    <cellStyle name="SHADEDSTORES 2" xfId="1134"/>
    <cellStyle name="Sheet Title" xfId="1135"/>
    <cellStyle name="specstores" xfId="1136"/>
    <cellStyle name="Style 1" xfId="1137"/>
    <cellStyle name="Subtotal" xfId="1138"/>
    <cellStyle name="sum" xfId="1139"/>
    <cellStyle name="sum 2" xfId="1140"/>
    <cellStyle name="sum 3" xfId="1141"/>
    <cellStyle name="sum 4" xfId="1142"/>
    <cellStyle name="sum 5" xfId="1143"/>
    <cellStyle name="sum 6" xfId="1144"/>
    <cellStyle name="Table" xfId="1145"/>
    <cellStyle name="Table  - Style6" xfId="1146"/>
    <cellStyle name="Table 2" xfId="1440"/>
    <cellStyle name="Tajuk 1" xfId="1147"/>
    <cellStyle name="Tajuk 2" xfId="1148"/>
    <cellStyle name="Tajuk 3" xfId="1149"/>
    <cellStyle name="Tajuk 4" xfId="1150"/>
    <cellStyle name="Teks Penjelasan" xfId="1151"/>
    <cellStyle name="Teks Peringatan" xfId="1152"/>
    <cellStyle name="þ_x001d_ð+&amp;„ý›&amp;}ý_x000b__x0008__x0011__x000b_å_x000b__x0007__x0001__x0001_" xfId="1153"/>
    <cellStyle name="þ_x001d_ð+&amp;„ý›&amp;}ý_x000b__x0008__x0011__x000b_å_x000b__x0007__x0001__x0001_ 2" xfId="1441"/>
    <cellStyle name="Title  - Style1" xfId="1154"/>
    <cellStyle name="Title 2" xfId="1155"/>
    <cellStyle name="Title 3" xfId="1156"/>
    <cellStyle name="Title 4" xfId="1157"/>
    <cellStyle name="Total 10" xfId="1158"/>
    <cellStyle name="Total 10 2" xfId="1442"/>
    <cellStyle name="Total 2" xfId="1159"/>
    <cellStyle name="Total 2 2" xfId="1160"/>
    <cellStyle name="Total 2 2 2" xfId="1161"/>
    <cellStyle name="Total 2 2 2 2" xfId="1445"/>
    <cellStyle name="Total 2 2 3" xfId="1162"/>
    <cellStyle name="Total 2 2 3 2" xfId="1446"/>
    <cellStyle name="Total 2 2 4" xfId="1163"/>
    <cellStyle name="Total 2 2 4 2" xfId="1447"/>
    <cellStyle name="Total 2 2 5" xfId="1444"/>
    <cellStyle name="Total 2 3" xfId="1164"/>
    <cellStyle name="Total 2 4" xfId="1165"/>
    <cellStyle name="Total 2 4 2" xfId="1448"/>
    <cellStyle name="Total 2 5" xfId="1166"/>
    <cellStyle name="Total 2 5 2" xfId="1449"/>
    <cellStyle name="Total 2 6" xfId="1167"/>
    <cellStyle name="Total 2 6 2" xfId="1450"/>
    <cellStyle name="Total 2 7" xfId="1443"/>
    <cellStyle name="Total 3" xfId="1168"/>
    <cellStyle name="Total 3 2" xfId="1169"/>
    <cellStyle name="Total 3 2 2" xfId="1452"/>
    <cellStyle name="Total 3 3" xfId="1170"/>
    <cellStyle name="Total 3 3 2" xfId="1453"/>
    <cellStyle name="Total 3 4" xfId="1171"/>
    <cellStyle name="Total 3 4 2" xfId="1454"/>
    <cellStyle name="Total 3 5" xfId="1451"/>
    <cellStyle name="Total 4" xfId="1172"/>
    <cellStyle name="Total 4 2" xfId="1173"/>
    <cellStyle name="Total 4 2 2" xfId="1456"/>
    <cellStyle name="Total 4 3" xfId="1174"/>
    <cellStyle name="Total 4 3 2" xfId="1457"/>
    <cellStyle name="Total 4 4" xfId="1175"/>
    <cellStyle name="Total 4 4 2" xfId="1458"/>
    <cellStyle name="Total 4 5" xfId="1455"/>
    <cellStyle name="Total 5" xfId="1176"/>
    <cellStyle name="Total 5 2" xfId="1177"/>
    <cellStyle name="Total 5 2 2" xfId="1460"/>
    <cellStyle name="Total 5 3" xfId="1178"/>
    <cellStyle name="Total 5 3 2" xfId="1461"/>
    <cellStyle name="Total 5 4" xfId="1179"/>
    <cellStyle name="Total 5 4 2" xfId="1462"/>
    <cellStyle name="Total 5 5" xfId="1459"/>
    <cellStyle name="Total 6" xfId="1180"/>
    <cellStyle name="Total 6 2" xfId="1181"/>
    <cellStyle name="Total 6 2 2" xfId="1464"/>
    <cellStyle name="Total 6 3" xfId="1182"/>
    <cellStyle name="Total 6 3 2" xfId="1465"/>
    <cellStyle name="Total 6 4" xfId="1183"/>
    <cellStyle name="Total 6 4 2" xfId="1466"/>
    <cellStyle name="Total 6 5" xfId="1463"/>
    <cellStyle name="Total 7" xfId="1184"/>
    <cellStyle name="Total 7 2" xfId="1185"/>
    <cellStyle name="Total 7 2 2" xfId="1468"/>
    <cellStyle name="Total 7 3" xfId="1186"/>
    <cellStyle name="Total 7 3 2" xfId="1469"/>
    <cellStyle name="Total 7 4" xfId="1187"/>
    <cellStyle name="Total 7 4 2" xfId="1470"/>
    <cellStyle name="Total 7 5" xfId="1467"/>
    <cellStyle name="Total 8" xfId="1188"/>
    <cellStyle name="Total 8 2" xfId="1189"/>
    <cellStyle name="Total 8 2 2" xfId="1472"/>
    <cellStyle name="Total 8 3" xfId="1190"/>
    <cellStyle name="Total 8 3 2" xfId="1473"/>
    <cellStyle name="Total 8 4" xfId="1191"/>
    <cellStyle name="Total 8 4 2" xfId="1474"/>
    <cellStyle name="Total 8 5" xfId="1471"/>
    <cellStyle name="Total 9" xfId="1192"/>
    <cellStyle name="Total 9 2" xfId="1193"/>
    <cellStyle name="Total 9 2 2" xfId="1476"/>
    <cellStyle name="Total 9 3" xfId="1194"/>
    <cellStyle name="Total 9 3 2" xfId="1477"/>
    <cellStyle name="Total 9 4" xfId="1195"/>
    <cellStyle name="Total 9 4 2" xfId="1478"/>
    <cellStyle name="Total 9 5" xfId="1475"/>
    <cellStyle name="TotCol - Style5" xfId="1196"/>
    <cellStyle name="TotCol - Style5 2" xfId="1479"/>
    <cellStyle name="TotRow - Style4" xfId="1197"/>
    <cellStyle name="Tusental (0)_pldt" xfId="1198"/>
    <cellStyle name="Tusental_NPV" xfId="1199"/>
    <cellStyle name="Uang Muka" xfId="1200"/>
    <cellStyle name="Unit" xfId="1201"/>
    <cellStyle name="Unit 2" xfId="1202"/>
    <cellStyle name="Unit 3" xfId="1203"/>
    <cellStyle name="Unit 4" xfId="1204"/>
    <cellStyle name="Unit 5" xfId="1205"/>
    <cellStyle name="Unit 6" xfId="1206"/>
    <cellStyle name="User_Defined_A" xfId="1207"/>
    <cellStyle name="V" xfId="1208"/>
    <cellStyle name="Valuta (0)_pldt" xfId="1209"/>
    <cellStyle name="Valuta_NPV" xfId="1210"/>
    <cellStyle name="Währung [0]_hcl-Tank (GB)" xfId="1211"/>
    <cellStyle name="Währung_hcl-Tank (GB)" xfId="1212"/>
    <cellStyle name="Warning Text 2" xfId="1213"/>
    <cellStyle name="WHead - Style2" xfId="1214"/>
    <cellStyle name="쉼표 [0]_Invoice Form" xfId="1215"/>
    <cellStyle name="표준_Invoice Form" xfId="1216"/>
    <cellStyle name="未定義" xfId="1217"/>
    <cellStyle name="標準_Atsumi-tech Elect-alt-1" xfId="12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32.xml"/><Relationship Id="rId303" Type="http://schemas.openxmlformats.org/officeDocument/2006/relationships/externalLink" Target="externalLinks/externalLink3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externalLink" Target="externalLinks/externalLink1.xml"/><Relationship Id="rId289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23.xml"/><Relationship Id="rId304" Type="http://schemas.openxmlformats.org/officeDocument/2006/relationships/externalLink" Target="externalLinks/externalLink3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3.xml"/><Relationship Id="rId315" Type="http://schemas.openxmlformats.org/officeDocument/2006/relationships/calcChain" Target="calcChain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3.xml"/><Relationship Id="rId291" Type="http://schemas.openxmlformats.org/officeDocument/2006/relationships/externalLink" Target="externalLinks/externalLink24.xml"/><Relationship Id="rId305" Type="http://schemas.openxmlformats.org/officeDocument/2006/relationships/externalLink" Target="externalLinks/externalLink38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14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externalLink" Target="externalLinks/externalLink4.xml"/><Relationship Id="rId292" Type="http://schemas.openxmlformats.org/officeDocument/2006/relationships/externalLink" Target="externalLinks/externalLink25.xml"/><Relationship Id="rId306" Type="http://schemas.openxmlformats.org/officeDocument/2006/relationships/externalLink" Target="externalLinks/externalLink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20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15.xml"/><Relationship Id="rId312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0.xml"/><Relationship Id="rId298" Type="http://schemas.openxmlformats.org/officeDocument/2006/relationships/externalLink" Target="externalLinks/externalLink3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externalLink" Target="externalLinks/externalLink5.xml"/><Relationship Id="rId293" Type="http://schemas.openxmlformats.org/officeDocument/2006/relationships/externalLink" Target="externalLinks/externalLink26.xml"/><Relationship Id="rId302" Type="http://schemas.openxmlformats.org/officeDocument/2006/relationships/externalLink" Target="externalLinks/externalLink35.xml"/><Relationship Id="rId307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2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6.xml"/><Relationship Id="rId313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6.xml"/><Relationship Id="rId294" Type="http://schemas.openxmlformats.org/officeDocument/2006/relationships/externalLink" Target="externalLinks/externalLink27.xml"/><Relationship Id="rId308" Type="http://schemas.openxmlformats.org/officeDocument/2006/relationships/externalLink" Target="externalLinks/externalLink4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7.xml"/><Relationship Id="rId295" Type="http://schemas.openxmlformats.org/officeDocument/2006/relationships/externalLink" Target="externalLinks/externalLink28.xml"/><Relationship Id="rId309" Type="http://schemas.openxmlformats.org/officeDocument/2006/relationships/externalLink" Target="externalLinks/externalLink4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43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8.xml"/><Relationship Id="rId296" Type="http://schemas.openxmlformats.org/officeDocument/2006/relationships/externalLink" Target="externalLinks/externalLink29.xml"/><Relationship Id="rId300" Type="http://schemas.openxmlformats.org/officeDocument/2006/relationships/externalLink" Target="externalLinks/externalLink33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4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9.xml"/><Relationship Id="rId297" Type="http://schemas.openxmlformats.org/officeDocument/2006/relationships/externalLink" Target="externalLinks/externalLink30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3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25821</xdr:colOff>
      <xdr:row>48</xdr:row>
      <xdr:rowOff>0</xdr:rowOff>
    </xdr:from>
    <xdr:ext cx="1830694" cy="1470146"/>
    <xdr:sp macro="" textlink="">
      <xdr:nvSpPr>
        <xdr:cNvPr id="3" name="TextBox 2"/>
        <xdr:cNvSpPr txBox="1"/>
      </xdr:nvSpPr>
      <xdr:spPr>
        <a:xfrm>
          <a:off x="25821" y="904875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Konsultan Perencana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CV. Karya Vitaloka Konsultab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Ahmad Rizal, ST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Direktur</a:t>
          </a:r>
        </a:p>
      </xdr:txBody>
    </xdr:sp>
    <xdr:clientData/>
  </xdr:oneCellAnchor>
  <xdr:oneCellAnchor>
    <xdr:from>
      <xdr:col>5</xdr:col>
      <xdr:colOff>1266825</xdr:colOff>
      <xdr:row>48</xdr:row>
      <xdr:rowOff>0</xdr:rowOff>
    </xdr:from>
    <xdr:ext cx="2189702" cy="1483740"/>
    <xdr:sp macro="" textlink="">
      <xdr:nvSpPr>
        <xdr:cNvPr id="5" name="TextBox 4"/>
        <xdr:cNvSpPr txBox="1"/>
      </xdr:nvSpPr>
      <xdr:spPr>
        <a:xfrm>
          <a:off x="3657600" y="9048750"/>
          <a:ext cx="2189702" cy="1483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Diperiksa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Pejabat Pelaksana Teknis Kegiatan</a:t>
          </a:r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rtl="0"/>
          <a:r>
            <a:rPr 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Hotma Alinur Pulungan,</a:t>
          </a:r>
          <a:r>
            <a:rPr lang="id-ID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SP</a:t>
          </a:r>
          <a:endParaRPr lang="en-US">
            <a:effectLst/>
          </a:endParaRPr>
        </a:p>
        <a:p>
          <a:pPr rtl="0"/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NIP. 19800530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201001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id-ID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008</a:t>
          </a:r>
          <a:endParaRPr lang="en-US">
            <a:effectLst/>
          </a:endParaRPr>
        </a:p>
      </xdr:txBody>
    </xdr:sp>
    <xdr:clientData/>
  </xdr:oneCellAnchor>
  <xdr:oneCellAnchor>
    <xdr:from>
      <xdr:col>4</xdr:col>
      <xdr:colOff>0</xdr:colOff>
      <xdr:row>55</xdr:row>
      <xdr:rowOff>0</xdr:rowOff>
    </xdr:from>
    <xdr:ext cx="1832168" cy="1297919"/>
    <xdr:sp macro="" textlink="">
      <xdr:nvSpPr>
        <xdr:cNvPr id="6" name="TextBox 5"/>
        <xdr:cNvSpPr txBox="1"/>
      </xdr:nvSpPr>
      <xdr:spPr>
        <a:xfrm>
          <a:off x="1781175" y="10382250"/>
          <a:ext cx="183216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Disetujui oleh</a:t>
          </a:r>
          <a:r>
            <a:rPr lang="en-US" sz="1100" baseline="0"/>
            <a:t> :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Pengguna Anggaran</a:t>
          </a: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 b="0" i="0" u="none" strike="noStrike" baseline="0" smtClean="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1100" b="0" i="0" u="sng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Rajali, SSos, MSP</a:t>
          </a:r>
        </a:p>
        <a:p>
          <a:pPr algn="ctr"/>
          <a:r>
            <a:rPr 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NIP. 19670208.198611.1.001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277969</xdr:colOff>
      <xdr:row>133</xdr:row>
      <xdr:rowOff>38100</xdr:rowOff>
    </xdr:from>
    <xdr:ext cx="1830694" cy="1470146"/>
    <xdr:sp macro="" textlink="">
      <xdr:nvSpPr>
        <xdr:cNvPr id="2" name="TextBox 1"/>
        <xdr:cNvSpPr txBox="1"/>
      </xdr:nvSpPr>
      <xdr:spPr>
        <a:xfrm>
          <a:off x="5469094" y="27774900"/>
          <a:ext cx="1830694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100"/>
            <a:t>Dibuat</a:t>
          </a:r>
          <a:r>
            <a:rPr lang="en-US" sz="1100" baseline="0"/>
            <a:t> Oleh :</a:t>
          </a:r>
        </a:p>
        <a:p>
          <a:pPr algn="ctr"/>
          <a:r>
            <a:rPr lang="en-US" sz="1100" baseline="0"/>
            <a:t>Konsultan Perencana</a:t>
          </a:r>
        </a:p>
        <a:p>
          <a:pPr algn="ctr"/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CV. Karya Vitaloka Konsultan</a:t>
          </a:r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endParaRPr lang="en-US" sz="1100" baseline="0"/>
        </a:p>
        <a:p>
          <a:pPr algn="ctr"/>
          <a:r>
            <a:rPr lang="en-US" sz="1100" b="0" u="sng" baseline="0"/>
            <a:t>Agusman Sinaga, ST</a:t>
          </a:r>
        </a:p>
        <a:p>
          <a:pPr algn="ctr"/>
          <a:r>
            <a:rPr lang="en-US" sz="1100" baseline="0"/>
            <a:t>Team Leader</a:t>
          </a:r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8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5943600" y="39766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MENURUNG_DATA/AHS%20Jemb%20Sei%20Parit%20II%20SPEC%20DES%20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INAS%20PERUMAHAN%20DAN%20PEMUKIMAN/jalan%20setapak%20sni%202013%20(REVISI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kumen/Data/2011%20Tender%20Kontraktor/Kanwil%20Pajak%20Tahap%206/OE/OE%20Final/EE_32_Revisi%20Terakhir%20(3005201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fakhrul/2013/tender/PNWRN/sekolah/SDN%20060951/SDN%20060951%20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Laporan%202007/Paket%20PU/Sipagabu/SIPAGABU%20K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perkim/2014/kios%20buku/kios%20bukubar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Project/SAMOSIR/Perencanaan/BOW%20Tarukim%20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NumpangData%20Juni%202009up/Analisa001/ANALISA%20SNI%20INDONESI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2a%20set%2009%20print%20(BQ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Assosiation%20Data/Vinot/08%20DED%20SImalungun/Vinot/03%20Simalungun%20Project/About%20Hitungan/Hitungan%20Reservoa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HITUNGAN%20%20PIKUL%20DAN%20ANGKUT%20VERSI%20RUD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DAFTAR%20ANALIS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RAB%20GEDUNG%202017/SEKOLAH/20.%20REHAB%20SMPN%2027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ANALISA%202018-buat%20fahru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3/DINAS%20PERTANIAN/ARSE/ARSE%20-%20GUDANG%20PROCESSING%20BENIH/RAB/REVISI%20RAB%20GUDANG%20PROCESSING%20BENIH%20update%2011%20maret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REHAB%20BERAT%20PUSKESMAS%20Tutuk%20Sia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PAKET-2008/LAPORAN%20ORR%20SAMOSIR%20FINAL/LAPORAN%20PELELANGAN/RAB-FINAL/EE-SAMOSIR-ORR/OE-EE/1-BO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Konsultan/RAB/GREPS/FINAL%20RAB/hutaambasang-sibokkare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2016-2017/SID%20SEKOLAH%20SUMUT/Document/RYWANDYS%20FILES/Assosiation%20Data/Vinot/08%20DED%20SImalungun/Vinot/03%20Simalungun%20Project/About%20Hitungan/Hitungan%20Reservo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LTAR/TES%20ALANLISA%20PHA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An. Alat"/>
      <sheetName val="NP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HARGA UPAH &amp; BAHAN."/>
      <sheetName val="BAG-2"/>
      <sheetName val="pante riek"/>
      <sheetName val="ANALISA"/>
      <sheetName val="HRG.BAHAN"/>
      <sheetName val="Harsat"/>
      <sheetName val="Agregat Halus &amp; Kasar"/>
      <sheetName val="Analisa Quarry"/>
      <sheetName val="galian saluran"/>
      <sheetName val="DAFTAR BAHAN D UPAH"/>
      <sheetName val="Peralatan (2)"/>
      <sheetName val="Harga Bahan"/>
      <sheetName val="BAHAN"/>
      <sheetName val="AHS"/>
      <sheetName val="MAP-Prog"/>
      <sheetName val="HS-2"/>
      <sheetName val="UPAH-BAHAN-ALAT"/>
      <sheetName val="ANAL-"/>
      <sheetName val="TJ1Q47"/>
      <sheetName val="Cash Flow bulanan"/>
      <sheetName val="A"/>
      <sheetName val="KoefMixer"/>
      <sheetName val="Backup Gudang"/>
      <sheetName val="RAB FULL KACA"/>
      <sheetName val="RAB stengah bata"/>
      <sheetName val="Upah &amp; Bahan"/>
      <sheetName val="HARGA SATUAN"/>
      <sheetName val="jadwal"/>
      <sheetName val="UPAH"/>
      <sheetName val="CH"/>
      <sheetName val="BLANKO HIT.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BAG_2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ANALISA ONGKOS ANGKUT"/>
      <sheetName val="ANALISA EI"/>
      <sheetName val="ANL ALAT OKK"/>
      <sheetName val="INFORMASI"/>
      <sheetName val="ANLISA K"/>
      <sheetName val="ANALISA SNI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  <sheetName val="Alt"/>
      <sheetName val="Sheet1"/>
      <sheetName val="Input"/>
      <sheetName val="9"/>
      <sheetName val="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H.Satuan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ta"/>
      <sheetName val="H.Satu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HRG BHN"/>
      <sheetName val="Pipe"/>
      <sheetName val="DAF-1"/>
      <sheetName val="FORM X COST"/>
      <sheetName val="Analisa Upah _ Bahan Plum"/>
      <sheetName val="PERSIAPAN"/>
      <sheetName val="UTILITAS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AHS"/>
      <sheetName val="HRGA SATUAN UPAH-BAHAN"/>
      <sheetName val="HRG BHN"/>
      <sheetName val="harsat"/>
      <sheetName val="Daftar Harga"/>
      <sheetName val="Harsat_El"/>
      <sheetName val="SAT-BHN"/>
      <sheetName val="Cover"/>
      <sheetName val="input"/>
      <sheetName val="H.Satuan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DAF_7"/>
      <sheetName val="Analisa 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Analisa Struktur"/>
      <sheetName val="Daftar Harga Upah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  <sheetName val="Analisa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UPAD-BAHAN-ALAT"/>
      <sheetName val="analisa 2019"/>
      <sheetName val="Rekap Analisa"/>
      <sheetName val="Rekapitulasi"/>
      <sheetName val="analisa 2019 Revisi"/>
      <sheetName val="UPAD-BAHAN-ALAT Cetak"/>
      <sheetName val="RAB"/>
      <sheetName val="BECKUP data"/>
      <sheetName val="REKAP BECKUP data (2)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>
        <row r="12">
          <cell r="I12">
            <v>110000</v>
          </cell>
        </row>
        <row r="13">
          <cell r="I13">
            <v>140000</v>
          </cell>
        </row>
        <row r="15">
          <cell r="I15">
            <v>150000</v>
          </cell>
        </row>
        <row r="77">
          <cell r="I77">
            <v>1625</v>
          </cell>
        </row>
        <row r="121">
          <cell r="I121">
            <v>44000</v>
          </cell>
        </row>
        <row r="140">
          <cell r="I140">
            <v>27500</v>
          </cell>
        </row>
        <row r="416">
          <cell r="I416">
            <v>4000</v>
          </cell>
        </row>
        <row r="513">
          <cell r="I513">
            <v>50000</v>
          </cell>
        </row>
      </sheetData>
      <sheetData sheetId="3"/>
      <sheetData sheetId="4"/>
      <sheetData sheetId="5"/>
      <sheetData sheetId="6">
        <row r="35">
          <cell r="B35" t="str">
            <v>Tanah urug</v>
          </cell>
        </row>
        <row r="50">
          <cell r="B50" t="str">
            <v>Semen Portland</v>
          </cell>
        </row>
        <row r="51">
          <cell r="B51" t="str">
            <v>Pasir Beton</v>
          </cell>
        </row>
        <row r="52">
          <cell r="B52" t="str">
            <v>Kerikil (Maks 30mm)</v>
          </cell>
        </row>
        <row r="53">
          <cell r="B53" t="str">
            <v>Air</v>
          </cell>
        </row>
        <row r="68">
          <cell r="B68" t="str">
            <v>Batu belah</v>
          </cell>
        </row>
        <row r="87">
          <cell r="B87" t="str">
            <v>Batu Pecah  2 - 3cm</v>
          </cell>
        </row>
        <row r="103">
          <cell r="B103" t="str">
            <v>Kayu kelas III</v>
          </cell>
        </row>
        <row r="104">
          <cell r="B104" t="str">
            <v>Paku 5 cm – 10 cm</v>
          </cell>
        </row>
        <row r="105">
          <cell r="B105" t="str">
            <v>Minyak bekisting</v>
          </cell>
        </row>
        <row r="123">
          <cell r="B123" t="str">
            <v>Balok kayu kelas III</v>
          </cell>
        </row>
        <row r="124">
          <cell r="B124" t="str">
            <v>Plywood tebal 9 mm</v>
          </cell>
        </row>
        <row r="125">
          <cell r="B125" t="str">
            <v>Dolken kayu φ 8-10cm –panj 4 m</v>
          </cell>
        </row>
        <row r="162">
          <cell r="B162" t="str">
            <v>Besi beton (ulir)</v>
          </cell>
        </row>
        <row r="163">
          <cell r="B163" t="str">
            <v>Kawat beton</v>
          </cell>
        </row>
        <row r="179">
          <cell r="B179" t="str">
            <v>Bata merah</v>
          </cell>
        </row>
        <row r="230">
          <cell r="B230" t="str">
            <v>Ubin keramik 40x40 cm</v>
          </cell>
        </row>
        <row r="233">
          <cell r="B233" t="str">
            <v>Semen warna</v>
          </cell>
        </row>
        <row r="248">
          <cell r="B248" t="str">
            <v>Ubin keramik 25x25 cm</v>
          </cell>
        </row>
        <row r="266">
          <cell r="B266" t="str">
            <v>Keramik 25x40 cm</v>
          </cell>
        </row>
        <row r="284">
          <cell r="B284" t="str">
            <v>Baja ringan canal ringan C75</v>
          </cell>
        </row>
        <row r="285">
          <cell r="B285" t="str">
            <v>Reng Baja Ringan C40</v>
          </cell>
        </row>
        <row r="286">
          <cell r="B286" t="str">
            <v>Baut Baja Ringan</v>
          </cell>
        </row>
        <row r="302">
          <cell r="B302" t="str">
            <v>Seng plat</v>
          </cell>
        </row>
        <row r="303">
          <cell r="B303" t="str">
            <v>Paku 1 cm - 2.5 cm</v>
          </cell>
        </row>
        <row r="319">
          <cell r="B319" t="str">
            <v>Nok atap zincalume</v>
          </cell>
        </row>
        <row r="320">
          <cell r="B320" t="str">
            <v>paku seng</v>
          </cell>
        </row>
        <row r="335">
          <cell r="B335" t="str">
            <v>Atap Zincalume</v>
          </cell>
        </row>
        <row r="351">
          <cell r="B351" t="str">
            <v>Lisplank GRC</v>
          </cell>
        </row>
        <row r="352">
          <cell r="B352" t="str">
            <v>Paku skrup 3.5”</v>
          </cell>
        </row>
        <row r="367">
          <cell r="B367" t="str">
            <v>Rangka Puring</v>
          </cell>
        </row>
        <row r="368">
          <cell r="B368" t="str">
            <v>Kawat dia 4 mm</v>
          </cell>
        </row>
        <row r="369">
          <cell r="B369" t="str">
            <v>Ramset</v>
          </cell>
        </row>
        <row r="384">
          <cell r="B384" t="str">
            <v>Plafond PVC</v>
          </cell>
        </row>
        <row r="398">
          <cell r="B398" t="str">
            <v>Soda api</v>
          </cell>
        </row>
        <row r="413">
          <cell r="B413" t="str">
            <v>Plamuur</v>
          </cell>
        </row>
        <row r="414">
          <cell r="B414" t="str">
            <v>Cat dasar</v>
          </cell>
        </row>
        <row r="415">
          <cell r="B415" t="str">
            <v>Cat penutup setara vinilex</v>
          </cell>
        </row>
        <row r="430">
          <cell r="B430" t="str">
            <v>Cat menie</v>
          </cell>
        </row>
        <row r="433">
          <cell r="B433" t="str">
            <v>Cat penutup</v>
          </cell>
        </row>
        <row r="434">
          <cell r="B434" t="str">
            <v>Kuas</v>
          </cell>
        </row>
        <row r="435">
          <cell r="B435" t="str">
            <v>Pengencer</v>
          </cell>
        </row>
        <row r="436">
          <cell r="B436" t="str">
            <v>Ampelas</v>
          </cell>
        </row>
        <row r="451">
          <cell r="B451" t="str">
            <v>Kabel NYM 3x2,5 mm²</v>
          </cell>
        </row>
        <row r="452">
          <cell r="B452" t="str">
            <v>Conduit</v>
          </cell>
        </row>
        <row r="468">
          <cell r="B468" t="str">
            <v>Lampu Downlight</v>
          </cell>
        </row>
        <row r="484">
          <cell r="B484" t="str">
            <v>Stop Kontak Tanam</v>
          </cell>
        </row>
        <row r="500">
          <cell r="B500" t="str">
            <v>Saklar Tunggal</v>
          </cell>
        </row>
        <row r="516">
          <cell r="B516" t="str">
            <v>Saklar Ganda</v>
          </cell>
        </row>
        <row r="532">
          <cell r="B532" t="str">
            <v>Saklar Triple</v>
          </cell>
        </row>
        <row r="548">
          <cell r="B548" t="str">
            <v>Pipa PVC 3/4”</v>
          </cell>
        </row>
        <row r="564">
          <cell r="B564" t="str">
            <v>Pipa PVC 4”</v>
          </cell>
        </row>
        <row r="580">
          <cell r="B580" t="str">
            <v>Pipa PVC 3”</v>
          </cell>
        </row>
        <row r="596">
          <cell r="B596" t="str">
            <v>Floor drain</v>
          </cell>
        </row>
        <row r="611">
          <cell r="B611" t="str">
            <v>Kran air</v>
          </cell>
        </row>
        <row r="627">
          <cell r="B627" t="str">
            <v>Closet jongkok</v>
          </cell>
        </row>
        <row r="644">
          <cell r="B644" t="str">
            <v xml:space="preserve">Paving block 8 cm </v>
          </cell>
        </row>
        <row r="660">
          <cell r="B660" t="str">
            <v>Besi siku UNP 50.38.5</v>
          </cell>
        </row>
        <row r="661">
          <cell r="B661" t="str">
            <v>Besi plat baja</v>
          </cell>
        </row>
        <row r="693">
          <cell r="B693" t="str">
            <v>Kawat nyamuk aluminium</v>
          </cell>
        </row>
        <row r="695">
          <cell r="B695" t="str">
            <v>Baja strip (0.2 x 2) cm</v>
          </cell>
        </row>
      </sheetData>
      <sheetData sheetId="7">
        <row r="11">
          <cell r="I11">
            <v>110000</v>
          </cell>
        </row>
        <row r="45">
          <cell r="I45">
            <v>1625</v>
          </cell>
        </row>
        <row r="70">
          <cell r="I70">
            <v>32625</v>
          </cell>
        </row>
        <row r="78">
          <cell r="I78">
            <v>32625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41"/>
  <sheetViews>
    <sheetView workbookViewId="0">
      <selection activeCell="G11" sqref="G11"/>
    </sheetView>
  </sheetViews>
  <sheetFormatPr defaultRowHeight="15"/>
  <cols>
    <col min="1" max="1" width="11.5703125" style="40" customWidth="1"/>
    <col min="2" max="2" width="22.28515625" style="40" customWidth="1"/>
    <col min="3" max="3" width="5" style="40" customWidth="1"/>
    <col min="4" max="4" width="50.7109375" style="40" customWidth="1"/>
    <col min="5" max="16384" width="9.140625" style="40"/>
  </cols>
  <sheetData>
    <row r="1" spans="1:4" ht="12.2" customHeight="1">
      <c r="A1" s="1137" t="s">
        <v>0</v>
      </c>
      <c r="B1" s="1137"/>
      <c r="C1" s="1138" t="s">
        <v>1</v>
      </c>
      <c r="D1" s="1138"/>
    </row>
    <row r="2" spans="1:4" ht="12.2" customHeight="1">
      <c r="A2" s="1135" t="s">
        <v>2</v>
      </c>
      <c r="B2" s="1139" t="s">
        <v>3</v>
      </c>
      <c r="C2" s="34">
        <v>1.1000000000000001</v>
      </c>
      <c r="D2" s="34" t="s">
        <v>4</v>
      </c>
    </row>
    <row r="3" spans="1:4" ht="12.2" customHeight="1">
      <c r="A3" s="1135" t="s">
        <v>2</v>
      </c>
      <c r="B3" s="1139" t="s">
        <v>3</v>
      </c>
      <c r="C3" s="34">
        <v>1.2</v>
      </c>
      <c r="D3" s="34" t="s">
        <v>5</v>
      </c>
    </row>
    <row r="4" spans="1:4" ht="12.2" customHeight="1">
      <c r="A4" s="1135" t="s">
        <v>2</v>
      </c>
      <c r="B4" s="1139" t="s">
        <v>3</v>
      </c>
      <c r="C4" s="34">
        <v>1.3</v>
      </c>
      <c r="D4" s="35" t="s">
        <v>6</v>
      </c>
    </row>
    <row r="5" spans="1:4" ht="12.2" customHeight="1">
      <c r="A5" s="1135" t="s">
        <v>2</v>
      </c>
      <c r="B5" s="1139" t="s">
        <v>3</v>
      </c>
      <c r="C5" s="34">
        <v>1.4</v>
      </c>
      <c r="D5" s="35" t="s">
        <v>7</v>
      </c>
    </row>
    <row r="6" spans="1:4" ht="12" customHeight="1">
      <c r="A6" s="1135" t="s">
        <v>2</v>
      </c>
      <c r="B6" s="1139" t="s">
        <v>3</v>
      </c>
      <c r="C6" s="34">
        <v>1.5</v>
      </c>
      <c r="D6" s="34" t="s">
        <v>8</v>
      </c>
    </row>
    <row r="7" spans="1:4" ht="12.2" customHeight="1">
      <c r="A7" s="36"/>
      <c r="B7" s="36"/>
      <c r="C7" s="36"/>
      <c r="D7" s="36"/>
    </row>
    <row r="8" spans="1:4" ht="12.2" customHeight="1">
      <c r="A8" s="1135" t="s">
        <v>9</v>
      </c>
      <c r="B8" s="1139" t="s">
        <v>10</v>
      </c>
      <c r="C8" s="34">
        <v>2.1</v>
      </c>
      <c r="D8" s="35" t="s">
        <v>11</v>
      </c>
    </row>
    <row r="9" spans="1:4" ht="12.2" customHeight="1">
      <c r="A9" s="1135" t="s">
        <v>9</v>
      </c>
      <c r="B9" s="1139" t="s">
        <v>10</v>
      </c>
      <c r="C9" s="34">
        <v>2.2000000000000002</v>
      </c>
      <c r="D9" s="34" t="s">
        <v>12</v>
      </c>
    </row>
    <row r="10" spans="1:4" ht="12.2" customHeight="1">
      <c r="A10" s="1135" t="s">
        <v>9</v>
      </c>
      <c r="B10" s="1139" t="s">
        <v>10</v>
      </c>
      <c r="C10" s="34">
        <v>2.2999999999999998</v>
      </c>
      <c r="D10" s="34" t="s">
        <v>13</v>
      </c>
    </row>
    <row r="11" spans="1:4" ht="12" customHeight="1">
      <c r="A11" s="1135" t="s">
        <v>9</v>
      </c>
      <c r="B11" s="1139" t="s">
        <v>10</v>
      </c>
      <c r="C11" s="34">
        <v>2.4</v>
      </c>
      <c r="D11" s="34" t="s">
        <v>14</v>
      </c>
    </row>
    <row r="12" spans="1:4" ht="12.2" customHeight="1">
      <c r="A12" s="1135" t="s">
        <v>9</v>
      </c>
      <c r="B12" s="1139" t="s">
        <v>10</v>
      </c>
      <c r="C12" s="34">
        <v>2.5</v>
      </c>
      <c r="D12" s="34" t="s">
        <v>15</v>
      </c>
    </row>
    <row r="13" spans="1:4" ht="12.2" customHeight="1">
      <c r="A13" s="36"/>
      <c r="B13" s="36"/>
      <c r="C13" s="36"/>
      <c r="D13" s="36"/>
    </row>
    <row r="14" spans="1:4" ht="12.2" customHeight="1">
      <c r="A14" s="1135" t="s">
        <v>16</v>
      </c>
      <c r="B14" s="1135" t="s">
        <v>17</v>
      </c>
      <c r="C14" s="34">
        <v>3.1</v>
      </c>
      <c r="D14" s="34" t="s">
        <v>18</v>
      </c>
    </row>
    <row r="15" spans="1:4" ht="12.2" customHeight="1">
      <c r="A15" s="1135" t="s">
        <v>16</v>
      </c>
      <c r="B15" s="1135" t="s">
        <v>17</v>
      </c>
      <c r="C15" s="34">
        <v>3.2</v>
      </c>
      <c r="D15" s="34" t="s">
        <v>19</v>
      </c>
    </row>
    <row r="16" spans="1:4" ht="12.2" customHeight="1">
      <c r="A16" s="1135" t="s">
        <v>16</v>
      </c>
      <c r="B16" s="1135" t="s">
        <v>17</v>
      </c>
      <c r="C16" s="34">
        <v>3.3</v>
      </c>
      <c r="D16" s="34" t="s">
        <v>20</v>
      </c>
    </row>
    <row r="17" spans="1:4" ht="12" customHeight="1">
      <c r="A17" s="36"/>
      <c r="B17" s="36"/>
      <c r="C17" s="36"/>
      <c r="D17" s="36"/>
    </row>
    <row r="18" spans="1:4" ht="12.2" customHeight="1">
      <c r="A18" s="1135" t="s">
        <v>21</v>
      </c>
      <c r="B18" s="1135" t="s">
        <v>22</v>
      </c>
      <c r="C18" s="34">
        <v>4.0999999999999996</v>
      </c>
      <c r="D18" s="34" t="s">
        <v>23</v>
      </c>
    </row>
    <row r="19" spans="1:4" ht="12.2" customHeight="1">
      <c r="A19" s="1135" t="s">
        <v>21</v>
      </c>
      <c r="B19" s="1135" t="s">
        <v>22</v>
      </c>
      <c r="C19" s="34">
        <v>4.2</v>
      </c>
      <c r="D19" s="34" t="s">
        <v>24</v>
      </c>
    </row>
    <row r="20" spans="1:4" ht="12.2" customHeight="1">
      <c r="A20" s="1135" t="s">
        <v>21</v>
      </c>
      <c r="B20" s="1135" t="s">
        <v>22</v>
      </c>
      <c r="C20" s="34">
        <v>4.3</v>
      </c>
      <c r="D20" s="34" t="s">
        <v>25</v>
      </c>
    </row>
    <row r="21" spans="1:4" ht="12.2" customHeight="1">
      <c r="A21" s="1135" t="s">
        <v>21</v>
      </c>
      <c r="B21" s="1135" t="s">
        <v>22</v>
      </c>
      <c r="C21" s="34">
        <v>4.4000000000000004</v>
      </c>
      <c r="D21" s="34" t="s">
        <v>26</v>
      </c>
    </row>
    <row r="22" spans="1:4" ht="12.2" customHeight="1">
      <c r="A22" s="1135" t="s">
        <v>21</v>
      </c>
      <c r="B22" s="1135" t="s">
        <v>22</v>
      </c>
      <c r="C22" s="34">
        <v>4.5</v>
      </c>
      <c r="D22" s="34" t="s">
        <v>27</v>
      </c>
    </row>
    <row r="23" spans="1:4" ht="12" customHeight="1">
      <c r="A23" s="1135" t="s">
        <v>21</v>
      </c>
      <c r="B23" s="1135" t="s">
        <v>22</v>
      </c>
      <c r="C23" s="34">
        <v>4.5999999999999996</v>
      </c>
      <c r="D23" s="34" t="s">
        <v>28</v>
      </c>
    </row>
    <row r="24" spans="1:4" ht="12.2" customHeight="1">
      <c r="A24" s="1135" t="s">
        <v>21</v>
      </c>
      <c r="B24" s="1135" t="s">
        <v>22</v>
      </c>
      <c r="C24" s="34">
        <v>4.7</v>
      </c>
      <c r="D24" s="35" t="s">
        <v>29</v>
      </c>
    </row>
    <row r="25" spans="1:4" ht="12.2" customHeight="1">
      <c r="A25" s="36"/>
      <c r="B25" s="36"/>
      <c r="C25" s="36"/>
      <c r="D25" s="36"/>
    </row>
    <row r="26" spans="1:4" ht="12.2" customHeight="1">
      <c r="A26" s="1135" t="s">
        <v>30</v>
      </c>
      <c r="B26" s="1135" t="s">
        <v>31</v>
      </c>
      <c r="C26" s="34">
        <v>5.0999999999999996</v>
      </c>
      <c r="D26" s="35" t="s">
        <v>32</v>
      </c>
    </row>
    <row r="27" spans="1:4" ht="12.2" customHeight="1">
      <c r="A27" s="1135" t="s">
        <v>30</v>
      </c>
      <c r="B27" s="1135" t="s">
        <v>31</v>
      </c>
      <c r="C27" s="34">
        <v>5.2</v>
      </c>
      <c r="D27" s="34" t="s">
        <v>33</v>
      </c>
    </row>
    <row r="28" spans="1:4" ht="12.2" customHeight="1">
      <c r="A28" s="1135" t="s">
        <v>30</v>
      </c>
      <c r="B28" s="1135" t="s">
        <v>31</v>
      </c>
      <c r="C28" s="34">
        <v>5.3</v>
      </c>
      <c r="D28" s="34" t="s">
        <v>34</v>
      </c>
    </row>
    <row r="29" spans="1:4" ht="12" customHeight="1">
      <c r="A29" s="36"/>
      <c r="B29" s="36"/>
      <c r="C29" s="36"/>
      <c r="D29" s="36"/>
    </row>
    <row r="30" spans="1:4" ht="12.2" customHeight="1">
      <c r="A30" s="1135" t="s">
        <v>35</v>
      </c>
      <c r="B30" s="1135" t="s">
        <v>36</v>
      </c>
      <c r="C30" s="34">
        <v>6.1</v>
      </c>
      <c r="D30" s="34" t="s">
        <v>37</v>
      </c>
    </row>
    <row r="31" spans="1:4" ht="12.75" customHeight="1">
      <c r="A31" s="1135" t="s">
        <v>35</v>
      </c>
      <c r="B31" s="1135" t="s">
        <v>36</v>
      </c>
      <c r="C31" s="34">
        <v>6.2</v>
      </c>
      <c r="D31" s="34" t="s">
        <v>38</v>
      </c>
    </row>
    <row r="32" spans="1:4" ht="12.2" customHeight="1">
      <c r="A32" s="1135" t="s">
        <v>35</v>
      </c>
      <c r="B32" s="1135" t="s">
        <v>36</v>
      </c>
      <c r="C32" s="34">
        <v>6.3</v>
      </c>
      <c r="D32" s="34" t="s">
        <v>39</v>
      </c>
    </row>
    <row r="33" spans="1:4" ht="12.2" customHeight="1">
      <c r="A33" s="1135" t="s">
        <v>35</v>
      </c>
      <c r="B33" s="1135" t="s">
        <v>36</v>
      </c>
      <c r="C33" s="34">
        <v>6.4</v>
      </c>
      <c r="D33" s="34" t="s">
        <v>40</v>
      </c>
    </row>
    <row r="34" spans="1:4" ht="12.2" customHeight="1">
      <c r="A34" s="36"/>
      <c r="B34" s="36"/>
      <c r="C34" s="36"/>
      <c r="D34" s="36"/>
    </row>
    <row r="35" spans="1:4" ht="12" customHeight="1">
      <c r="A35" s="1135" t="s">
        <v>41</v>
      </c>
      <c r="B35" s="1135" t="s">
        <v>42</v>
      </c>
      <c r="C35" s="34">
        <v>7.1</v>
      </c>
      <c r="D35" s="35" t="s">
        <v>43</v>
      </c>
    </row>
    <row r="36" spans="1:4" ht="12.2" customHeight="1">
      <c r="A36" s="1135" t="s">
        <v>41</v>
      </c>
      <c r="B36" s="1135" t="s">
        <v>42</v>
      </c>
      <c r="C36" s="34">
        <v>7.2</v>
      </c>
      <c r="D36" s="34" t="s">
        <v>44</v>
      </c>
    </row>
    <row r="37" spans="1:4" ht="12.2" customHeight="1">
      <c r="A37" s="1136" t="s">
        <v>41</v>
      </c>
      <c r="B37" s="1135" t="s">
        <v>42</v>
      </c>
      <c r="C37" s="34">
        <v>7.3</v>
      </c>
      <c r="D37" s="34" t="s">
        <v>45</v>
      </c>
    </row>
    <row r="38" spans="1:4" ht="12" customHeight="1">
      <c r="A38" s="1129" t="s">
        <v>46</v>
      </c>
      <c r="B38" s="1132" t="s">
        <v>2127</v>
      </c>
      <c r="C38" s="37">
        <v>8.1</v>
      </c>
      <c r="D38" s="34" t="s">
        <v>47</v>
      </c>
    </row>
    <row r="39" spans="1:4" ht="12.2" customHeight="1">
      <c r="A39" s="1130"/>
      <c r="B39" s="1133"/>
      <c r="C39" s="37">
        <v>8.1999999999999993</v>
      </c>
      <c r="D39" s="34" t="s">
        <v>48</v>
      </c>
    </row>
    <row r="40" spans="1:4" ht="12.2" customHeight="1">
      <c r="A40" s="1130"/>
      <c r="B40" s="1133"/>
      <c r="C40" s="37">
        <v>8.3000000000000007</v>
      </c>
      <c r="D40" s="35" t="s">
        <v>49</v>
      </c>
    </row>
    <row r="41" spans="1:4" ht="23.25" customHeight="1">
      <c r="A41" s="1131"/>
      <c r="B41" s="1134"/>
      <c r="C41" s="38" t="s">
        <v>50</v>
      </c>
      <c r="D41" s="39" t="s">
        <v>51</v>
      </c>
    </row>
  </sheetData>
  <mergeCells count="18">
    <mergeCell ref="A1:B1"/>
    <mergeCell ref="C1:D1"/>
    <mergeCell ref="A2:A6"/>
    <mergeCell ref="B2:B6"/>
    <mergeCell ref="A8:A12"/>
    <mergeCell ref="B8:B12"/>
    <mergeCell ref="A14:A16"/>
    <mergeCell ref="B14:B16"/>
    <mergeCell ref="A18:A24"/>
    <mergeCell ref="B18:B24"/>
    <mergeCell ref="A26:A28"/>
    <mergeCell ref="B26:B28"/>
    <mergeCell ref="A38:A41"/>
    <mergeCell ref="B38:B41"/>
    <mergeCell ref="A30:A33"/>
    <mergeCell ref="B30:B33"/>
    <mergeCell ref="A35:A37"/>
    <mergeCell ref="B35:B3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B1:J557"/>
  <sheetViews>
    <sheetView view="pageBreakPreview" topLeftCell="A26" zoomScale="130" zoomScaleSheetLayoutView="130" workbookViewId="0">
      <selection activeCell="C33" sqref="C33"/>
    </sheetView>
  </sheetViews>
  <sheetFormatPr defaultRowHeight="16.5"/>
  <cols>
    <col min="1" max="1" width="0.85546875" style="304" customWidth="1"/>
    <col min="2" max="2" width="15.7109375" style="303" customWidth="1"/>
    <col min="3" max="3" width="78" style="301" customWidth="1"/>
    <col min="4" max="4" width="5" style="302" customWidth="1"/>
    <col min="5" max="5" width="15.85546875" style="303" customWidth="1"/>
    <col min="6" max="6" width="9.140625" style="304"/>
    <col min="7" max="7" width="16.7109375" style="305" customWidth="1"/>
    <col min="8" max="8" width="20" style="304" customWidth="1"/>
    <col min="9" max="9" width="9.140625" style="304"/>
    <col min="10" max="10" width="11.5703125" style="304" bestFit="1" customWidth="1"/>
    <col min="11" max="16384" width="9.140625" style="304"/>
  </cols>
  <sheetData>
    <row r="1" spans="2:8" ht="34.5" customHeight="1">
      <c r="B1" s="1314" t="s">
        <v>4506</v>
      </c>
      <c r="C1" s="1314"/>
      <c r="D1" s="1314"/>
      <c r="E1" s="1314"/>
    </row>
    <row r="2" spans="2:8" ht="34.5" customHeight="1">
      <c r="B2" s="434" t="s">
        <v>3638</v>
      </c>
      <c r="C2" s="435" t="s">
        <v>3637</v>
      </c>
      <c r="D2" s="436"/>
      <c r="E2" s="434" t="s">
        <v>3639</v>
      </c>
    </row>
    <row r="3" spans="2:8">
      <c r="B3" s="306" t="str">
        <f>'analisa 2019'!A3</f>
        <v>A.2.2.1</v>
      </c>
      <c r="C3" s="307" t="str">
        <f>'analisa 2019'!B3</f>
        <v>HARGA SATUAN PEKERJAAN PERSIAPAN</v>
      </c>
      <c r="D3" s="308"/>
      <c r="E3" s="309"/>
    </row>
    <row r="4" spans="2:8">
      <c r="B4" s="310" t="str">
        <f>'analisa 2019'!A4</f>
        <v>A. 2.2.1.1</v>
      </c>
      <c r="C4" s="311" t="str">
        <f>'analisa 2019'!B4</f>
        <v>Pembuatan 1 m2 pagar sementara dari kayu tinggi 2 meter</v>
      </c>
      <c r="D4" s="312"/>
      <c r="E4" s="313">
        <f>'analisa 2019'!$G$23</f>
        <v>425314.62</v>
      </c>
      <c r="G4" s="314">
        <v>396425.13</v>
      </c>
      <c r="H4" s="315">
        <f>E4-G4</f>
        <v>28889.489999999991</v>
      </c>
    </row>
    <row r="5" spans="2:8">
      <c r="B5" s="310" t="str">
        <f>'analisa 2019'!A25</f>
        <v>A. 2.2.1.2</v>
      </c>
      <c r="C5" s="311" t="str">
        <f>'analisa 2019'!B25</f>
        <v>Pembuatan 1 m2  pagar sementara dari seng gelombang tinggi 2 meter</v>
      </c>
      <c r="D5" s="312"/>
      <c r="E5" s="313">
        <f>'analisa 2019'!$G$45</f>
        <v>429371.25</v>
      </c>
      <c r="G5" s="314">
        <v>402947.06</v>
      </c>
      <c r="H5" s="315">
        <f t="shared" ref="H5:H65" si="0">E5-G5</f>
        <v>26424.190000000002</v>
      </c>
    </row>
    <row r="6" spans="2:8">
      <c r="B6" s="310" t="str">
        <f>'analisa 2019'!A47</f>
        <v>A. 2.2.1.3</v>
      </c>
      <c r="C6" s="311" t="str">
        <f>'analisa 2019'!B47</f>
        <v>Pembuatan 1 m2  pagar sementara dari kawat duri tinggi 1.8 meter</v>
      </c>
      <c r="D6" s="312"/>
      <c r="E6" s="313">
        <f>'analisa 2019'!$G$65</f>
        <v>189173.62</v>
      </c>
      <c r="G6" s="314">
        <v>171804.25</v>
      </c>
      <c r="H6" s="315">
        <f t="shared" si="0"/>
        <v>17369.369999999995</v>
      </c>
    </row>
    <row r="7" spans="2:8">
      <c r="B7" s="310" t="str">
        <f>'analisa 2019'!A67</f>
        <v>A. 2.2.1.4</v>
      </c>
      <c r="C7" s="311" t="str">
        <f>'analisa 2019'!B67</f>
        <v>Pengukuran dan pemasangan 1 m’ Bouwplank</v>
      </c>
      <c r="D7" s="312"/>
      <c r="E7" s="313">
        <f>'analisa 2019'!$G$82</f>
        <v>107473.25</v>
      </c>
      <c r="G7" s="314">
        <v>100004</v>
      </c>
      <c r="H7" s="315">
        <f t="shared" si="0"/>
        <v>7469.25</v>
      </c>
    </row>
    <row r="8" spans="2:8" s="780" customFormat="1">
      <c r="B8" s="776" t="str">
        <f>'analisa 2019'!A84</f>
        <v>A. 2.2.1.5</v>
      </c>
      <c r="C8" s="777" t="str">
        <f>'analisa 2019'!B84</f>
        <v>Pembuatan 1 m2 kantor sementara lantai plesteran</v>
      </c>
      <c r="D8" s="778"/>
      <c r="E8" s="779">
        <f>'analisa 2019'!$G$111</f>
        <v>1693570.5</v>
      </c>
      <c r="G8" s="781">
        <v>1555991.98</v>
      </c>
      <c r="H8" s="782">
        <f t="shared" si="0"/>
        <v>137578.52000000002</v>
      </c>
    </row>
    <row r="9" spans="2:8">
      <c r="B9" s="310" t="str">
        <f>'analisa 2019'!A113</f>
        <v>A. 2.2.1.6</v>
      </c>
      <c r="C9" s="311" t="str">
        <f>'analisa 2019'!B113</f>
        <v>Pembuatan 1 m2 rumah jaga (konstruksi kayu )</v>
      </c>
      <c r="D9" s="312"/>
      <c r="E9" s="313">
        <f>'analisa 2019'!$G$129</f>
        <v>1673871</v>
      </c>
      <c r="G9" s="314">
        <v>1565035</v>
      </c>
      <c r="H9" s="315">
        <f t="shared" si="0"/>
        <v>108836</v>
      </c>
    </row>
    <row r="10" spans="2:8">
      <c r="B10" s="310" t="str">
        <f>'analisa 2019'!A131</f>
        <v>A. 2.2.1.7</v>
      </c>
      <c r="C10" s="311" t="str">
        <f>'analisa 2019'!B131</f>
        <v>Pembuatan 1 m2 gudang semen dan peralatan</v>
      </c>
      <c r="D10" s="312"/>
      <c r="E10" s="313">
        <f>'analisa 2019'!$G$151</f>
        <v>1528180.38</v>
      </c>
      <c r="G10" s="314">
        <v>1409519.06</v>
      </c>
      <c r="H10" s="315">
        <f t="shared" si="0"/>
        <v>118661.31999999983</v>
      </c>
    </row>
    <row r="11" spans="2:8">
      <c r="B11" s="310" t="str">
        <f>'analisa 2019'!A153</f>
        <v>A. 2.2.1.8</v>
      </c>
      <c r="C11" s="311" t="str">
        <f>'analisa 2019'!B153</f>
        <v>Pembuatan 1 m2 bedeng pekerja</v>
      </c>
      <c r="D11" s="312"/>
      <c r="E11" s="313">
        <f>'analisa 2019'!$G$173</f>
        <v>1554460.75</v>
      </c>
      <c r="G11" s="314">
        <v>1403649.75</v>
      </c>
      <c r="H11" s="315">
        <f t="shared" si="0"/>
        <v>150811</v>
      </c>
    </row>
    <row r="12" spans="2:8">
      <c r="B12" s="310" t="str">
        <f>'analisa 2019'!A175</f>
        <v>A. 2.2.1.9</v>
      </c>
      <c r="C12" s="311" t="str">
        <f>'analisa 2019'!B175</f>
        <v>Pembersihan 1 m2 lapangan dan perataan</v>
      </c>
      <c r="D12" s="312"/>
      <c r="E12" s="313">
        <f>'analisa 2019'!$G$185</f>
        <v>20700</v>
      </c>
      <c r="G12" s="314">
        <v>18400</v>
      </c>
      <c r="H12" s="315">
        <f t="shared" si="0"/>
        <v>2300</v>
      </c>
    </row>
    <row r="13" spans="2:8">
      <c r="B13" s="310" t="str">
        <f>'analisa 2019'!A187</f>
        <v>A. 2.2.1.10</v>
      </c>
      <c r="C13" s="311" t="str">
        <f>'analisa 2019'!B187</f>
        <v>Pembuatan 1 m2 steger/perancah dari bambu</v>
      </c>
      <c r="D13" s="312"/>
      <c r="E13" s="313">
        <f>'analisa 2019'!$G$201</f>
        <v>360827.45</v>
      </c>
      <c r="G13" s="314">
        <v>314049.88</v>
      </c>
      <c r="H13" s="315">
        <f t="shared" si="0"/>
        <v>46777.570000000007</v>
      </c>
    </row>
    <row r="14" spans="2:8" s="405" customFormat="1" hidden="1">
      <c r="B14" s="401" t="str">
        <f>'analisa 2019'!A203</f>
        <v>A. 2.2.1.11</v>
      </c>
      <c r="C14" s="402" t="str">
        <f>'analisa 2019'!B203</f>
        <v>Pembuatan 1 buah kotak adukan ukuran 40cm x50cm x25cm</v>
      </c>
      <c r="D14" s="403"/>
      <c r="E14" s="404">
        <f>'analisa 2019'!H216</f>
        <v>198858</v>
      </c>
      <c r="G14" s="406">
        <v>184161</v>
      </c>
      <c r="H14" s="407">
        <f t="shared" si="0"/>
        <v>14697</v>
      </c>
    </row>
    <row r="15" spans="2:8">
      <c r="B15" s="310" t="str">
        <f>'analisa 2019'!A218</f>
        <v>A. 2.2.1.12</v>
      </c>
      <c r="C15" s="311" t="str">
        <f>'analisa 2019'!B218</f>
        <v>Pembuatan 1 m2 jalan sementara</v>
      </c>
      <c r="D15" s="312"/>
      <c r="E15" s="313">
        <f>'analisa 2019'!$G$231</f>
        <v>230138</v>
      </c>
      <c r="G15" s="314">
        <v>180147.5</v>
      </c>
      <c r="H15" s="315">
        <f t="shared" si="0"/>
        <v>49990.5</v>
      </c>
    </row>
    <row r="16" spans="2:8">
      <c r="B16" s="310" t="str">
        <f>'analisa 2019'!A233</f>
        <v>A. 2.2.1.13</v>
      </c>
      <c r="C16" s="311" t="str">
        <f>'analisa 2019'!B233</f>
        <v>Pembongkaran 1 m3 beton bertulang</v>
      </c>
      <c r="D16" s="312"/>
      <c r="E16" s="313">
        <f>'analisa 2019'!$G$243</f>
        <v>1793977</v>
      </c>
      <c r="G16" s="314">
        <v>1625318</v>
      </c>
      <c r="H16" s="315">
        <f t="shared" si="0"/>
        <v>168659</v>
      </c>
    </row>
    <row r="17" spans="2:8">
      <c r="B17" s="310" t="str">
        <f>'analisa 2019'!A245</f>
        <v>A. 2.2.1.14</v>
      </c>
      <c r="C17" s="311" t="str">
        <f>'analisa 2019'!B245</f>
        <v>Pembongkaran 1 m3 dinding tembok bata</v>
      </c>
      <c r="D17" s="312"/>
      <c r="E17" s="313">
        <f>'analisa 2019'!$G$255</f>
        <v>896988.5</v>
      </c>
      <c r="G17" s="314">
        <v>812659</v>
      </c>
      <c r="H17" s="315">
        <f t="shared" si="0"/>
        <v>84329.5</v>
      </c>
    </row>
    <row r="18" spans="2:8">
      <c r="B18" s="310" t="str">
        <f>'analisa 2019'!A257</f>
        <v>A. 2.2.1.15</v>
      </c>
      <c r="C18" s="311" t="str">
        <f>'analisa 2019'!B257</f>
        <v xml:space="preserve">Pemasangan 1 m2  pagar kawat jaring galvanis </v>
      </c>
      <c r="D18" s="312"/>
      <c r="E18" s="313">
        <f>'analisa 2019'!$G$270</f>
        <v>63105.94</v>
      </c>
      <c r="G18" s="314">
        <v>59135.99</v>
      </c>
      <c r="H18" s="315">
        <f t="shared" si="0"/>
        <v>3969.9500000000044</v>
      </c>
    </row>
    <row r="19" spans="2:8">
      <c r="B19" s="310" t="str">
        <f>'analisa 2019'!A272</f>
        <v>A. 2.2.1.16</v>
      </c>
      <c r="C19" s="311" t="str">
        <f>'analisa 2019'!B272</f>
        <v>Pemasangan 1 m2 panel beton pracetak 5x45x240 cm</v>
      </c>
      <c r="D19" s="312"/>
      <c r="E19" s="313">
        <f>'analisa 2019'!$G$289</f>
        <v>614117.25</v>
      </c>
      <c r="G19" s="314">
        <v>528514.13</v>
      </c>
      <c r="H19" s="315">
        <f t="shared" si="0"/>
        <v>85603.12</v>
      </c>
    </row>
    <row r="20" spans="2:8">
      <c r="B20" s="310"/>
      <c r="C20" s="311"/>
      <c r="D20" s="312"/>
      <c r="E20" s="310"/>
      <c r="G20" s="314"/>
      <c r="H20" s="315">
        <f t="shared" si="0"/>
        <v>0</v>
      </c>
    </row>
    <row r="21" spans="2:8">
      <c r="B21" s="316" t="str">
        <f>'analisa 2019'!A291</f>
        <v>A.2.3.1</v>
      </c>
      <c r="C21" s="317" t="str">
        <f>'analisa 2019'!B291</f>
        <v>HARGA SATUAN PEKERJAAN TANAH</v>
      </c>
      <c r="D21" s="312"/>
      <c r="E21" s="310"/>
      <c r="G21" s="314"/>
      <c r="H21" s="315">
        <f t="shared" si="0"/>
        <v>0</v>
      </c>
    </row>
    <row r="22" spans="2:8">
      <c r="B22" s="310" t="str">
        <f>'analisa 2019'!A292</f>
        <v>A.2.3.1.1</v>
      </c>
      <c r="C22" s="311" t="str">
        <f>'analisa 2019'!B292</f>
        <v>Penggalian 1 m3 tanah biasa sedalam 1 m</v>
      </c>
      <c r="D22" s="312"/>
      <c r="E22" s="313">
        <f>'analisa 2019'!$G$302</f>
        <v>98900</v>
      </c>
      <c r="G22" s="314">
        <v>89700</v>
      </c>
      <c r="H22" s="315">
        <f t="shared" si="0"/>
        <v>9200</v>
      </c>
    </row>
    <row r="23" spans="2:8">
      <c r="B23" s="310" t="str">
        <f>'analisa 2019'!A304</f>
        <v>A.2.3.1.2</v>
      </c>
      <c r="C23" s="311" t="str">
        <f>'analisa 2019'!B304</f>
        <v>Penggalian 1 m3 tanah biasa sedalam 2 m</v>
      </c>
      <c r="D23" s="312"/>
      <c r="E23" s="313">
        <f>'analisa 2019'!$G$314</f>
        <v>121095</v>
      </c>
      <c r="G23" s="314">
        <v>109710</v>
      </c>
      <c r="H23" s="315">
        <f t="shared" si="0"/>
        <v>11385</v>
      </c>
    </row>
    <row r="24" spans="2:8">
      <c r="B24" s="310" t="str">
        <f>'analisa 2019'!A316</f>
        <v>A.2.3.1.3</v>
      </c>
      <c r="C24" s="311" t="str">
        <f>'analisa 2019'!B316</f>
        <v>Penggalian 1 m3 tanah biasa sedalam 3 m</v>
      </c>
      <c r="D24" s="312"/>
      <c r="E24" s="313">
        <f>'analisa 2019'!$G$326</f>
        <v>143612</v>
      </c>
      <c r="G24" s="314">
        <v>129996</v>
      </c>
      <c r="H24" s="315">
        <f t="shared" si="0"/>
        <v>13616</v>
      </c>
    </row>
    <row r="25" spans="2:8">
      <c r="B25" s="310" t="str">
        <f>'analisa 2019'!A328</f>
        <v>A.2.3.1.4</v>
      </c>
      <c r="C25" s="311" t="str">
        <f>'analisa 2019'!B328</f>
        <v>Penggalian 1 m3 tanah keras sedalam 1 m</v>
      </c>
      <c r="D25" s="312"/>
      <c r="E25" s="313">
        <f>'analisa 2019'!$G$338</f>
        <v>131652</v>
      </c>
      <c r="G25" s="314">
        <v>119416</v>
      </c>
      <c r="H25" s="315">
        <f t="shared" si="0"/>
        <v>12236</v>
      </c>
    </row>
    <row r="26" spans="2:8">
      <c r="B26" s="310" t="str">
        <f>'analisa 2019'!A340</f>
        <v>A.2.3.1.5</v>
      </c>
      <c r="C26" s="311" t="str">
        <f>'analisa 2019'!B340</f>
        <v>Penggalian 1 m3 tanah cadas sedalam 1 m</v>
      </c>
      <c r="D26" s="312"/>
      <c r="E26" s="313">
        <f>'analisa 2019'!$G$350</f>
        <v>199410</v>
      </c>
      <c r="G26" s="314">
        <v>180780</v>
      </c>
      <c r="H26" s="315">
        <f t="shared" si="0"/>
        <v>18630</v>
      </c>
    </row>
    <row r="27" spans="2:8">
      <c r="B27" s="310" t="str">
        <f>'analisa 2019'!A352</f>
        <v>A.2.3.1.6</v>
      </c>
      <c r="C27" s="311" t="str">
        <f>'analisa 2019'!B352</f>
        <v>Penggalian 1 m3 tanah lumpur sedalam 1 m</v>
      </c>
      <c r="D27" s="312"/>
      <c r="E27" s="313">
        <f>'analisa 2019'!$G$362</f>
        <v>159045</v>
      </c>
      <c r="G27" s="314">
        <v>144210</v>
      </c>
      <c r="H27" s="315">
        <f t="shared" si="0"/>
        <v>14835</v>
      </c>
    </row>
    <row r="28" spans="2:8">
      <c r="B28" s="310" t="str">
        <f>'analisa 2019'!A364</f>
        <v>A.2.3.1.7</v>
      </c>
      <c r="C28" s="311" t="str">
        <f>'analisa 2019'!B364</f>
        <v>Pengerjaan stripping 1 m2 tanah tebing setinggi 1 meter</v>
      </c>
      <c r="D28" s="312"/>
      <c r="E28" s="313">
        <f>'analisa 2019'!$G$374</f>
        <v>7130</v>
      </c>
      <c r="G28" s="314">
        <v>6440</v>
      </c>
      <c r="H28" s="315">
        <f t="shared" si="0"/>
        <v>690</v>
      </c>
    </row>
    <row r="29" spans="2:8">
      <c r="B29" s="310" t="str">
        <f>'analisa 2019'!A376</f>
        <v>A.2.3.1.8</v>
      </c>
      <c r="C29" s="311" t="str">
        <f>'analisa 2019'!B376</f>
        <v>Pembuangan 1 m3 tanah sejauh 30 meter</v>
      </c>
      <c r="D29" s="312"/>
      <c r="E29" s="313">
        <f>'analisa 2019'!$G$386</f>
        <v>43355</v>
      </c>
      <c r="G29" s="314">
        <v>39330</v>
      </c>
      <c r="H29" s="315">
        <f t="shared" si="0"/>
        <v>4025</v>
      </c>
    </row>
    <row r="30" spans="2:8">
      <c r="B30" s="310" t="str">
        <f>'analisa 2019'!A388</f>
        <v>A.2.3.1.9</v>
      </c>
      <c r="C30" s="311" t="str">
        <f>'analisa 2019'!B388</f>
        <v>Pengurugan kembali 1 m3 galian tanah</v>
      </c>
      <c r="D30" s="312"/>
      <c r="E30" s="313">
        <f>'analisa 2019'!$G$398</f>
        <v>71300</v>
      </c>
      <c r="G30" s="314">
        <v>64400</v>
      </c>
      <c r="H30" s="315">
        <f t="shared" si="0"/>
        <v>6900</v>
      </c>
    </row>
    <row r="31" spans="2:8">
      <c r="B31" s="310" t="str">
        <f>'analisa 2019'!A400</f>
        <v>A.2.3.1.10</v>
      </c>
      <c r="C31" s="311" t="str">
        <f>'analisa 2019'!B400</f>
        <v>Pemadatan tanah 1 m3 tanah ( per 20 cm)</v>
      </c>
      <c r="D31" s="312"/>
      <c r="E31" s="313">
        <f>'analisa 2019'!$G$410</f>
        <v>71300</v>
      </c>
      <c r="G31" s="314">
        <v>64400</v>
      </c>
      <c r="H31" s="315">
        <f t="shared" si="0"/>
        <v>6900</v>
      </c>
    </row>
    <row r="32" spans="2:8">
      <c r="B32" s="310" t="str">
        <f>'analisa 2019'!A412</f>
        <v>A.2.3.1.11</v>
      </c>
      <c r="C32" s="311" t="str">
        <f>'analisa 2019'!B412</f>
        <v>Pengurugan 1 m3 dengan pasir urug</v>
      </c>
      <c r="D32" s="312"/>
      <c r="E32" s="313">
        <f>'analisa 2019'!$G$423</f>
        <v>214130</v>
      </c>
      <c r="G32" s="314">
        <v>187680</v>
      </c>
      <c r="H32" s="315">
        <f t="shared" si="0"/>
        <v>26450</v>
      </c>
    </row>
    <row r="33" spans="2:8">
      <c r="B33" s="310" t="str">
        <f>'analisa 2019'!A425</f>
        <v>A.2.3.1.11. A</v>
      </c>
      <c r="C33" s="311" t="str">
        <f>'analisa 2019'!B425</f>
        <v>Pengurugan 1 m3 dengan tanah urug</v>
      </c>
      <c r="D33" s="312"/>
      <c r="E33" s="313">
        <f>'analisa 2019'!$G$436</f>
        <v>214130</v>
      </c>
      <c r="G33" s="314">
        <v>187680</v>
      </c>
      <c r="H33" s="315">
        <f t="shared" si="0"/>
        <v>26450</v>
      </c>
    </row>
    <row r="34" spans="2:8" s="405" customFormat="1" hidden="1">
      <c r="B34" s="401" t="str">
        <f>'analisa 2019'!A438</f>
        <v>A.2.3.1.12</v>
      </c>
      <c r="C34" s="402" t="str">
        <f>'analisa 2019'!B438</f>
        <v>Pemasangan 1 m3 lapisan pudel campuran 1KP:3PP:7TL</v>
      </c>
      <c r="D34" s="403"/>
      <c r="E34" s="404">
        <f>'analisa 2019'!H453</f>
        <v>404250.3</v>
      </c>
      <c r="G34" s="406">
        <v>357742</v>
      </c>
      <c r="H34" s="407">
        <f t="shared" si="0"/>
        <v>46508.299999999988</v>
      </c>
    </row>
    <row r="35" spans="2:8">
      <c r="B35" s="310" t="str">
        <f>'analisa 2019'!A455</f>
        <v>A.2.3.1.13</v>
      </c>
      <c r="C35" s="311" t="str">
        <f>'analisa 2019'!B455</f>
        <v>Pemasangan 1 m2 lapisan ijuk tebal 10 cm untuk bidang resapan</v>
      </c>
      <c r="D35" s="312"/>
      <c r="E35" s="313">
        <f>'analisa 2019'!$G$466</f>
        <v>249090</v>
      </c>
      <c r="G35" s="314">
        <v>245122.5</v>
      </c>
      <c r="H35" s="315">
        <f t="shared" si="0"/>
        <v>3967.5</v>
      </c>
    </row>
    <row r="36" spans="2:8">
      <c r="B36" s="310" t="str">
        <f>'analisa 2019'!A468</f>
        <v>A.2.3.1.14</v>
      </c>
      <c r="C36" s="311" t="str">
        <f>'analisa 2019'!B468</f>
        <v>Pengurugan  1 m3 sirtu padat</v>
      </c>
      <c r="D36" s="312"/>
      <c r="E36" s="313">
        <f>'analisa 2019'!$G$479</f>
        <v>321310</v>
      </c>
      <c r="G36" s="314">
        <v>208150</v>
      </c>
      <c r="H36" s="315">
        <f t="shared" si="0"/>
        <v>113160</v>
      </c>
    </row>
    <row r="37" spans="2:8">
      <c r="B37" s="310"/>
      <c r="C37" s="311"/>
      <c r="D37" s="312"/>
      <c r="E37" s="313"/>
      <c r="G37" s="314"/>
      <c r="H37" s="315">
        <f t="shared" si="0"/>
        <v>0</v>
      </c>
    </row>
    <row r="38" spans="2:8">
      <c r="B38" s="316" t="str">
        <f>'analisa 2019'!A481</f>
        <v xml:space="preserve">A.3.2.1 </v>
      </c>
      <c r="C38" s="317" t="str">
        <f>'analisa 2019'!B481</f>
        <v>HARGA SATUAN PEKERJAAN PONDASI</v>
      </c>
      <c r="D38" s="312"/>
      <c r="E38" s="313"/>
      <c r="G38" s="314"/>
      <c r="H38" s="315">
        <f t="shared" si="0"/>
        <v>0</v>
      </c>
    </row>
    <row r="39" spans="2:8">
      <c r="B39" s="310" t="str">
        <f>'analisa 2019'!A482</f>
        <v>A.3.2.1.1</v>
      </c>
      <c r="C39" s="311" t="str">
        <f>'analisa 2019'!B482</f>
        <v xml:space="preserve"> Pemasangan 1 m3 pondasi batu belah campuran 1SP : 3PP</v>
      </c>
      <c r="D39" s="312"/>
      <c r="E39" s="313">
        <f>'analisa 2019'!$G$497</f>
        <v>1222680</v>
      </c>
      <c r="G39" s="314">
        <v>996388.75</v>
      </c>
      <c r="H39" s="315">
        <f t="shared" si="0"/>
        <v>226291.25</v>
      </c>
    </row>
    <row r="40" spans="2:8">
      <c r="B40" s="310" t="str">
        <f>'analisa 2019'!A499</f>
        <v>A.3.2.1.2</v>
      </c>
      <c r="C40" s="311" t="str">
        <f>'analisa 2019'!B499</f>
        <v>Pemasangan 1 m3 pondasi batu belah campuran 1SP : 4PP</v>
      </c>
      <c r="D40" s="312"/>
      <c r="E40" s="313">
        <f>'analisa 2019'!$G$514</f>
        <v>1156882.75</v>
      </c>
      <c r="G40" s="314">
        <v>945084.38</v>
      </c>
      <c r="H40" s="315">
        <f t="shared" si="0"/>
        <v>211798.37</v>
      </c>
    </row>
    <row r="41" spans="2:8">
      <c r="B41" s="310" t="str">
        <f>'analisa 2019'!A516</f>
        <v>A.3.2.1.3</v>
      </c>
      <c r="C41" s="311" t="str">
        <f>'analisa 2019'!B516</f>
        <v>Pemasangan 1 m3 pondasi batu belah campuran 1SP : 5PP</v>
      </c>
      <c r="D41" s="312"/>
      <c r="E41" s="313">
        <f>'analisa 2019'!$G$531</f>
        <v>1111284.1000000001</v>
      </c>
      <c r="G41" s="314">
        <v>909523.5</v>
      </c>
      <c r="H41" s="315">
        <f t="shared" si="0"/>
        <v>201760.60000000009</v>
      </c>
    </row>
    <row r="42" spans="2:8">
      <c r="B42" s="310" t="str">
        <f>'analisa 2019'!A533</f>
        <v>A.3.2.1.4</v>
      </c>
      <c r="C42" s="311" t="str">
        <f>'analisa 2019'!B533</f>
        <v>Pemasangan 1 m3 pondasi batu belah campuran 1SP : 6PP</v>
      </c>
      <c r="D42" s="312"/>
      <c r="E42" s="313">
        <f>'analisa 2019'!$G$548</f>
        <v>1079218.6499999999</v>
      </c>
      <c r="G42" s="314">
        <v>884519.63</v>
      </c>
      <c r="H42" s="315">
        <f t="shared" si="0"/>
        <v>194699.0199999999</v>
      </c>
    </row>
    <row r="43" spans="2:8">
      <c r="B43" s="310" t="str">
        <f>'analisa 2019'!A550</f>
        <v>A.3.2.1.5</v>
      </c>
      <c r="C43" s="311" t="str">
        <f>'analisa 2019'!B550</f>
        <v>Pemasangan 1 m3 pondasi batu belah campuran 1SP : 8PP</v>
      </c>
      <c r="D43" s="312"/>
      <c r="E43" s="313">
        <f>'analisa 2019'!$G$565</f>
        <v>1035286.35</v>
      </c>
      <c r="G43" s="314">
        <v>850255.38</v>
      </c>
      <c r="H43" s="315">
        <f t="shared" si="0"/>
        <v>185030.96999999997</v>
      </c>
    </row>
    <row r="44" spans="2:8">
      <c r="B44" s="310" t="str">
        <f>'analisa 2019'!A567</f>
        <v>A.3.2.1.9</v>
      </c>
      <c r="C44" s="311" t="str">
        <f>'analisa 2019'!B567</f>
        <v>Pemasangan 1 m3 batu kosong (anstamping)</v>
      </c>
      <c r="D44" s="312"/>
      <c r="E44" s="313">
        <f>'analisa 2019'!$G$581</f>
        <v>648827.69999999995</v>
      </c>
      <c r="G44" s="314">
        <v>519880.5</v>
      </c>
      <c r="H44" s="315">
        <f t="shared" si="0"/>
        <v>128947.19999999995</v>
      </c>
    </row>
    <row r="45" spans="2:8">
      <c r="B45" s="310" t="str">
        <f>'analisa 2019'!A583</f>
        <v>A.3.2.1.10</v>
      </c>
      <c r="C45" s="311" t="str">
        <f>'analisa 2019'!B583</f>
        <v>Pemasangan 1 m3 pondasi siklop 60% beton campuran 1SP : 2PP</v>
      </c>
      <c r="D45" s="312"/>
      <c r="E45" s="313">
        <f>'analisa 2019'!$G$601</f>
        <v>3322540.44</v>
      </c>
      <c r="G45" s="314">
        <v>2915439.75</v>
      </c>
      <c r="H45" s="315">
        <f t="shared" si="0"/>
        <v>407100.68999999994</v>
      </c>
    </row>
    <row r="46" spans="2:8">
      <c r="B46" s="310" t="str">
        <f>'analisa 2019'!A603</f>
        <v>A.3.2.1.11</v>
      </c>
      <c r="C46" s="311" t="str">
        <f>'analisa 2019'!B603</f>
        <v>Pemasangan 1 m3 pondasi sumuran diameter 100 cm</v>
      </c>
      <c r="D46" s="312"/>
      <c r="E46" s="313">
        <f>'analisa 2019'!$G$619</f>
        <v>1205855.04</v>
      </c>
      <c r="G46" s="314">
        <v>996963.75</v>
      </c>
      <c r="H46" s="315">
        <f t="shared" si="0"/>
        <v>208891.29000000004</v>
      </c>
    </row>
    <row r="47" spans="2:8">
      <c r="B47" s="310"/>
      <c r="C47" s="311"/>
      <c r="D47" s="312"/>
      <c r="E47" s="313"/>
      <c r="H47" s="315">
        <f t="shared" si="0"/>
        <v>0</v>
      </c>
    </row>
    <row r="48" spans="2:8">
      <c r="B48" s="316" t="str">
        <f>'analisa 2019'!A621</f>
        <v>A.4.1.1</v>
      </c>
      <c r="C48" s="317" t="str">
        <f>'analisa 2019'!B621</f>
        <v>HARGA SATUAN PEKERJAAN BETON</v>
      </c>
      <c r="D48" s="312"/>
      <c r="E48" s="310"/>
      <c r="H48" s="315">
        <f t="shared" si="0"/>
        <v>0</v>
      </c>
    </row>
    <row r="49" spans="2:8">
      <c r="B49" s="310" t="str">
        <f>'analisa 2019'!A622</f>
        <v>A.4.1.1.1</v>
      </c>
      <c r="C49" s="318" t="str">
        <f>'analisa 2019'!B622</f>
        <v>Membuat 1 m3 beton mutu f’= 7.4 MPa (K 100). slump (12 ± 2) cm. w/c = 0.87</v>
      </c>
      <c r="D49" s="312"/>
      <c r="E49" s="313">
        <f>'analisa 2019'!$G$638</f>
        <v>1120814.8899999999</v>
      </c>
      <c r="G49" s="314">
        <v>920922.05</v>
      </c>
      <c r="H49" s="319">
        <f t="shared" si="0"/>
        <v>199892.83999999985</v>
      </c>
    </row>
    <row r="50" spans="2:8">
      <c r="B50" s="310" t="str">
        <f>'analisa 2019'!A640</f>
        <v>A.4.1.1.2</v>
      </c>
      <c r="C50" s="318" t="str">
        <f>'analisa 2019'!B640</f>
        <v>Membuat 1 m3 beton mutu f’= 9.8 MPa (K 125). slump (12 ± 2) cm. w/c = 0.78</v>
      </c>
      <c r="D50" s="312"/>
      <c r="E50" s="313">
        <f>'analisa 2019'!$G$656</f>
        <v>1172383.5900000001</v>
      </c>
      <c r="G50" s="314">
        <v>960963.27</v>
      </c>
      <c r="H50" s="315">
        <f t="shared" si="0"/>
        <v>211420.32000000007</v>
      </c>
    </row>
    <row r="51" spans="2:8">
      <c r="B51" s="310" t="str">
        <f>'analisa 2019'!A658</f>
        <v xml:space="preserve">A.4.1.1.3 </v>
      </c>
      <c r="C51" s="318" t="str">
        <f>'analisa 2019'!B658</f>
        <v>Membuat 1 m3 beton mutu f’= 12.2 MPa (K 150). slump (12 ± 2) cm. w/c = 0.72</v>
      </c>
      <c r="D51" s="312"/>
      <c r="E51" s="313">
        <f>'analisa 2019'!$G$674</f>
        <v>1212442.48</v>
      </c>
      <c r="G51" s="314">
        <v>992164.55</v>
      </c>
      <c r="H51" s="315">
        <f t="shared" si="0"/>
        <v>220277.92999999993</v>
      </c>
    </row>
    <row r="52" spans="2:8">
      <c r="B52" s="310" t="str">
        <f>'analisa 2019'!A678</f>
        <v>A.4.1.1.4</v>
      </c>
      <c r="C52" s="318" t="str">
        <f>'analisa 2019'!B678</f>
        <v>Membuat 1 m3 lantai kerja beton mutu f’c = 7.4 MPa (K 100). slump (3-6) cm w/c = 0.87</v>
      </c>
      <c r="D52" s="312"/>
      <c r="E52" s="313">
        <f>'analisa 2019'!$G$694</f>
        <v>1024941.34</v>
      </c>
      <c r="G52" s="314">
        <v>837371.13</v>
      </c>
      <c r="H52" s="315">
        <f t="shared" si="0"/>
        <v>187570.20999999996</v>
      </c>
    </row>
    <row r="53" spans="2:8">
      <c r="B53" s="310" t="str">
        <f>'analisa 2019'!A696</f>
        <v>A.4.1.1.5</v>
      </c>
      <c r="C53" s="318" t="str">
        <f>'analisa 2019'!B696</f>
        <v>Membuat 1 m3 beton mutu f’  = 14.5 MPa (K 175). slump (12 ±2) cm. w/c = 0.66</v>
      </c>
      <c r="D53" s="312"/>
      <c r="E53" s="313">
        <f>'analisa 2019'!$G$712</f>
        <v>1417037.32</v>
      </c>
      <c r="G53" s="314">
        <v>1059995.1599999999</v>
      </c>
      <c r="H53" s="315">
        <f t="shared" si="0"/>
        <v>357042.16000000015</v>
      </c>
    </row>
    <row r="54" spans="2:8">
      <c r="B54" s="310" t="str">
        <f>'analisa 2019'!A714</f>
        <v>A.4.1.1.6</v>
      </c>
      <c r="C54" s="318" t="str">
        <f>'analisa 2019'!B714</f>
        <v>Membuat 1 m3 beton mutu f’= 16.9 MPa (K 200). slump (12 ± 2) cm. w/c = 0.61</v>
      </c>
      <c r="D54" s="312"/>
      <c r="E54" s="313">
        <f>'analisa 2019'!$G$730</f>
        <v>1462245.05</v>
      </c>
      <c r="G54" s="314">
        <v>1095122.94</v>
      </c>
      <c r="H54" s="315">
        <f t="shared" si="0"/>
        <v>367122.1100000001</v>
      </c>
    </row>
    <row r="55" spans="2:8">
      <c r="B55" s="310" t="str">
        <f>'analisa 2019'!A732</f>
        <v>A.4.1.1.7</v>
      </c>
      <c r="C55" s="318" t="str">
        <f>'analisa 2019'!B732</f>
        <v>Membuat 1 m3 beton mutu f’  = 19.3 MPa (K 225). slump (12 ± 2) cm. w/c = 0.58</v>
      </c>
      <c r="D55" s="312"/>
      <c r="E55" s="313">
        <f>'analisa 2019'!$G$748</f>
        <v>1499481.8</v>
      </c>
      <c r="G55" s="314">
        <v>1122461.3799999999</v>
      </c>
      <c r="H55" s="315">
        <f t="shared" si="0"/>
        <v>377020.42000000016</v>
      </c>
    </row>
    <row r="56" spans="2:8">
      <c r="B56" s="310" t="str">
        <f>'analisa 2019'!A750</f>
        <v>A.4.1.1.8</v>
      </c>
      <c r="C56" s="318" t="str">
        <f>'analisa 2019'!B750</f>
        <v xml:space="preserve"> Membuat 1 m3 beton mutu f’= 21.7 MPa (K 250). slump (12 ± 2) cm. w/c = 0.56</v>
      </c>
      <c r="D56" s="312"/>
      <c r="E56" s="313">
        <f>'analisa 2019'!$G$766</f>
        <v>1519657.56</v>
      </c>
      <c r="G56" s="314">
        <v>1139149.08</v>
      </c>
      <c r="H56" s="315">
        <f t="shared" si="0"/>
        <v>380508.48</v>
      </c>
    </row>
    <row r="57" spans="2:8">
      <c r="B57" s="310" t="str">
        <f>'analisa 2019'!A768</f>
        <v>A.4.1.1.9</v>
      </c>
      <c r="C57" s="318" t="str">
        <f>'analisa 2019'!B768</f>
        <v>Membuat 1 m3 beton mutu f’ = 24.0 MPa (K 275). slump (12 ± 2) cm. w/c = 0.53</v>
      </c>
      <c r="D57" s="312"/>
      <c r="E57" s="313">
        <f>'analisa 2019'!$G$784</f>
        <v>1554331.31</v>
      </c>
      <c r="G57" s="314">
        <v>1167792.1399999999</v>
      </c>
      <c r="H57" s="315">
        <f t="shared" si="0"/>
        <v>386539.17000000016</v>
      </c>
    </row>
    <row r="58" spans="2:8">
      <c r="B58" s="310" t="str">
        <f>'analisa 2019'!A786</f>
        <v>A.4.1.1.10</v>
      </c>
      <c r="C58" s="318" t="str">
        <f>'analisa 2019'!B786</f>
        <v>Membuat 1 m3 beton mutu f’c = 26.4 MPa (K 300). slump (12 ± 2) cm. w/c = 0.52</v>
      </c>
      <c r="D58" s="312"/>
      <c r="E58" s="313">
        <f>'analisa 2019'!$G$802</f>
        <v>1564947.24</v>
      </c>
      <c r="G58" s="314">
        <v>1176654.82</v>
      </c>
      <c r="H58" s="315">
        <f t="shared" si="0"/>
        <v>388292.41999999993</v>
      </c>
    </row>
    <row r="59" spans="2:8">
      <c r="B59" s="310" t="str">
        <f>'analisa 2019'!A804</f>
        <v>A.4.1.1.11</v>
      </c>
      <c r="C59" s="318" t="str">
        <f>'analisa 2019'!B804</f>
        <v xml:space="preserve"> Membuat 1 m3 beton mutu f’c = 28.8 MPa (K 325). slump (12 ± 2) cm. w/c = 0.49</v>
      </c>
      <c r="D59" s="312"/>
      <c r="E59" s="313">
        <f>'analisa 2019'!$G$820</f>
        <v>1679599.15</v>
      </c>
      <c r="G59" s="314">
        <v>1276565.6399999999</v>
      </c>
      <c r="H59" s="315">
        <f t="shared" si="0"/>
        <v>403033.51</v>
      </c>
    </row>
    <row r="60" spans="2:8">
      <c r="B60" s="310" t="str">
        <f>'analisa 2019'!A822</f>
        <v>A.4.1.1.12</v>
      </c>
      <c r="C60" s="318" t="str">
        <f>'analisa 2019'!B822</f>
        <v>Membuat 1 m3 beton mutu f’c = 31.2 MPa (K 350). slump (12 ± 2) cm. w/c = 0.48</v>
      </c>
      <c r="D60" s="312"/>
      <c r="E60" s="313">
        <f>'analisa 2019'!$G$838</f>
        <v>1693546.25</v>
      </c>
      <c r="G60" s="314">
        <v>1288168.0900000001</v>
      </c>
      <c r="H60" s="315">
        <f t="shared" si="0"/>
        <v>405378.15999999992</v>
      </c>
    </row>
    <row r="61" spans="2:8">
      <c r="B61" s="310" t="str">
        <f>'analisa 2019'!A840</f>
        <v>A.4.1.1.13</v>
      </c>
      <c r="C61" s="311" t="str">
        <f>'analisa 2019'!B840</f>
        <v>Membuat 1 m3 beton kedap air dengan strorox – 100</v>
      </c>
      <c r="D61" s="312"/>
      <c r="E61" s="313">
        <f>'analisa 2019'!$G$856</f>
        <v>1601938.5</v>
      </c>
      <c r="G61" s="314">
        <v>1335092.5</v>
      </c>
      <c r="H61" s="315">
        <f t="shared" si="0"/>
        <v>266846</v>
      </c>
    </row>
    <row r="62" spans="2:8">
      <c r="B62" s="310" t="str">
        <f>'analisa 2019'!A858</f>
        <v>A.4.1.1.14</v>
      </c>
      <c r="C62" s="311" t="str">
        <f>'analisa 2019'!B858</f>
        <v>Pemasangan 1 m’ PVC Waterstop lebar 150 mm</v>
      </c>
      <c r="D62" s="312"/>
      <c r="E62" s="313">
        <f>'analisa 2019'!$G$871</f>
        <v>85870.5</v>
      </c>
      <c r="G62" s="314">
        <v>84352.5</v>
      </c>
      <c r="H62" s="315">
        <f t="shared" si="0"/>
        <v>1518</v>
      </c>
    </row>
    <row r="63" spans="2:8">
      <c r="B63" s="310" t="str">
        <f>'analisa 2019'!A873</f>
        <v>A.4.1.1.15</v>
      </c>
      <c r="C63" s="311" t="str">
        <f>'analisa 2019'!B873</f>
        <v>Pemasangan 1 m’ PVC Waterstop lebar 200 mm</v>
      </c>
      <c r="D63" s="312"/>
      <c r="E63" s="313">
        <f>'analisa 2019'!$G$886</f>
        <v>112907</v>
      </c>
      <c r="G63" s="314">
        <v>111044</v>
      </c>
      <c r="H63" s="315">
        <f t="shared" si="0"/>
        <v>1863</v>
      </c>
    </row>
    <row r="64" spans="2:8">
      <c r="B64" s="310" t="str">
        <f>'analisa 2019'!A888</f>
        <v>A.4.1.1.16</v>
      </c>
      <c r="C64" s="311" t="str">
        <f>'analisa 2019'!B888</f>
        <v xml:space="preserve"> Membuat 1 m’ PVC Waterstop lebar 320 mm</v>
      </c>
      <c r="D64" s="312"/>
      <c r="E64" s="313">
        <f>'analisa 2019'!$G$901</f>
        <v>192981.5</v>
      </c>
      <c r="G64" s="314">
        <v>190957.5</v>
      </c>
      <c r="H64" s="315">
        <f t="shared" si="0"/>
        <v>2024</v>
      </c>
    </row>
    <row r="65" spans="2:8">
      <c r="B65" s="320" t="str">
        <f>'analisa 2019'!A903</f>
        <v>A.4.1.1.17</v>
      </c>
      <c r="C65" s="321" t="str">
        <f>'analisa 2019'!B903</f>
        <v xml:space="preserve">Pembesian 1 kg dengan besi polos </v>
      </c>
      <c r="D65" s="322"/>
      <c r="E65" s="323">
        <f>'analisa 2019'!$G$918</f>
        <v>18554.099999999999</v>
      </c>
      <c r="G65" s="314">
        <v>16772.75</v>
      </c>
      <c r="H65" s="315">
        <f t="shared" si="0"/>
        <v>1781.3499999999985</v>
      </c>
    </row>
    <row r="66" spans="2:8">
      <c r="B66" s="324" t="str">
        <f>'analisa 2019'!A920</f>
        <v>A.4.1.1.17  B</v>
      </c>
      <c r="C66" s="325" t="str">
        <f>'analisa 2019'!B920</f>
        <v>Pembesian 1 kg dengan besi ulir</v>
      </c>
      <c r="D66" s="326"/>
      <c r="E66" s="327">
        <f>'analisa 2019'!$G$935</f>
        <v>19157.849999999999</v>
      </c>
      <c r="G66" s="314">
        <v>17376.5</v>
      </c>
      <c r="H66" s="315">
        <f t="shared" ref="H66:H125" si="1">E66-G66</f>
        <v>1781.3499999999985</v>
      </c>
    </row>
    <row r="67" spans="2:8">
      <c r="B67" s="310" t="str">
        <f>'analisa 2019'!A937</f>
        <v>A.4.1.1.19</v>
      </c>
      <c r="C67" s="311" t="str">
        <f>'analisa 2019'!B937</f>
        <v>Pemasangan 10 kg jaring kawat baja (wiremesh)</v>
      </c>
      <c r="D67" s="312"/>
      <c r="E67" s="313">
        <f>'analisa 2019'!$G$952</f>
        <v>17375.349999999999</v>
      </c>
      <c r="G67" s="314">
        <v>15799.85</v>
      </c>
      <c r="H67" s="315">
        <f t="shared" si="1"/>
        <v>1575.4999999999982</v>
      </c>
    </row>
    <row r="68" spans="2:8">
      <c r="B68" s="310" t="str">
        <f>'analisa 2019'!A954</f>
        <v>A.4.1.1.20</v>
      </c>
      <c r="C68" s="311" t="str">
        <f>'analisa 2019'!B954</f>
        <v>Pemasangan 1 m2  bekisting untuk pondasi</v>
      </c>
      <c r="D68" s="312"/>
      <c r="E68" s="313">
        <f>'analisa 2019'!$G$969</f>
        <v>286281</v>
      </c>
      <c r="G68" s="314">
        <v>264500</v>
      </c>
      <c r="H68" s="315">
        <f t="shared" si="1"/>
        <v>21781</v>
      </c>
    </row>
    <row r="69" spans="2:8">
      <c r="B69" s="310" t="str">
        <f>'analisa 2019'!$A$971</f>
        <v>A.4.1.1.20 A</v>
      </c>
      <c r="C69" s="311" t="str">
        <f>'analisa 2019'!$B$971</f>
        <v>Pemasangan 1 m2  bekisting untuk pondasi (2x pakai)</v>
      </c>
      <c r="D69" s="312"/>
      <c r="E69" s="313">
        <f>'analisa 2019'!$G$987</f>
        <v>201296</v>
      </c>
      <c r="G69" s="314"/>
      <c r="H69" s="315"/>
    </row>
    <row r="70" spans="2:8">
      <c r="B70" s="310" t="str">
        <f>'analisa 2019'!A989</f>
        <v>A.4.1.1.21</v>
      </c>
      <c r="C70" s="311" t="str">
        <f>'analisa 2019'!B989</f>
        <v>Pemasangan 1 m2  bekisting untuk sloof</v>
      </c>
      <c r="D70" s="312"/>
      <c r="E70" s="313">
        <f>'analisa 2019'!$G$1004</f>
        <v>306204.75</v>
      </c>
      <c r="G70" s="314">
        <v>283475</v>
      </c>
      <c r="H70" s="315">
        <f t="shared" si="1"/>
        <v>22729.75</v>
      </c>
    </row>
    <row r="71" spans="2:8">
      <c r="B71" s="310" t="str">
        <f>'analisa 2019'!$A$1006</f>
        <v>A.4.1.1.21 A</v>
      </c>
      <c r="C71" s="311" t="str">
        <f>'analisa 2019'!$B$1006</f>
        <v>Pemasangan 1 m2  bekisting untuk sloof (2x pakai)</v>
      </c>
      <c r="D71" s="312"/>
      <c r="E71" s="313">
        <f>'analisa 2019'!$G$1022</f>
        <v>211257.88</v>
      </c>
      <c r="G71" s="314"/>
      <c r="H71" s="315"/>
    </row>
    <row r="72" spans="2:8">
      <c r="B72" s="310" t="str">
        <f>'analisa 2019'!A1024</f>
        <v>A.4.1.1.22</v>
      </c>
      <c r="C72" s="311" t="str">
        <f>'analisa 2019'!B1024</f>
        <v xml:space="preserve"> Pemasangan 1 m2  bekisting untuk kolom</v>
      </c>
      <c r="D72" s="312"/>
      <c r="E72" s="313">
        <f>'analisa 2019'!$G$1042</f>
        <v>495615.5</v>
      </c>
      <c r="G72" s="314">
        <v>445763</v>
      </c>
      <c r="H72" s="315">
        <f t="shared" si="1"/>
        <v>49852.5</v>
      </c>
    </row>
    <row r="73" spans="2:8">
      <c r="B73" s="324" t="str">
        <f>'analisa 2019'!$A$1044</f>
        <v>A.4.1.1.22 A</v>
      </c>
      <c r="C73" s="325" t="str">
        <f>'analisa 2019'!$B$1044</f>
        <v xml:space="preserve"> Pemasangan 1 m2  bekisting untuk kolom (2x pakai)</v>
      </c>
      <c r="D73" s="326"/>
      <c r="E73" s="327">
        <f>'analisa 2019'!$G$1063</f>
        <v>321620.5</v>
      </c>
      <c r="G73" s="314"/>
      <c r="H73" s="315"/>
    </row>
    <row r="74" spans="2:8">
      <c r="B74" s="324" t="str">
        <f>'analisa 2019'!A1065</f>
        <v>A.4.1.1.23</v>
      </c>
      <c r="C74" s="325" t="str">
        <f>'analisa 2019'!B1065</f>
        <v>Pemasangan 1 m2  bekisting untuk balok</v>
      </c>
      <c r="D74" s="326"/>
      <c r="E74" s="327">
        <f>'analisa 2019'!$G$1083</f>
        <v>507569.75</v>
      </c>
      <c r="G74" s="314">
        <v>457148</v>
      </c>
      <c r="H74" s="315">
        <f t="shared" si="1"/>
        <v>50421.75</v>
      </c>
    </row>
    <row r="75" spans="2:8">
      <c r="B75" s="324" t="str">
        <f>'analisa 2019'!$A$1085</f>
        <v>A.4.1.1.23 A</v>
      </c>
      <c r="C75" s="325" t="str">
        <f>'analisa 2019'!$B$1085</f>
        <v>Pemasangan 1 m2  bekisting untuk balok (2x pakai)</v>
      </c>
      <c r="D75" s="326"/>
      <c r="E75" s="327">
        <f>'analisa 2019'!$G$1104</f>
        <v>327597.63</v>
      </c>
      <c r="G75" s="314"/>
      <c r="H75" s="315"/>
    </row>
    <row r="76" spans="2:8">
      <c r="B76" s="310" t="str">
        <f>'analisa 2019'!A1106</f>
        <v>A.4.1.1.24</v>
      </c>
      <c r="C76" s="311" t="str">
        <f>'analisa 2019'!B1106</f>
        <v>Pemasangan 1 m2  bekisting untuk lantai</v>
      </c>
      <c r="D76" s="312"/>
      <c r="E76" s="313">
        <f>'analisa 2019'!$G$1124</f>
        <v>592215.5</v>
      </c>
      <c r="G76" s="314">
        <v>537763</v>
      </c>
      <c r="H76" s="315">
        <f t="shared" si="1"/>
        <v>54452.5</v>
      </c>
    </row>
    <row r="77" spans="2:8">
      <c r="B77" s="310" t="str">
        <f>'analisa 2019'!$A$1126</f>
        <v>A.4.1.1.24 A</v>
      </c>
      <c r="C77" s="311" t="str">
        <f>'analisa 2019'!$B$1126</f>
        <v>Pemasangan 1 m2  bekisting untuk lantai (2x pakai)</v>
      </c>
      <c r="D77" s="312"/>
      <c r="E77" s="313">
        <f>'analisa 2019'!$G$1145</f>
        <v>369920.5</v>
      </c>
      <c r="G77" s="314"/>
      <c r="H77" s="315"/>
    </row>
    <row r="78" spans="2:8">
      <c r="B78" s="310" t="str">
        <f>'analisa 2019'!$A$1147</f>
        <v>A.4.1.1.24 B</v>
      </c>
      <c r="C78" s="311" t="str">
        <f>'analisa 2019'!$B$1147</f>
        <v>Pemasangan 1 m2  bekisting untuk lantai Steel Deck Superdyma 550Mpa</v>
      </c>
      <c r="D78" s="312"/>
      <c r="E78" s="313">
        <f>'analisa 2019'!$G$1165</f>
        <v>479423.5</v>
      </c>
      <c r="G78" s="314"/>
      <c r="H78" s="315"/>
    </row>
    <row r="79" spans="2:8">
      <c r="B79" s="310" t="str">
        <f>'analisa 2019'!A1167</f>
        <v>A.4.1.1.25</v>
      </c>
      <c r="C79" s="311" t="str">
        <f>'analisa 2019'!B1167</f>
        <v>Pemasangan 1 m2 bekisting untuk dinding</v>
      </c>
      <c r="D79" s="312"/>
      <c r="E79" s="313">
        <f>'analisa 2019'!$G$1185</f>
        <v>499841.75</v>
      </c>
      <c r="G79" s="314">
        <v>449788</v>
      </c>
      <c r="H79" s="315">
        <f t="shared" si="1"/>
        <v>50053.75</v>
      </c>
    </row>
    <row r="80" spans="2:8">
      <c r="B80" s="310" t="str">
        <f>'analisa 2019'!A1187</f>
        <v>A.4.1.1.26</v>
      </c>
      <c r="C80" s="311" t="str">
        <f>'analisa 2019'!B1187</f>
        <v>Pemasangan 1 m2 bekisting untuk tangga</v>
      </c>
      <c r="D80" s="312"/>
      <c r="E80" s="313">
        <f>'analisa 2019'!$G$1205</f>
        <v>454100.5</v>
      </c>
      <c r="G80" s="314">
        <v>406145.5</v>
      </c>
      <c r="H80" s="315">
        <f t="shared" si="1"/>
        <v>47955</v>
      </c>
    </row>
    <row r="81" spans="2:8">
      <c r="B81" s="310" t="str">
        <f>'analisa 2019'!A1207</f>
        <v>A.4.1.1.27</v>
      </c>
      <c r="C81" s="311" t="str">
        <f>'analisa 2019'!B1207</f>
        <v>Pemasangan 1 m2  jembatan untuk pengecoran beton</v>
      </c>
      <c r="D81" s="312"/>
      <c r="E81" s="313">
        <f>'analisa 2019'!$G$1222</f>
        <v>160937.9</v>
      </c>
      <c r="G81" s="314">
        <v>150109.5</v>
      </c>
      <c r="H81" s="315">
        <f t="shared" si="1"/>
        <v>10828.399999999994</v>
      </c>
    </row>
    <row r="82" spans="2:8">
      <c r="B82" s="310" t="str">
        <f>'analisa 2019'!A1224</f>
        <v>A.4.1.1.35</v>
      </c>
      <c r="C82" s="311" t="str">
        <f>'analisa 2019'!B1224</f>
        <v>Membuat 1 m’ kolom praktis beton bertulang (11 x 11) cm</v>
      </c>
      <c r="D82" s="312"/>
      <c r="E82" s="313">
        <f>'analisa 2019'!$G$1245</f>
        <v>112964.27</v>
      </c>
      <c r="G82" s="314">
        <v>100228.25</v>
      </c>
      <c r="H82" s="315">
        <f t="shared" si="1"/>
        <v>12736.020000000004</v>
      </c>
    </row>
    <row r="83" spans="2:8">
      <c r="B83" s="310" t="str">
        <f>'analisa 2019'!A1247</f>
        <v>A.4.1.1.36</v>
      </c>
      <c r="C83" s="311" t="str">
        <f>'analisa 2019'!B1247</f>
        <v>Membuat 1 m’ ring balok beton bertulang (10 x 15) cm</v>
      </c>
      <c r="D83" s="312"/>
      <c r="E83" s="313">
        <f>'analisa 2019'!$G$1268</f>
        <v>143369.93</v>
      </c>
      <c r="G83" s="314">
        <v>127714.69</v>
      </c>
      <c r="H83" s="315">
        <f t="shared" si="1"/>
        <v>15655.239999999991</v>
      </c>
    </row>
    <row r="84" spans="2:8">
      <c r="B84" s="328" t="str">
        <f>'analisa 2019'!A1270</f>
        <v>A.4.1.2</v>
      </c>
      <c r="C84" s="329" t="str">
        <f>'analisa 2019'!B1270</f>
        <v xml:space="preserve"> HARGA SATUAN PEKERJAAN BETON PRACETAK</v>
      </c>
      <c r="D84" s="312"/>
      <c r="E84" s="310"/>
      <c r="G84" s="314"/>
      <c r="H84" s="315">
        <f t="shared" si="1"/>
        <v>0</v>
      </c>
    </row>
    <row r="85" spans="2:8">
      <c r="B85" s="310" t="str">
        <f>'analisa 2019'!A1271</f>
        <v>A.4.1.2.1</v>
      </c>
      <c r="C85" s="318" t="str">
        <f>'analisa 2019'!B1271</f>
        <v xml:space="preserve"> Pembuatan 1 m2  lahan produksi tebal 8cm beton f’c 14.5 Mpa (K 175) slump (12 ± 2)cm</v>
      </c>
      <c r="D85" s="312"/>
      <c r="E85" s="313">
        <f>'analisa 2019'!$G$1287</f>
        <v>113379.55</v>
      </c>
      <c r="G85" s="314">
        <v>84813.41</v>
      </c>
      <c r="H85" s="315">
        <f t="shared" si="1"/>
        <v>28566.14</v>
      </c>
    </row>
    <row r="86" spans="2:8">
      <c r="B86" s="310" t="str">
        <f>'analisa 2019'!A1289</f>
        <v>A.4.1.2.2</v>
      </c>
      <c r="C86" s="318" t="str">
        <f>'analisa 2019'!B1289</f>
        <v xml:space="preserve"> Pembuatan 1 m2  lahan produksi tebal 10 cm beton f’c 14.5 Mpa (K 175) slump (12 ±2) cm</v>
      </c>
      <c r="D86" s="312"/>
      <c r="E86" s="313">
        <f>'analisa 2019'!$G$1305</f>
        <v>141770.43</v>
      </c>
      <c r="G86" s="314">
        <v>106057.02</v>
      </c>
      <c r="H86" s="315">
        <f t="shared" si="1"/>
        <v>35713.409999999989</v>
      </c>
    </row>
    <row r="87" spans="2:8">
      <c r="B87" s="310" t="str">
        <f>'analisa 2019'!A1307</f>
        <v>A.4.1.2.3</v>
      </c>
      <c r="C87" s="318" t="str">
        <f>'analisa 2019'!B1307</f>
        <v>Pembuatan 1 m2  lahan produksi tebal 12 cm beton f’c 14.5 Mpa (K 175) slump (12 ±2) cm</v>
      </c>
      <c r="D87" s="312"/>
      <c r="E87" s="313">
        <f>'analisa 2019'!$G$1323</f>
        <v>156907.57</v>
      </c>
      <c r="G87" s="314">
        <v>116786.74</v>
      </c>
      <c r="H87" s="315">
        <f t="shared" si="1"/>
        <v>40120.83</v>
      </c>
    </row>
    <row r="88" spans="2:8">
      <c r="B88" s="310" t="str">
        <f>'analisa 2019'!A1325</f>
        <v>A.4.1.2.4</v>
      </c>
      <c r="C88" s="318" t="str">
        <f>'analisa 2019'!B1325</f>
        <v xml:space="preserve"> Pembuatan 1 m2  lahan produksi tebal 15 cm beton f’c 14.5 Mpa (K 175) slump (12 ±2) cm</v>
      </c>
      <c r="D88" s="312"/>
      <c r="E88" s="313">
        <f>'analisa 2019'!$G$1341</f>
        <v>212632.65</v>
      </c>
      <c r="G88" s="314">
        <v>159068.26999999999</v>
      </c>
      <c r="H88" s="315">
        <f t="shared" si="1"/>
        <v>53564.380000000005</v>
      </c>
    </row>
    <row r="89" spans="2:8">
      <c r="B89" s="310" t="str">
        <f>'analisa 2019'!A1343</f>
        <v>A.4.1.2.5</v>
      </c>
      <c r="C89" s="311" t="str">
        <f>'analisa 2019'!B1343</f>
        <v>Pembuatan 1 m2 bekisting untuk plat beton pracetak ( 5 kali pakai)</v>
      </c>
      <c r="D89" s="312"/>
      <c r="E89" s="313">
        <f>'analisa 2019'!$G$1361</f>
        <v>376272.28</v>
      </c>
      <c r="G89" s="314">
        <v>345300.57</v>
      </c>
      <c r="H89" s="315">
        <f t="shared" si="1"/>
        <v>30971.710000000021</v>
      </c>
    </row>
    <row r="90" spans="2:8">
      <c r="B90" s="310" t="str">
        <f>'analisa 2019'!A1363</f>
        <v>A.4.1.2.6</v>
      </c>
      <c r="C90" s="311" t="str">
        <f>'analisa 2019'!B1363</f>
        <v>Pembuatan 1 m2 bekisting untuk balok beton pracetak ( 10-12 kali pakai)</v>
      </c>
      <c r="D90" s="312"/>
      <c r="E90" s="313">
        <f>'analisa 2019'!$G$1379</f>
        <v>56362.82</v>
      </c>
      <c r="G90" s="314">
        <v>53575.51</v>
      </c>
      <c r="H90" s="315">
        <f t="shared" si="1"/>
        <v>2787.3099999999977</v>
      </c>
    </row>
    <row r="91" spans="2:8">
      <c r="B91" s="310" t="str">
        <f>'analisa 2019'!A1381</f>
        <v>A.4.1.2.7</v>
      </c>
      <c r="C91" s="311" t="str">
        <f>'analisa 2019'!B1381</f>
        <v>Pembuatan 1 m2 bekisting untuk kolom beton pracetak (10-12 kali pakai)</v>
      </c>
      <c r="D91" s="312"/>
      <c r="E91" s="313">
        <f>'analisa 2019'!$G$1398</f>
        <v>55451.16</v>
      </c>
      <c r="G91" s="314">
        <v>52601.46</v>
      </c>
      <c r="H91" s="315">
        <f t="shared" si="1"/>
        <v>2849.7000000000044</v>
      </c>
    </row>
    <row r="92" spans="2:8">
      <c r="B92" s="310" t="str">
        <f>'analisa 2019'!A1400</f>
        <v>A.4.1.2.8</v>
      </c>
      <c r="C92" s="311" t="str">
        <f>'analisa 2019'!B1400</f>
        <v xml:space="preserve"> Pemasangan dan membuka bekisting 1 buah komponen plat beton pracetak</v>
      </c>
      <c r="D92" s="312"/>
      <c r="E92" s="313">
        <f>'analisa 2019'!$G$1411</f>
        <v>10407.5</v>
      </c>
      <c r="G92" s="314">
        <v>9269</v>
      </c>
      <c r="H92" s="315">
        <f t="shared" si="1"/>
        <v>1138.5</v>
      </c>
    </row>
    <row r="93" spans="2:8">
      <c r="B93" s="310" t="str">
        <f>'analisa 2019'!A1413</f>
        <v>A.4.1.2.9</v>
      </c>
      <c r="C93" s="311" t="str">
        <f>'analisa 2019'!B1413</f>
        <v xml:space="preserve"> Pemasangan dan membuka bekisting 1 buah komponen balok beton pracetak</v>
      </c>
      <c r="D93" s="312"/>
      <c r="E93" s="313">
        <f>'analisa 2019'!$G$1424</f>
        <v>16893.5</v>
      </c>
      <c r="G93" s="314">
        <v>15065</v>
      </c>
      <c r="H93" s="315">
        <f t="shared" si="1"/>
        <v>1828.5</v>
      </c>
    </row>
    <row r="94" spans="2:8">
      <c r="B94" s="310" t="str">
        <f>'analisa 2019'!A1426</f>
        <v>A.4.1.2.10</v>
      </c>
      <c r="C94" s="311" t="str">
        <f>'analisa 2019'!B1426</f>
        <v>Pemasangan dan membuka bekisting 1 buah komponen Kolom beton pracetak</v>
      </c>
      <c r="D94" s="312"/>
      <c r="E94" s="313">
        <f>'analisa 2019'!$G$1437</f>
        <v>13650.5</v>
      </c>
      <c r="G94" s="314">
        <v>12167</v>
      </c>
      <c r="H94" s="315">
        <f t="shared" si="1"/>
        <v>1483.5</v>
      </c>
    </row>
    <row r="95" spans="2:8">
      <c r="B95" s="310" t="str">
        <f>'analisa 2019'!A1439</f>
        <v>A.4.1.2.11</v>
      </c>
      <c r="C95" s="311" t="str">
        <f>'analisa 2019'!B1439</f>
        <v xml:space="preserve"> Penuangan/menebar beton untuk 1 buah komponen plat pracetak</v>
      </c>
      <c r="D95" s="312"/>
      <c r="E95" s="313">
        <f>'analisa 2019'!$G$1452</f>
        <v>85606</v>
      </c>
      <c r="G95" s="314">
        <v>73853</v>
      </c>
      <c r="H95" s="315">
        <f t="shared" si="1"/>
        <v>11753</v>
      </c>
    </row>
    <row r="96" spans="2:8">
      <c r="B96" s="310" t="str">
        <f>'analisa 2019'!A1454</f>
        <v>A.4.1.2.12</v>
      </c>
      <c r="C96" s="311" t="str">
        <f>'analisa 2019'!B1454</f>
        <v>Penuangan/menebar beton untuk 1 buah komponen balok pracetak</v>
      </c>
      <c r="D96" s="312"/>
      <c r="E96" s="313">
        <f>'analisa 2019'!$G$1467</f>
        <v>88044</v>
      </c>
      <c r="G96" s="314">
        <v>75980.5</v>
      </c>
      <c r="H96" s="315">
        <f t="shared" si="1"/>
        <v>12063.5</v>
      </c>
    </row>
    <row r="97" spans="2:10">
      <c r="B97" s="310" t="str">
        <f>'analisa 2019'!A1469</f>
        <v>A.4.1.2.13</v>
      </c>
      <c r="C97" s="311" t="str">
        <f>'analisa 2019'!B1469</f>
        <v>Penuangan/menebar beton untuk 1 buah komponen kolom pracetak</v>
      </c>
      <c r="D97" s="312"/>
      <c r="E97" s="313">
        <f>'analisa 2019'!$G$1482</f>
        <v>79097</v>
      </c>
      <c r="G97" s="314">
        <v>68252.5</v>
      </c>
      <c r="H97" s="315">
        <f t="shared" si="1"/>
        <v>10844.5</v>
      </c>
    </row>
    <row r="98" spans="2:10">
      <c r="B98" s="310" t="str">
        <f>'analisa 2019'!A1484</f>
        <v>A.4.1.2.14</v>
      </c>
      <c r="C98" s="311" t="str">
        <f>'analisa 2019'!B1484</f>
        <v xml:space="preserve"> Mendirikan 1 buah komponen plat pracetak</v>
      </c>
      <c r="D98" s="312"/>
      <c r="E98" s="313">
        <f>'analisa 2019'!$G$1503</f>
        <v>163794.04</v>
      </c>
      <c r="G98" s="314">
        <v>131518.6</v>
      </c>
      <c r="H98" s="315">
        <f t="shared" si="1"/>
        <v>32275.440000000002</v>
      </c>
    </row>
    <row r="99" spans="2:10">
      <c r="B99" s="310" t="str">
        <f>'analisa 2019'!A1520</f>
        <v>A.4.1.2.15</v>
      </c>
      <c r="C99" s="311" t="str">
        <f>'analisa 2019'!B1520</f>
        <v>Mendirikan 1 buah komponen balok pracetak</v>
      </c>
      <c r="D99" s="312"/>
      <c r="E99" s="313">
        <f>'analisa 2019'!$G$1541</f>
        <v>168056.4</v>
      </c>
      <c r="G99" s="314">
        <v>136453.25</v>
      </c>
      <c r="H99" s="315">
        <f t="shared" si="1"/>
        <v>31603.149999999994</v>
      </c>
    </row>
    <row r="100" spans="2:10">
      <c r="B100" s="310" t="str">
        <f>'analisa 2019'!A1543</f>
        <v>A.4.1.2.16</v>
      </c>
      <c r="C100" s="311" t="str">
        <f>'analisa 2019'!B1543</f>
        <v>Mendirikan 1 buah komponen kolom pracetak</v>
      </c>
      <c r="D100" s="312"/>
      <c r="E100" s="313">
        <f>'analisa 2019'!$G$1564</f>
        <v>209546.91</v>
      </c>
      <c r="G100" s="314">
        <v>169539.9</v>
      </c>
      <c r="H100" s="315">
        <f t="shared" si="1"/>
        <v>40007.010000000009</v>
      </c>
    </row>
    <row r="101" spans="2:10">
      <c r="B101" s="310" t="str">
        <f>'analisa 2019'!A1566</f>
        <v>A.4.1.2.17</v>
      </c>
      <c r="C101" s="311" t="str">
        <f>'analisa 2019'!B1566</f>
        <v>Melangsir 1 buah komponen plat pracetak ( ± 20 m)</v>
      </c>
      <c r="D101" s="312"/>
      <c r="E101" s="313">
        <f>'analisa 2019'!$G$1583</f>
        <v>42629.01</v>
      </c>
      <c r="G101" s="314">
        <v>34063.58</v>
      </c>
      <c r="H101" s="315">
        <f t="shared" si="1"/>
        <v>8565.43</v>
      </c>
    </row>
    <row r="102" spans="2:10">
      <c r="B102" s="310" t="str">
        <f>'analisa 2019'!A1585</f>
        <v>A.4.1.2.18</v>
      </c>
      <c r="C102" s="311" t="str">
        <f>'analisa 2019'!B1585</f>
        <v>Melangsir 1 buah komponen balok pracetak ( ± 20 m)</v>
      </c>
      <c r="D102" s="312"/>
      <c r="E102" s="313">
        <f>'analisa 2019'!$G$1602</f>
        <v>38302.71</v>
      </c>
      <c r="G102" s="314">
        <v>29246.74</v>
      </c>
      <c r="H102" s="315">
        <f t="shared" si="1"/>
        <v>9055.9699999999975</v>
      </c>
    </row>
    <row r="103" spans="2:10">
      <c r="B103" s="310" t="str">
        <f>'analisa 2019'!A1604</f>
        <v>A.4.1.2.19</v>
      </c>
      <c r="C103" s="311" t="str">
        <f>'analisa 2019'!B1604</f>
        <v>Melangsir 1 buah komponen kolom pracetak ( ± 20 m)</v>
      </c>
      <c r="D103" s="312"/>
      <c r="E103" s="313">
        <f>'analisa 2019'!$G$1621</f>
        <v>59037.26</v>
      </c>
      <c r="G103" s="314">
        <v>51303.23</v>
      </c>
      <c r="H103" s="315">
        <f t="shared" si="1"/>
        <v>7734.0299999999988</v>
      </c>
    </row>
    <row r="104" spans="2:10">
      <c r="B104" s="310" t="str">
        <f>'analisa 2019'!A1623</f>
        <v>A.4.1.2.20</v>
      </c>
      <c r="C104" s="311" t="str">
        <f>'analisa 2019'!B1623</f>
        <v>Bahan 1 m3 grouting campuran</v>
      </c>
      <c r="D104" s="312"/>
      <c r="E104" s="313">
        <f>'analisa 2019'!$G$1634</f>
        <v>11956837.5</v>
      </c>
      <c r="G104" s="314">
        <v>9956125</v>
      </c>
      <c r="H104" s="315">
        <f t="shared" si="1"/>
        <v>2000712.5</v>
      </c>
    </row>
    <row r="105" spans="2:10">
      <c r="B105" s="310" t="str">
        <f>'analisa 2019'!A1636</f>
        <v>A.4.1.2.21</v>
      </c>
      <c r="C105" s="311" t="str">
        <f>'analisa 2019'!B1636</f>
        <v xml:space="preserve"> Bahan 1 m3 grouting tidak campuran</v>
      </c>
      <c r="D105" s="312"/>
      <c r="E105" s="313">
        <f>'analisa 2019'!$G$1646</f>
        <v>28865</v>
      </c>
      <c r="G105" s="314">
        <v>21446.06</v>
      </c>
      <c r="H105" s="315">
        <f t="shared" si="1"/>
        <v>7418.9399999999987</v>
      </c>
    </row>
    <row r="106" spans="2:10">
      <c r="B106" s="310" t="str">
        <f>'analisa 2019'!A1648</f>
        <v>A.4.1.2.22</v>
      </c>
      <c r="C106" s="311" t="str">
        <f>'analisa 2019'!B1648</f>
        <v xml:space="preserve"> Upah melakukan 1 titik grouting pada join pracetak</v>
      </c>
      <c r="D106" s="312"/>
      <c r="E106" s="313">
        <f>'analisa 2019'!$G$1659</f>
        <v>77809</v>
      </c>
      <c r="G106" s="314">
        <v>66815</v>
      </c>
      <c r="H106" s="315">
        <f t="shared" si="1"/>
        <v>10994</v>
      </c>
    </row>
    <row r="107" spans="2:10">
      <c r="B107" s="310" t="str">
        <f>'analisa 2019'!A1661</f>
        <v>A.4.1.2.23</v>
      </c>
      <c r="C107" s="311" t="str">
        <f>'analisa 2019'!B1661</f>
        <v xml:space="preserve">  Pemasangan 1 titik Bekisting join pracetak</v>
      </c>
      <c r="D107" s="312"/>
      <c r="E107" s="313">
        <f>'analisa 2019'!$G$1676</f>
        <v>115786.6</v>
      </c>
      <c r="G107" s="314">
        <v>106308.3</v>
      </c>
      <c r="H107" s="315">
        <f t="shared" si="1"/>
        <v>9478.3000000000029</v>
      </c>
    </row>
    <row r="108" spans="2:10">
      <c r="B108" s="310" t="str">
        <f>'analisa 2019'!A1678</f>
        <v>A.4.1.2.24</v>
      </c>
      <c r="C108" s="311" t="str">
        <f>'analisa 2019'!B1678</f>
        <v xml:space="preserve"> Upah 1 titik Join dengan Sling</v>
      </c>
      <c r="D108" s="312"/>
      <c r="E108" s="313">
        <f>'analisa 2019'!$G$1690</f>
        <v>100441</v>
      </c>
      <c r="G108" s="314">
        <v>87538</v>
      </c>
      <c r="H108" s="315">
        <f t="shared" si="1"/>
        <v>12903</v>
      </c>
    </row>
    <row r="109" spans="2:10">
      <c r="B109" s="328" t="str">
        <f>'analisa 2019'!A1692</f>
        <v>A.4.2.1</v>
      </c>
      <c r="C109" s="329" t="str">
        <f>'analisa 2019'!B1692</f>
        <v xml:space="preserve">HARGA SATUAN PEKERJAAN BESI DAN ALUMUNIUM </v>
      </c>
      <c r="D109" s="312"/>
      <c r="E109" s="310"/>
      <c r="G109" s="314"/>
      <c r="H109" s="315">
        <f t="shared" si="1"/>
        <v>0</v>
      </c>
    </row>
    <row r="110" spans="2:10">
      <c r="B110" s="433" t="str">
        <f>'analisa 2019'!A1693</f>
        <v>A.4.2.1.1</v>
      </c>
      <c r="C110" s="311" t="str">
        <f>'analisa 2019'!B1693</f>
        <v>Pemasangan 1 kg besi profil</v>
      </c>
      <c r="D110" s="312"/>
      <c r="E110" s="313">
        <f>'analisa 2019'!$G$1706</f>
        <v>40287.379999999997</v>
      </c>
      <c r="G110" s="314">
        <v>37018.5</v>
      </c>
      <c r="H110" s="315">
        <f t="shared" si="1"/>
        <v>3268.8799999999974</v>
      </c>
      <c r="J110" s="315"/>
    </row>
    <row r="111" spans="2:10">
      <c r="B111" s="310" t="str">
        <f>'analisa 2019'!A1708</f>
        <v>A.4.2.1.2</v>
      </c>
      <c r="C111" s="311" t="str">
        <f>'analisa 2019'!B1708</f>
        <v>Pemasangan 1 kg rangka kuda-kuda baja IWF</v>
      </c>
      <c r="D111" s="312"/>
      <c r="E111" s="313">
        <f>'analisa 2019'!$G$1721</f>
        <v>40287.379999999997</v>
      </c>
      <c r="G111" s="314">
        <v>37018.5</v>
      </c>
      <c r="H111" s="315">
        <f t="shared" si="1"/>
        <v>3268.8799999999974</v>
      </c>
      <c r="J111" s="315"/>
    </row>
    <row r="112" spans="2:10">
      <c r="B112" s="310" t="str">
        <f>'analisa 2019'!A1723</f>
        <v>A.4.2.1.3</v>
      </c>
      <c r="C112" s="311" t="str">
        <f>'analisa 2019'!B1723</f>
        <v>Pengerjaan 100 kg pekerjaan perakitan</v>
      </c>
      <c r="D112" s="312"/>
      <c r="E112" s="313">
        <f>'analisa 2019'!$G$1737</f>
        <v>47667.5</v>
      </c>
      <c r="G112" s="314">
        <v>40514.5</v>
      </c>
      <c r="H112" s="315">
        <f t="shared" si="1"/>
        <v>7153</v>
      </c>
      <c r="J112" s="315"/>
    </row>
    <row r="113" spans="2:10">
      <c r="B113" s="310" t="str">
        <f>'analisa 2019'!A1739</f>
        <v>A.4.2.1.4</v>
      </c>
      <c r="C113" s="311" t="str">
        <f>'analisa 2019'!B1739</f>
        <v>Pembuatan 1 m2 pintu besi plat baja tebal 2 mm rangkap rangka baja siku</v>
      </c>
      <c r="D113" s="312"/>
      <c r="E113" s="313">
        <f>'analisa 2019'!$G$1754</f>
        <v>1196667</v>
      </c>
      <c r="G113" s="314">
        <v>1114246.5</v>
      </c>
      <c r="H113" s="315">
        <f t="shared" si="1"/>
        <v>82420.5</v>
      </c>
      <c r="J113" s="330"/>
    </row>
    <row r="114" spans="2:10">
      <c r="B114" s="310" t="str">
        <f>'analisa 2019'!A1756</f>
        <v>A.4.2.1.5</v>
      </c>
      <c r="C114" s="311" t="str">
        <f>'analisa 2019'!B1756</f>
        <v>Pengerjaan 10 cm pengelasan dengan las listrik</v>
      </c>
      <c r="D114" s="312"/>
      <c r="E114" s="313">
        <f>'analisa 2019'!$G$1776</f>
        <v>5164.6499999999996</v>
      </c>
      <c r="G114" s="314">
        <v>38709</v>
      </c>
      <c r="H114" s="315">
        <f t="shared" si="1"/>
        <v>-33544.35</v>
      </c>
    </row>
    <row r="115" spans="2:10">
      <c r="B115" s="310" t="str">
        <f>'analisa 2019'!A1778</f>
        <v>A.4.2.1.6</v>
      </c>
      <c r="C115" s="311" t="str">
        <f>'analisa 2019'!B1778</f>
        <v>Pembuatan 1 m2  rangka jendela besi scuare tube (25 x 5) cm</v>
      </c>
      <c r="D115" s="312"/>
      <c r="E115" s="313">
        <f>'analisa 2019'!$G$1793</f>
        <v>1179635.5</v>
      </c>
      <c r="G115" s="314">
        <v>1941993.5</v>
      </c>
      <c r="H115" s="315">
        <f t="shared" si="1"/>
        <v>-762358</v>
      </c>
    </row>
    <row r="116" spans="2:10">
      <c r="B116" s="310" t="str">
        <f>'analisa 2019'!A1795</f>
        <v>A.4.2.1.7</v>
      </c>
      <c r="C116" s="311" t="str">
        <f>'analisa 2019'!B1795</f>
        <v>Pemasangan 1 m2  pintu rolling door besi</v>
      </c>
      <c r="D116" s="312"/>
      <c r="E116" s="313">
        <f>'analisa 2019'!$G$1808</f>
        <v>1401666</v>
      </c>
      <c r="G116" s="314">
        <v>1265368</v>
      </c>
      <c r="H116" s="315">
        <f t="shared" si="1"/>
        <v>136298</v>
      </c>
    </row>
    <row r="117" spans="2:10">
      <c r="B117" s="310" t="str">
        <f>'analisa 2019'!A1810</f>
        <v>A.4.2.1.8</v>
      </c>
      <c r="C117" s="311" t="str">
        <f>'analisa 2019'!B1810</f>
        <v xml:space="preserve">Pemasangan 1 m2  pintu lipat (folding door) </v>
      </c>
      <c r="D117" s="312"/>
      <c r="E117" s="313">
        <f>'analisa 2019'!$G$1823</f>
        <v>1345132</v>
      </c>
      <c r="G117" s="314">
        <v>1328434</v>
      </c>
      <c r="H117" s="315">
        <f t="shared" si="1"/>
        <v>16698</v>
      </c>
    </row>
    <row r="118" spans="2:10">
      <c r="B118" s="310" t="str">
        <f>'analisa 2019'!A1825</f>
        <v>A.4.2.1.9</v>
      </c>
      <c r="C118" s="311" t="str">
        <f>'analisa 2019'!B1825</f>
        <v>Pemasangan 1 m2  sunscreen jalusi alluminium</v>
      </c>
      <c r="D118" s="312"/>
      <c r="E118" s="313">
        <f>'analisa 2019'!$G$1838</f>
        <v>555864</v>
      </c>
      <c r="G118" s="314">
        <v>287362</v>
      </c>
      <c r="H118" s="315">
        <f t="shared" si="1"/>
        <v>268502</v>
      </c>
    </row>
    <row r="119" spans="2:10">
      <c r="B119" s="310" t="str">
        <f>'analisa 2019'!A1840</f>
        <v>A.4.2.1.10</v>
      </c>
      <c r="C119" s="311" t="str">
        <f>'analisa 2019'!B1840</f>
        <v>Pemasangan 1 m2  rolling door alluminium</v>
      </c>
      <c r="D119" s="312"/>
      <c r="E119" s="313">
        <f>'analisa 2019'!$G$1853</f>
        <v>1359300</v>
      </c>
      <c r="G119" s="314">
        <v>1229350</v>
      </c>
      <c r="H119" s="315">
        <f t="shared" si="1"/>
        <v>129950</v>
      </c>
    </row>
    <row r="120" spans="2:10">
      <c r="B120" s="310" t="str">
        <f>'analisa 2019'!A1855</f>
        <v>A.4.2.1.11</v>
      </c>
      <c r="C120" s="311" t="str">
        <f>'analisa 2019'!B1855</f>
        <v>Pemasangan 1 m kusen pintu alluminium 4 inch warna</v>
      </c>
      <c r="D120" s="312"/>
      <c r="E120" s="313">
        <f>'analisa 2019'!$G$1870</f>
        <v>167001.85</v>
      </c>
      <c r="G120" s="314">
        <v>154446.15</v>
      </c>
      <c r="H120" s="315">
        <f t="shared" si="1"/>
        <v>12555.700000000012</v>
      </c>
    </row>
    <row r="121" spans="2:10">
      <c r="B121" s="310" t="str">
        <f>'analisa 2019'!A1872</f>
        <v>A.4.2.1.11 A</v>
      </c>
      <c r="C121" s="311" t="str">
        <f>'analisa 2019'!B1872</f>
        <v>Pemasangan 1 m kusen pintu alluminium 4 inch Silver</v>
      </c>
      <c r="D121" s="312"/>
      <c r="E121" s="313">
        <f>'analisa 2019'!$G$1887</f>
        <v>154351.85</v>
      </c>
      <c r="G121" s="314">
        <v>141796.15</v>
      </c>
      <c r="H121" s="315">
        <f t="shared" si="1"/>
        <v>12555.700000000012</v>
      </c>
    </row>
    <row r="122" spans="2:10">
      <c r="B122" s="310" t="str">
        <f>'analisa 2019'!A1889</f>
        <v>A.4.2.1.11 B</v>
      </c>
      <c r="C122" s="311" t="str">
        <f>'analisa 2019'!B1889</f>
        <v>Pemasangan 1 m kusen pintu alluminium 3 inch warna</v>
      </c>
      <c r="D122" s="312"/>
      <c r="E122" s="313">
        <f>'analisa 2019'!$G$1904</f>
        <v>141701.85</v>
      </c>
      <c r="G122" s="314">
        <v>141796.15</v>
      </c>
      <c r="H122" s="315">
        <f t="shared" si="1"/>
        <v>-94.299999999988358</v>
      </c>
    </row>
    <row r="123" spans="2:10">
      <c r="B123" s="310" t="str">
        <f>'analisa 2019'!A1906</f>
        <v>A.4.2.1.11 C</v>
      </c>
      <c r="C123" s="311" t="str">
        <f>'analisa 2019'!B1906</f>
        <v>Pemasangan 1 m kusen pintu alluminium 3 inch Silver</v>
      </c>
      <c r="D123" s="312"/>
      <c r="E123" s="313">
        <f>'analisa 2019'!$G$1921</f>
        <v>135376.85</v>
      </c>
      <c r="G123" s="314">
        <v>129146.15</v>
      </c>
      <c r="H123" s="315">
        <f t="shared" si="1"/>
        <v>6230.7000000000116</v>
      </c>
    </row>
    <row r="124" spans="2:10">
      <c r="B124" s="310" t="str">
        <f>'analisa 2019'!A1923</f>
        <v>A.4.2.1.12</v>
      </c>
      <c r="C124" s="311" t="str">
        <f>'analisa 2019'!B1923</f>
        <v>Pemasangan 1 m2  pintu alluminium strip</v>
      </c>
      <c r="D124" s="312"/>
      <c r="E124" s="313">
        <f>'analisa 2019'!$G$1937</f>
        <v>868549</v>
      </c>
      <c r="G124" s="314">
        <v>705017.85</v>
      </c>
      <c r="H124" s="315">
        <f t="shared" si="1"/>
        <v>163531.15000000002</v>
      </c>
    </row>
    <row r="125" spans="2:10">
      <c r="B125" s="310" t="str">
        <f>'analisa 2019'!A1939</f>
        <v>A.4.2.1.13</v>
      </c>
      <c r="C125" s="311" t="str">
        <f>'analisa 2019'!B1939</f>
        <v>Pemasangan 1 m2  pintu kaca rangka alluminium</v>
      </c>
      <c r="D125" s="312"/>
      <c r="E125" s="313">
        <f>'analisa 2019'!$G$1954</f>
        <v>750421</v>
      </c>
      <c r="G125" s="314">
        <v>820640</v>
      </c>
      <c r="H125" s="315">
        <f t="shared" si="1"/>
        <v>-70219</v>
      </c>
    </row>
    <row r="126" spans="2:10">
      <c r="B126" s="310" t="str">
        <f>'analisa 2019'!A1956</f>
        <v>A.4.2.1.14</v>
      </c>
      <c r="C126" s="311" t="str">
        <f>'analisa 2019'!B1956</f>
        <v xml:space="preserve">Pemasangan 1 m2 Venetions blinds </v>
      </c>
      <c r="D126" s="312"/>
      <c r="E126" s="313">
        <f>'analisa 2019'!$G$1969</f>
        <v>320873</v>
      </c>
      <c r="G126" s="314">
        <v>297516.5</v>
      </c>
      <c r="H126" s="315">
        <f t="shared" ref="H126:H179" si="2">E126-G126</f>
        <v>23356.5</v>
      </c>
    </row>
    <row r="127" spans="2:10">
      <c r="B127" s="310" t="str">
        <f>'analisa 2019'!A1971</f>
        <v>A.4.2.1.14 B</v>
      </c>
      <c r="C127" s="311" t="str">
        <f>'analisa 2019'!B1971</f>
        <v>Pemasangan 1 m2 Vertical blinds</v>
      </c>
      <c r="D127" s="312"/>
      <c r="E127" s="313">
        <f>'analisa 2019'!$G$1984</f>
        <v>299310.5</v>
      </c>
      <c r="G127" s="314">
        <v>268766.5</v>
      </c>
      <c r="H127" s="315">
        <f t="shared" si="2"/>
        <v>30544</v>
      </c>
    </row>
    <row r="128" spans="2:10">
      <c r="B128" s="310" t="str">
        <f>'analisa 2019'!A1986</f>
        <v>A.4.2.1.15</v>
      </c>
      <c r="C128" s="311" t="str">
        <f>'analisa 2019'!B1986</f>
        <v>Pemasangan 1 m2  terali besi strip (2 x 3) mm</v>
      </c>
      <c r="D128" s="312"/>
      <c r="E128" s="313">
        <f>'analisa 2019'!$G$2000</f>
        <v>774035.13</v>
      </c>
      <c r="G128" s="314">
        <v>627767.75</v>
      </c>
      <c r="H128" s="315">
        <f t="shared" si="2"/>
        <v>146267.38</v>
      </c>
    </row>
    <row r="129" spans="2:8">
      <c r="B129" s="310" t="str">
        <f>'analisa 2019'!A2002</f>
        <v>A.4.2.1.16</v>
      </c>
      <c r="C129" s="311" t="str">
        <f>'analisa 2019'!B2002</f>
        <v>Pemasangan 1 m2  kawat nyamuk</v>
      </c>
      <c r="D129" s="312"/>
      <c r="E129" s="313">
        <f>'analisa 2019'!$G$2017</f>
        <v>688990.31</v>
      </c>
      <c r="G129" s="314">
        <v>651889</v>
      </c>
      <c r="H129" s="315">
        <f t="shared" si="2"/>
        <v>37101.310000000056</v>
      </c>
    </row>
    <row r="130" spans="2:8">
      <c r="B130" s="310" t="str">
        <f>'analisa 2019'!A2019</f>
        <v>A.4.2.1.17</v>
      </c>
      <c r="C130" s="311" t="str">
        <f>'analisa 2019'!B2019</f>
        <v>Pemasangan 1 m2  jendela nako &amp; tralis</v>
      </c>
      <c r="D130" s="312"/>
      <c r="E130" s="313">
        <f>'analisa 2019'!$G$2034</f>
        <v>357601.13</v>
      </c>
      <c r="G130" s="314">
        <v>346805.5</v>
      </c>
      <c r="H130" s="315">
        <f t="shared" si="2"/>
        <v>10795.630000000005</v>
      </c>
    </row>
    <row r="131" spans="2:8">
      <c r="B131" s="320" t="str">
        <f>'analisa 2019'!A2036</f>
        <v>A.4.2.1.18</v>
      </c>
      <c r="C131" s="321" t="str">
        <f>'analisa 2019'!B2036</f>
        <v>Pemasangan 1 m’ talang datar/ jurai seng bjls 28 lebar 90 cm</v>
      </c>
      <c r="D131" s="322"/>
      <c r="E131" s="323">
        <f>'analisa 2019'!$G$2051</f>
        <v>248032</v>
      </c>
      <c r="G131" s="314">
        <v>236992</v>
      </c>
      <c r="H131" s="315">
        <f t="shared" si="2"/>
        <v>11040</v>
      </c>
    </row>
    <row r="132" spans="2:8">
      <c r="B132" s="324" t="str">
        <f>'analisa 2019'!A2053</f>
        <v>A.4.2.1.19</v>
      </c>
      <c r="C132" s="325" t="str">
        <f>'analisa 2019'!B2053</f>
        <v>Pemasangan 1 m talang ½ lingkaran D-15 cm. seng plat bjls 30 lebar 45 cm</v>
      </c>
      <c r="D132" s="326"/>
      <c r="E132" s="327">
        <f>'analisa 2019'!$G$2068</f>
        <v>193884.25</v>
      </c>
      <c r="G132" s="314">
        <v>183919.5</v>
      </c>
      <c r="H132" s="315">
        <f t="shared" si="2"/>
        <v>9964.75</v>
      </c>
    </row>
    <row r="133" spans="2:8">
      <c r="B133" s="310" t="str">
        <f>'analisa 2019'!A2070</f>
        <v>A.4.2.1.20</v>
      </c>
      <c r="C133" s="318" t="str">
        <f>'analisa 2019'!B2070</f>
        <v>Pemasangan 1 m2 rangka besi hollow 1x40.40.2mm modul 60x120 cm dinding partisi</v>
      </c>
      <c r="D133" s="312"/>
      <c r="E133" s="313">
        <f>'analisa 2019'!$G$2084</f>
        <v>331855.5</v>
      </c>
      <c r="G133" s="314">
        <v>310281.5</v>
      </c>
      <c r="H133" s="315">
        <f t="shared" si="2"/>
        <v>21574</v>
      </c>
    </row>
    <row r="134" spans="2:8">
      <c r="B134" s="310" t="str">
        <f>'analisa 2019'!A2086</f>
        <v>A.4.2.1.21</v>
      </c>
      <c r="C134" s="311" t="str">
        <f>'analisa 2019'!B2086</f>
        <v>Pemasangan 1 m2 rangka plafond besi hollow 1x40.40.2mm modul (60x60) cm</v>
      </c>
      <c r="D134" s="312"/>
      <c r="E134" s="313">
        <f>'analisa 2019'!$G$2101</f>
        <v>399360.5</v>
      </c>
      <c r="G134" s="314">
        <v>372266.5</v>
      </c>
      <c r="H134" s="315">
        <f t="shared" si="2"/>
        <v>27094</v>
      </c>
    </row>
    <row r="135" spans="2:8">
      <c r="B135" s="310" t="str">
        <f>'analisa 2019'!A2103</f>
        <v>A.4.2.1.22 A</v>
      </c>
      <c r="C135" s="318" t="str">
        <f>'analisa 2019'!B2103</f>
        <v>Pemasangan 1 m2 atap pelana rangka atap baja canal ringan profil C75 Bahan Atap Seng/Spande/Zincalume</v>
      </c>
      <c r="D135" s="312"/>
      <c r="E135" s="313">
        <f>'analisa 2019'!$G$2118</f>
        <v>222694.77</v>
      </c>
      <c r="G135" s="314">
        <v>249305.63</v>
      </c>
      <c r="H135" s="315">
        <f t="shared" si="2"/>
        <v>-26610.860000000015</v>
      </c>
    </row>
    <row r="136" spans="2:8">
      <c r="B136" s="310" t="str">
        <f>'analisa 2019'!A2120</f>
        <v>A.4.2.1.22 B</v>
      </c>
      <c r="C136" s="311" t="str">
        <f>'analisa 2019'!B2120</f>
        <v>Pemasangan 1 m2 atap pelana rangka atap baja canal ringan profil C75 Bahan Atap Genteng</v>
      </c>
      <c r="D136" s="312"/>
      <c r="E136" s="313">
        <f>'analisa 2019'!$G$2135</f>
        <v>246389.27</v>
      </c>
      <c r="G136" s="314"/>
      <c r="H136" s="315"/>
    </row>
    <row r="137" spans="2:8">
      <c r="B137" s="310" t="str">
        <f>'analisa 2019'!A2137</f>
        <v>A.4.2.1.22 C</v>
      </c>
      <c r="C137" s="318" t="str">
        <f>'analisa 2019'!B2137</f>
        <v>Pemasangan 1 m2 atap jurai rangka atap baja canal ringan profil C75 Bahan Atap Seng/Spande/Zincalume</v>
      </c>
      <c r="D137" s="312"/>
      <c r="E137" s="313">
        <f>'analisa 2019'!$G$2152</f>
        <v>226802.68</v>
      </c>
      <c r="G137" s="314">
        <v>271863.45</v>
      </c>
      <c r="H137" s="315">
        <f t="shared" si="2"/>
        <v>-45060.770000000019</v>
      </c>
    </row>
    <row r="138" spans="2:8">
      <c r="B138" s="310" t="str">
        <f>'analisa 2019'!A2154</f>
        <v>A.4.2.1.22 D</v>
      </c>
      <c r="C138" s="311" t="str">
        <f>'analisa 2019'!B2154</f>
        <v>Pemasangan 1 m2 atap jurai rangka atap baja canal ringan profil C75 Bahan Atap Genteng</v>
      </c>
      <c r="D138" s="312"/>
      <c r="E138" s="313">
        <f>'analisa 2019'!$G$2169</f>
        <v>252133.83</v>
      </c>
      <c r="G138" s="314"/>
      <c r="H138" s="315"/>
    </row>
    <row r="139" spans="2:8">
      <c r="B139" s="310"/>
      <c r="C139" s="311"/>
      <c r="D139" s="312"/>
      <c r="E139" s="313"/>
      <c r="G139" s="314"/>
      <c r="H139" s="315"/>
    </row>
    <row r="140" spans="2:8">
      <c r="B140" s="328" t="str">
        <f>'analisa 2019'!A2171</f>
        <v>A.4.4.1</v>
      </c>
      <c r="C140" s="329" t="str">
        <f>'analisa 2019'!B2171</f>
        <v>HARGA SATUAN PEKERJAAN PASANGAN DINDING</v>
      </c>
      <c r="D140" s="312"/>
      <c r="E140" s="310"/>
      <c r="G140" s="314"/>
      <c r="H140" s="315">
        <f t="shared" si="2"/>
        <v>0</v>
      </c>
    </row>
    <row r="141" spans="2:8">
      <c r="B141" s="310" t="str">
        <f>'analisa 2019'!A2172</f>
        <v>A. 4.4.1.1</v>
      </c>
      <c r="C141" s="311" t="str">
        <f>'analisa 2019'!B2172</f>
        <v>Pemasangan 1m2 dinding bata merah (5x11x22) cm tebal 1 batu campuran 1SP :2PP</v>
      </c>
      <c r="D141" s="312"/>
      <c r="E141" s="313">
        <f>'analisa 2019'!$G$2187</f>
        <v>326562.63</v>
      </c>
      <c r="G141" s="314">
        <v>295557.19</v>
      </c>
      <c r="H141" s="315">
        <f t="shared" si="2"/>
        <v>31005.440000000002</v>
      </c>
    </row>
    <row r="142" spans="2:8">
      <c r="B142" s="310" t="str">
        <f>'analisa 2019'!A2189</f>
        <v>A. 4.4.1.2</v>
      </c>
      <c r="C142" s="311" t="str">
        <f>'analisa 2019'!B2189</f>
        <v>Pemasangan 1m2 dinding bata merah (5x11x22) cm tebal 1 batu campuran 1SP :3PP</v>
      </c>
      <c r="D142" s="312"/>
      <c r="E142" s="313">
        <f>'analisa 2019'!$G$2204</f>
        <v>309073.71000000002</v>
      </c>
      <c r="G142" s="314">
        <v>281960.59000000003</v>
      </c>
      <c r="H142" s="315">
        <f t="shared" si="2"/>
        <v>27113.119999999995</v>
      </c>
    </row>
    <row r="143" spans="2:8">
      <c r="B143" s="310" t="str">
        <f>'analisa 2019'!A2206</f>
        <v>A. 4.4.1.3</v>
      </c>
      <c r="C143" s="311" t="str">
        <f>'analisa 2019'!B2206</f>
        <v>Pemasangan 1m2  dinding bata merah (5x11x22) cm tebal 1 batu campuran  1SP :4PP</v>
      </c>
      <c r="D143" s="312"/>
      <c r="E143" s="313">
        <f>'analisa 2019'!$G$2221</f>
        <v>297518.51</v>
      </c>
      <c r="G143" s="314">
        <v>272852.59375</v>
      </c>
      <c r="H143" s="315">
        <f t="shared" si="2"/>
        <v>24665.916250000009</v>
      </c>
    </row>
    <row r="144" spans="2:8">
      <c r="B144" s="310" t="str">
        <f>'analisa 2019'!A2223</f>
        <v>A. 4.4.1.4</v>
      </c>
      <c r="C144" s="311" t="str">
        <f>'analisa 2019'!B2223</f>
        <v>Pemasangan 1m2  dinding bata merah (5x11x22) cm tebal 1 batu campuran  1SP :5PP</v>
      </c>
      <c r="D144" s="312"/>
      <c r="E144" s="313">
        <f>'analisa 2019'!$G$2238</f>
        <v>291211.05</v>
      </c>
      <c r="G144" s="314">
        <v>268067.88</v>
      </c>
      <c r="H144" s="315">
        <f t="shared" si="2"/>
        <v>23143.169999999984</v>
      </c>
    </row>
    <row r="145" spans="2:8">
      <c r="B145" s="310" t="str">
        <f>'analisa 2019'!A2240</f>
        <v>A. 4.4.1.5</v>
      </c>
      <c r="C145" s="311" t="str">
        <f>'analisa 2019'!B2240</f>
        <v>Pemasangan 1m2 Dinding Bata Merah (5x11x22) cm tebal 1 batu campuran  1SP :6PP</v>
      </c>
      <c r="D145" s="312"/>
      <c r="E145" s="313">
        <f>'analisa 2019'!$G$2256</f>
        <v>288344.68</v>
      </c>
      <c r="G145" s="314">
        <v>266269.56</v>
      </c>
      <c r="H145" s="315">
        <f t="shared" si="2"/>
        <v>22075.119999999995</v>
      </c>
    </row>
    <row r="146" spans="2:8">
      <c r="B146" s="310" t="str">
        <f>'analisa 2019'!A2258</f>
        <v>A. 4.4.1.7</v>
      </c>
      <c r="C146" s="311" t="str">
        <f>'analisa 2019'!B2258</f>
        <v>Pemasangan 1m2  dinding bata merah (5x11x22) cm tebal ½ batu campuran  1SP :2PP</v>
      </c>
      <c r="D146" s="312"/>
      <c r="E146" s="313">
        <f>'analisa 2019'!$G$2273</f>
        <v>157644.01</v>
      </c>
      <c r="G146" s="314">
        <v>143264.84</v>
      </c>
      <c r="H146" s="315">
        <f t="shared" si="2"/>
        <v>14379.170000000013</v>
      </c>
    </row>
    <row r="147" spans="2:8">
      <c r="B147" s="310" t="str">
        <f>'analisa 2019'!A2275</f>
        <v>A. 4.4.1.8</v>
      </c>
      <c r="C147" s="311" t="str">
        <f>'analisa 2019'!B2275</f>
        <v>Pemasangan 1m2 dinding bata merah (5x11x22) cm tebal ½ batu campuran  1SP :3PP</v>
      </c>
      <c r="D147" s="312"/>
      <c r="E147" s="313">
        <f>'analisa 2019'!$G$2290</f>
        <v>149489.94</v>
      </c>
      <c r="G147" s="314">
        <v>136851.57999999999</v>
      </c>
      <c r="H147" s="315">
        <f t="shared" si="2"/>
        <v>12638.360000000015</v>
      </c>
    </row>
    <row r="148" spans="2:8">
      <c r="B148" s="310" t="str">
        <f>'analisa 2019'!A2292</f>
        <v>A.4.4.1.9</v>
      </c>
      <c r="C148" s="311" t="str">
        <f>'analisa 2019'!B2292</f>
        <v>Pemasangan 1m2 dinding bata merah (5x11x22) cm tebal ½ batu campuran 1SP :4PP</v>
      </c>
      <c r="D148" s="312"/>
      <c r="E148" s="313">
        <f>'analisa 2019'!$G$2307</f>
        <v>144733.82999999999</v>
      </c>
      <c r="G148" s="314">
        <v>133154.19</v>
      </c>
      <c r="H148" s="315">
        <f t="shared" si="2"/>
        <v>11579.639999999985</v>
      </c>
    </row>
    <row r="149" spans="2:8">
      <c r="B149" s="310" t="str">
        <f>'analisa 2019'!A2309</f>
        <v>A. 4.4.1.10</v>
      </c>
      <c r="C149" s="311" t="str">
        <f>'analisa 2019'!B2309</f>
        <v>Pemasangan 1m2  dinding bata merah (5x11x22)cm tebal ½ batu campuran   1SP:5PP</v>
      </c>
      <c r="D149" s="312"/>
      <c r="E149" s="313">
        <f>'analisa 2019'!$G$2324</f>
        <v>141737.5</v>
      </c>
      <c r="G149" s="314">
        <v>130827.45</v>
      </c>
      <c r="H149" s="315">
        <f t="shared" si="2"/>
        <v>10910.050000000003</v>
      </c>
    </row>
    <row r="150" spans="2:8">
      <c r="B150" s="310" t="str">
        <f>'analisa 2019'!A2326</f>
        <v>A. 4.4.1.11</v>
      </c>
      <c r="C150" s="311" t="str">
        <f>'analisa 2019'!B2326</f>
        <v>Pemasangan 1m2  dinding bata merah (5x11x22)cm tebal ½ batu campuran  1SP :6PP</v>
      </c>
      <c r="D150" s="312"/>
      <c r="E150" s="313">
        <f>'analisa 2019'!$G$2341</f>
        <v>140005.6</v>
      </c>
      <c r="G150" s="314">
        <v>129549.8</v>
      </c>
      <c r="H150" s="315">
        <f t="shared" si="2"/>
        <v>10455.800000000003</v>
      </c>
    </row>
    <row r="151" spans="2:8">
      <c r="B151" s="310" t="str">
        <f>'analisa 2019'!A2343</f>
        <v>A. 4.4.1.16</v>
      </c>
      <c r="C151" s="311" t="str">
        <f>'analisa 2019'!B2343</f>
        <v>Pemasangan 1m2 dinding conblock HB20 campuran 1SP : 3PP</v>
      </c>
      <c r="D151" s="312"/>
      <c r="E151" s="313">
        <f>'analisa 2019'!$G$2359</f>
        <v>333487.34999999998</v>
      </c>
      <c r="G151" s="314">
        <v>297260.05</v>
      </c>
      <c r="H151" s="315">
        <f t="shared" si="2"/>
        <v>36227.299999999988</v>
      </c>
    </row>
    <row r="152" spans="2:8">
      <c r="B152" s="310" t="str">
        <f>'analisa 2019'!A2361</f>
        <v>A. 4.4.1.17</v>
      </c>
      <c r="C152" s="311" t="str">
        <f>'analisa 2019'!B2361</f>
        <v>Pemasangan 1m2 dinding conblock HB20 campuran 1SP :4PP</v>
      </c>
      <c r="D152" s="312"/>
      <c r="E152" s="313">
        <f>'analisa 2019'!$G$2377</f>
        <v>331068.33</v>
      </c>
      <c r="G152" s="314">
        <v>296383.46000000002</v>
      </c>
      <c r="H152" s="315">
        <f t="shared" si="2"/>
        <v>34684.869999999995</v>
      </c>
    </row>
    <row r="153" spans="2:8">
      <c r="B153" s="310" t="str">
        <f>'analisa 2019'!A2379</f>
        <v>A. 4.4.1.18</v>
      </c>
      <c r="C153" s="311" t="str">
        <f>'analisa 2019'!B2379</f>
        <v>Pemasangan 1m2 dinding conblock HB15 campuran 1SP :3PP</v>
      </c>
      <c r="D153" s="312"/>
      <c r="E153" s="313">
        <f>'analisa 2019'!$G$2395</f>
        <v>268511.78000000003</v>
      </c>
      <c r="G153" s="314">
        <v>238861.03750000001</v>
      </c>
      <c r="H153" s="315">
        <f t="shared" si="2"/>
        <v>29650.742500000022</v>
      </c>
    </row>
    <row r="154" spans="2:8">
      <c r="B154" s="310" t="str">
        <f>'analisa 2019'!A2397</f>
        <v>A. 4.4.1.19</v>
      </c>
      <c r="C154" s="311" t="str">
        <f>'analisa 2019'!B2397</f>
        <v>Pemasangan 1 m2 dinding conblock HB15 campuran 1SP :4PP</v>
      </c>
      <c r="D154" s="312"/>
      <c r="E154" s="313">
        <f>'analisa 2019'!$G$2413</f>
        <v>266504.45</v>
      </c>
      <c r="G154" s="314">
        <v>238027</v>
      </c>
      <c r="H154" s="315">
        <f t="shared" si="2"/>
        <v>28477.450000000012</v>
      </c>
    </row>
    <row r="155" spans="2:8">
      <c r="B155" s="310" t="str">
        <f>'analisa 2019'!A2415</f>
        <v>A. 4.4.1.20</v>
      </c>
      <c r="C155" s="311" t="str">
        <f>'analisa 2019'!B2415</f>
        <v>Pemasangan 1 m2 dinding conblock HB10 campuran 1SP :3PP</v>
      </c>
      <c r="D155" s="312"/>
      <c r="E155" s="313">
        <f>'analisa 2019'!$G$2431</f>
        <v>203256.75</v>
      </c>
      <c r="G155" s="314">
        <v>181807.53</v>
      </c>
      <c r="H155" s="315">
        <f t="shared" si="2"/>
        <v>21449.22</v>
      </c>
    </row>
    <row r="156" spans="2:8">
      <c r="B156" s="310" t="str">
        <f>'analisa 2019'!A2433</f>
        <v>A. 4.4.1.21</v>
      </c>
      <c r="C156" s="311" t="str">
        <f>'analisa 2019'!B2433</f>
        <v>Pemasangan 1 m2 dinding conblock HB10 campuran 1SP :4PP</v>
      </c>
      <c r="D156" s="312"/>
      <c r="E156" s="313">
        <f>'analisa 2019'!$G$2449</f>
        <v>202452.04</v>
      </c>
      <c r="G156" s="314">
        <v>180801.24</v>
      </c>
      <c r="H156" s="315">
        <f t="shared" si="2"/>
        <v>21650.800000000017</v>
      </c>
    </row>
    <row r="157" spans="2:8">
      <c r="B157" s="310" t="str">
        <f>'analisa 2019'!A2451</f>
        <v>A. 4.4.1.22</v>
      </c>
      <c r="C157" s="311" t="str">
        <f>'analisa 2019'!B2451</f>
        <v>Pemasangan 1 m2 dinding terawang (rooster) 12x11x24 campuran 1SP :4PP</v>
      </c>
      <c r="D157" s="312"/>
      <c r="E157" s="313">
        <f>'analisa 2019'!$G$2466</f>
        <v>586080.25</v>
      </c>
      <c r="G157" s="314">
        <v>455816.88</v>
      </c>
      <c r="H157" s="315">
        <f t="shared" si="2"/>
        <v>130263.37</v>
      </c>
    </row>
    <row r="158" spans="2:8">
      <c r="B158" s="310" t="str">
        <f>'analisa 2019'!A2468</f>
        <v>A. 4.4.1.23</v>
      </c>
      <c r="C158" s="311" t="str">
        <f>'analisa 2019'!B2468</f>
        <v>Pemasangan 1 m2 dinding bata ringan tebal 7,5 cm</v>
      </c>
      <c r="D158" s="312"/>
      <c r="E158" s="313">
        <f>'analisa 2019'!$G$2482</f>
        <v>287535.65000000002</v>
      </c>
      <c r="G158" s="314">
        <v>263040.96999999997</v>
      </c>
      <c r="H158" s="315">
        <f t="shared" si="2"/>
        <v>24494.680000000051</v>
      </c>
    </row>
    <row r="159" spans="2:8">
      <c r="B159" s="310" t="str">
        <f>'analisa 2019'!A2484</f>
        <v>A. 4.4.1.24</v>
      </c>
      <c r="C159" s="311" t="str">
        <f>'analisa 2019'!B2484</f>
        <v xml:space="preserve">Pemasangan 1 m2 dinding bata ringan tebal 10 cm </v>
      </c>
      <c r="D159" s="312"/>
      <c r="E159" s="313">
        <f>'analisa 2019'!$G$2498</f>
        <v>327433.75</v>
      </c>
      <c r="G159" s="314">
        <v>301523.7</v>
      </c>
      <c r="H159" s="315">
        <f t="shared" si="2"/>
        <v>25910.049999999988</v>
      </c>
    </row>
    <row r="160" spans="2:8">
      <c r="B160" s="310"/>
      <c r="C160" s="311"/>
      <c r="D160" s="312"/>
      <c r="E160" s="310"/>
      <c r="G160" s="314"/>
      <c r="H160" s="315">
        <f t="shared" si="2"/>
        <v>0</v>
      </c>
    </row>
    <row r="161" spans="2:8">
      <c r="B161" s="316" t="str">
        <f>'analisa 2019'!A2500</f>
        <v>A.4.4.2</v>
      </c>
      <c r="C161" s="317" t="str">
        <f>'analisa 2019'!B2500</f>
        <v>HARGA SATUAN PEKERJAAN PLESTERAN</v>
      </c>
      <c r="D161" s="312"/>
      <c r="E161" s="310"/>
      <c r="G161" s="314"/>
      <c r="H161" s="315">
        <f t="shared" si="2"/>
        <v>0</v>
      </c>
    </row>
    <row r="162" spans="2:8">
      <c r="B162" s="310" t="str">
        <f>'analisa 2019'!A2501</f>
        <v>A.4.4.2.1</v>
      </c>
      <c r="C162" s="311" t="str">
        <f>'analisa 2019'!B2501</f>
        <v>Pemasangan 1 m2 plesteran 1SP : 1PP tebal 15 mm</v>
      </c>
      <c r="D162" s="312"/>
      <c r="E162" s="313">
        <f>'analisa 2019'!$G$2515</f>
        <v>99314</v>
      </c>
      <c r="G162" s="314">
        <v>85412.109999999986</v>
      </c>
      <c r="H162" s="315">
        <f t="shared" si="2"/>
        <v>13901.890000000014</v>
      </c>
    </row>
    <row r="163" spans="2:8">
      <c r="B163" s="310" t="str">
        <f>'analisa 2019'!A2517</f>
        <v>A.4.4.2.2</v>
      </c>
      <c r="C163" s="311" t="str">
        <f>'analisa 2019'!B2517</f>
        <v>Pemasangan 1 m2 plesteran 1SP : 2PP tebal 15 mm</v>
      </c>
      <c r="D163" s="312"/>
      <c r="E163" s="313">
        <f>'analisa 2019'!$G$2531</f>
        <v>90256.6</v>
      </c>
      <c r="G163" s="314">
        <v>78330.409999999989</v>
      </c>
      <c r="H163" s="315">
        <f t="shared" si="2"/>
        <v>11926.190000000017</v>
      </c>
    </row>
    <row r="164" spans="2:8">
      <c r="B164" s="310" t="str">
        <f>'analisa 2019'!A2533</f>
        <v>A.4.4.2.3</v>
      </c>
      <c r="C164" s="311" t="str">
        <f>'analisa 2019'!B2533</f>
        <v>Pemasangan 1 m2 plesteran 1SP : 3PP tebal 15mm</v>
      </c>
      <c r="D164" s="312"/>
      <c r="E164" s="313">
        <f>'analisa 2019'!$G$2547</f>
        <v>86289.1</v>
      </c>
      <c r="G164" s="314">
        <v>75257.84</v>
      </c>
      <c r="H164" s="315">
        <f t="shared" si="2"/>
        <v>11031.260000000009</v>
      </c>
    </row>
    <row r="165" spans="2:8">
      <c r="B165" s="310" t="str">
        <f>'analisa 2019'!A2549</f>
        <v>A.4.4.2.4</v>
      </c>
      <c r="C165" s="311" t="str">
        <f>'analisa 2019'!B2549</f>
        <v>Pemasangan 1 m2 plesteran 1SP : 4PP tebal 15 mm</v>
      </c>
      <c r="D165" s="312"/>
      <c r="E165" s="313">
        <f>'analisa 2019'!$G$2563</f>
        <v>83621.100000000006</v>
      </c>
      <c r="G165" s="314">
        <v>72822.22</v>
      </c>
      <c r="H165" s="315">
        <f t="shared" si="2"/>
        <v>10798.880000000005</v>
      </c>
    </row>
    <row r="166" spans="2:8">
      <c r="B166" s="310" t="str">
        <f>'analisa 2019'!A2565</f>
        <v>A.4.4.2.5</v>
      </c>
      <c r="C166" s="311" t="str">
        <f>'analisa 2019'!B2565</f>
        <v>Pemasangan 1 m2 plesteran 1SP : 5PP tebal 15 mm</v>
      </c>
      <c r="D166" s="312"/>
      <c r="E166" s="313">
        <f>'analisa 2019'!$G$2579</f>
        <v>82052.5</v>
      </c>
      <c r="G166" s="314">
        <v>71972.06</v>
      </c>
      <c r="H166" s="315">
        <f t="shared" si="2"/>
        <v>10080.440000000002</v>
      </c>
    </row>
    <row r="167" spans="2:8">
      <c r="B167" s="310" t="str">
        <f>'analisa 2019'!A2581</f>
        <v>A.4.4.2.6</v>
      </c>
      <c r="C167" s="311" t="str">
        <f>'analisa 2019'!B2581</f>
        <v>Pemasangan 1 m2 plesteran 1SP : 6PP tebal 15 mm</v>
      </c>
      <c r="D167" s="312"/>
      <c r="E167" s="313">
        <f>'analisa 2019'!$G$2595</f>
        <v>80819.7</v>
      </c>
      <c r="G167" s="314">
        <v>71018.94</v>
      </c>
      <c r="H167" s="315">
        <f t="shared" si="2"/>
        <v>9800.7599999999948</v>
      </c>
    </row>
    <row r="168" spans="2:8">
      <c r="B168" s="310" t="str">
        <f>'analisa 2019'!A2597</f>
        <v>A.4.4.2.7</v>
      </c>
      <c r="C168" s="311" t="str">
        <f>'analisa 2019'!B2597</f>
        <v>Pemasangan 1 m2 plesteran 1SP : 7PP tebal 15 mm</v>
      </c>
      <c r="D168" s="312"/>
      <c r="E168" s="313">
        <f>'analisa 2019'!$G$2611</f>
        <v>80125.100000000006</v>
      </c>
      <c r="G168" s="314">
        <v>70492.239999999991</v>
      </c>
      <c r="H168" s="315">
        <f t="shared" si="2"/>
        <v>9632.8600000000151</v>
      </c>
    </row>
    <row r="169" spans="2:8">
      <c r="B169" s="310" t="str">
        <f>'analisa 2019'!A2613</f>
        <v>A.4.4.2.8</v>
      </c>
      <c r="C169" s="311" t="str">
        <f>'analisa 2019'!B2613</f>
        <v>Pemasangan 1 m2 plesteran 1SP : 8PP tebal 15 mm</v>
      </c>
      <c r="D169" s="312"/>
      <c r="E169" s="313">
        <f>'analisa 2019'!$G$2627</f>
        <v>79430.5</v>
      </c>
      <c r="G169" s="314">
        <v>69965.539999999994</v>
      </c>
      <c r="H169" s="315">
        <f t="shared" si="2"/>
        <v>9464.9600000000064</v>
      </c>
    </row>
    <row r="170" spans="2:8">
      <c r="B170" s="310" t="str">
        <f>'analisa 2019'!A2629</f>
        <v>A.4.4.2.13</v>
      </c>
      <c r="C170" s="311" t="str">
        <f>'analisa 2019'!B2629</f>
        <v>Pemasangan 1 m2 plesteran 1SP: 1PP tebal 20 mm</v>
      </c>
      <c r="D170" s="312"/>
      <c r="E170" s="313">
        <f>'analisa 2019'!$G$2643</f>
        <v>120731.6</v>
      </c>
      <c r="G170" s="314">
        <v>104777.87999999999</v>
      </c>
      <c r="H170" s="315">
        <f t="shared" si="2"/>
        <v>15953.720000000016</v>
      </c>
    </row>
    <row r="171" spans="2:8">
      <c r="B171" s="310" t="str">
        <f>'analisa 2019'!A2645</f>
        <v>A.4.4.2.14</v>
      </c>
      <c r="C171" s="311" t="str">
        <f>'analisa 2019'!B2645</f>
        <v>Pemasangan 1 m2 plesteran 1SP : 3PP tebal 20 mm</v>
      </c>
      <c r="D171" s="312"/>
      <c r="E171" s="313">
        <f>'analisa 2019'!$G$2659</f>
        <v>96282.6</v>
      </c>
      <c r="G171" s="314">
        <v>83339.12</v>
      </c>
      <c r="H171" s="315">
        <f t="shared" si="2"/>
        <v>12943.48000000001</v>
      </c>
    </row>
    <row r="172" spans="2:8">
      <c r="B172" s="310" t="str">
        <f>'analisa 2019'!A2661</f>
        <v>A.4.4.2.15</v>
      </c>
      <c r="C172" s="311" t="str">
        <f>'analisa 2019'!B2661</f>
        <v>Pemasangan 1 m2 plesteran 1SP : 4PP tebal 20 mm</v>
      </c>
      <c r="D172" s="312"/>
      <c r="E172" s="313">
        <f>'analisa 2019'!$G$2675</f>
        <v>111816.8</v>
      </c>
      <c r="G172" s="314">
        <v>97832.8</v>
      </c>
      <c r="H172" s="315">
        <f t="shared" si="2"/>
        <v>13984</v>
      </c>
    </row>
    <row r="173" spans="2:8">
      <c r="B173" s="310" t="str">
        <f>'analisa 2019'!A2677</f>
        <v>A.4.4.2.16</v>
      </c>
      <c r="C173" s="311" t="str">
        <f>'analisa 2019'!B2677</f>
        <v>Pemasangan 1 m2 plesteran 1SP : 5PP tebal 20 mm</v>
      </c>
      <c r="D173" s="312"/>
      <c r="E173" s="313">
        <f>'analisa 2019'!$G$2691</f>
        <v>109792.8</v>
      </c>
      <c r="G173" s="314">
        <v>96300.08</v>
      </c>
      <c r="H173" s="315">
        <f t="shared" si="2"/>
        <v>13492.720000000001</v>
      </c>
    </row>
    <row r="174" spans="2:8">
      <c r="B174" s="310" t="str">
        <f>'analisa 2019'!A2693</f>
        <v>A.4.4.2.17</v>
      </c>
      <c r="C174" s="311" t="str">
        <f>'analisa 2019'!B2693</f>
        <v>Pemasangan 1 m2 plesteran 1SP : 6PP tebal 20 mm</v>
      </c>
      <c r="D174" s="312"/>
      <c r="E174" s="313">
        <f>'analisa 2019'!$G$2707</f>
        <v>108081.60000000001</v>
      </c>
      <c r="G174" s="314">
        <v>94967.92</v>
      </c>
      <c r="H174" s="315">
        <f t="shared" si="2"/>
        <v>13113.680000000008</v>
      </c>
    </row>
    <row r="175" spans="2:8">
      <c r="B175" s="310" t="str">
        <f>'analisa 2019'!A2709</f>
        <v>A.4.4.2.19</v>
      </c>
      <c r="C175" s="311" t="str">
        <f>'analisa 2019'!B2709</f>
        <v>Pemasangan 1 m2 berapen 1SP : 5PP tebal 15 mm</v>
      </c>
      <c r="D175" s="312"/>
      <c r="E175" s="313">
        <f>'analisa 2019'!$G$2723</f>
        <v>48668</v>
      </c>
      <c r="G175" s="314">
        <v>42359.56</v>
      </c>
      <c r="H175" s="315">
        <f t="shared" si="2"/>
        <v>6308.4400000000023</v>
      </c>
    </row>
    <row r="176" spans="2:8">
      <c r="B176" s="310" t="str">
        <f>'analisa 2019'!A2725</f>
        <v>A.4.4.2.20</v>
      </c>
      <c r="C176" s="311" t="str">
        <f>'analisa 2019'!B2725</f>
        <v>Pemasangan 1 m’ plesteran skoning 1SP : 3PP lebar 10 cm</v>
      </c>
      <c r="D176" s="312"/>
      <c r="E176" s="313">
        <f>'analisa 2019'!$G$2739</f>
        <v>85629.58</v>
      </c>
      <c r="G176" s="314">
        <v>74064.31</v>
      </c>
      <c r="H176" s="315">
        <f t="shared" si="2"/>
        <v>11565.270000000004</v>
      </c>
    </row>
    <row r="177" spans="2:8">
      <c r="B177" s="310" t="str">
        <f>'analisa 2019'!A2741</f>
        <v>A.4.4.2.23</v>
      </c>
      <c r="C177" s="311" t="str">
        <f>'analisa 2019'!B2741</f>
        <v>Pemasangan 1 m2 plesteran ciprat 1SP : 2PP</v>
      </c>
      <c r="D177" s="312"/>
      <c r="E177" s="313">
        <f>'analisa 2019'!$G$2755</f>
        <v>67477.399999999994</v>
      </c>
      <c r="G177" s="314">
        <v>59365.3</v>
      </c>
      <c r="H177" s="315">
        <f t="shared" si="2"/>
        <v>8112.0999999999913</v>
      </c>
    </row>
    <row r="178" spans="2:8">
      <c r="B178" s="310" t="str">
        <f>'analisa 2019'!A2757</f>
        <v>A.4.4.2.24</v>
      </c>
      <c r="C178" s="311" t="str">
        <f>'analisa 2019'!B2757</f>
        <v>Pemasangan 1 m2 finishing siar pasangan bata merah</v>
      </c>
      <c r="D178" s="312"/>
      <c r="E178" s="313">
        <f>'analisa 2019'!$G$2770</f>
        <v>39526.080000000002</v>
      </c>
      <c r="G178" s="314">
        <v>34501.78</v>
      </c>
      <c r="H178" s="315">
        <f t="shared" si="2"/>
        <v>5024.3000000000029</v>
      </c>
    </row>
    <row r="179" spans="2:8">
      <c r="B179" s="310" t="str">
        <f>'analisa 2019'!A2772</f>
        <v>A.4.4.2.25</v>
      </c>
      <c r="C179" s="311" t="str">
        <f>'analisa 2019'!B2772</f>
        <v>Pemasangan 1 m2 finishing siar pasangan conblock ekspose</v>
      </c>
      <c r="D179" s="312"/>
      <c r="E179" s="313">
        <f>'analisa 2019'!$G$2785</f>
        <v>18814</v>
      </c>
      <c r="G179" s="314">
        <v>16399</v>
      </c>
      <c r="H179" s="315">
        <f t="shared" si="2"/>
        <v>2415</v>
      </c>
    </row>
    <row r="180" spans="2:8">
      <c r="B180" s="310" t="str">
        <f>'analisa 2019'!A2787</f>
        <v>A.4.4.2.26</v>
      </c>
      <c r="C180" s="311" t="str">
        <f>'analisa 2019'!B2787</f>
        <v>Pemasangan 1 m2 finishing siar pasangan batu kali. campuran 1SP : 2PP</v>
      </c>
      <c r="D180" s="312"/>
      <c r="E180" s="313">
        <f>'analisa 2019'!$G$2801</f>
        <v>81379.179999999993</v>
      </c>
      <c r="G180" s="314">
        <v>71107.66</v>
      </c>
      <c r="H180" s="315">
        <f t="shared" ref="H180:H215" si="3">E180-G180</f>
        <v>10271.51999999999</v>
      </c>
    </row>
    <row r="181" spans="2:8">
      <c r="B181" s="310" t="str">
        <f>'analisa 2019'!A2803</f>
        <v>A.4.4.2.27</v>
      </c>
      <c r="C181" s="311" t="str">
        <f>'analisa 2019'!B2803</f>
        <v>Pemasangan 1 m2 acian</v>
      </c>
      <c r="D181" s="312"/>
      <c r="E181" s="313">
        <f>'analisa 2019'!$G$2816</f>
        <v>50808.44</v>
      </c>
      <c r="G181" s="314">
        <v>42905.79</v>
      </c>
      <c r="H181" s="315">
        <f t="shared" si="3"/>
        <v>7902.6500000000015</v>
      </c>
    </row>
    <row r="182" spans="2:8">
      <c r="B182" s="310" t="str">
        <f>'analisa 2019'!$A$2818</f>
        <v>A.4.4.2.27 A</v>
      </c>
      <c r="C182" s="311" t="str">
        <f>'analisa 2019'!$B$2818</f>
        <v>Pemasangan 1 m2 Waterpforing lantai</v>
      </c>
      <c r="D182" s="312"/>
      <c r="E182" s="313">
        <f>'analisa 2019'!$G$2832</f>
        <v>92069</v>
      </c>
      <c r="G182" s="314"/>
      <c r="H182" s="315"/>
    </row>
    <row r="183" spans="2:8">
      <c r="B183" s="310"/>
      <c r="C183" s="311"/>
      <c r="D183" s="312"/>
      <c r="E183" s="313"/>
      <c r="G183" s="314"/>
      <c r="H183" s="315"/>
    </row>
    <row r="184" spans="2:8">
      <c r="B184" s="328" t="str">
        <f>'analisa 2019'!A2834</f>
        <v>A.4.4.3</v>
      </c>
      <c r="C184" s="329" t="str">
        <f>'analisa 2019'!B2834</f>
        <v>HARGA SATUAN PEKERJAAN PENUTUP LANTAI DAN PENUTUP DINDING</v>
      </c>
      <c r="D184" s="317"/>
      <c r="E184" s="331"/>
      <c r="G184" s="314"/>
      <c r="H184" s="315">
        <f t="shared" si="3"/>
        <v>0</v>
      </c>
    </row>
    <row r="185" spans="2:8">
      <c r="B185" s="310" t="str">
        <f>'analisa 2019'!A2835</f>
        <v>A.4.4.3.1</v>
      </c>
      <c r="C185" s="311" t="str">
        <f>'analisa 2019'!B2835</f>
        <v>Pemasangan 1m2 lantai ubin PC abu-abu ukuran 40cm x40cm</v>
      </c>
      <c r="D185" s="312"/>
      <c r="E185" s="313">
        <f>'analisa 2019'!$G$2850</f>
        <v>121629.75</v>
      </c>
      <c r="G185" s="314">
        <v>110650.13</v>
      </c>
      <c r="H185" s="315">
        <f t="shared" si="3"/>
        <v>10979.619999999995</v>
      </c>
    </row>
    <row r="186" spans="2:8">
      <c r="B186" s="310" t="str">
        <f>'analisa 2019'!A2852</f>
        <v>A.4.4.3.2</v>
      </c>
      <c r="C186" s="311" t="str">
        <f>'analisa 2019'!B2852</f>
        <v>Pemasangan 1m2 lantai ubin PC abu-abu ukuran 30cm x30 cm</v>
      </c>
      <c r="D186" s="312"/>
      <c r="E186" s="313">
        <f>'analisa 2019'!$G$2867</f>
        <v>138483</v>
      </c>
      <c r="G186" s="314">
        <v>127425.75</v>
      </c>
      <c r="H186" s="315">
        <f t="shared" si="3"/>
        <v>11057.25</v>
      </c>
    </row>
    <row r="187" spans="2:8">
      <c r="B187" s="310" t="str">
        <f>'analisa 2019'!A2869</f>
        <v>A.4.4.3.3</v>
      </c>
      <c r="C187" s="311" t="str">
        <f>'analisa 2019'!B2869</f>
        <v>Pemasangan 1m2 lantai ubin PC abu-abu ukuran 20cm x20 cm</v>
      </c>
      <c r="D187" s="312"/>
      <c r="E187" s="313">
        <f>'analisa 2019'!$G$2884</f>
        <v>150052</v>
      </c>
      <c r="G187" s="314">
        <v>138333.5</v>
      </c>
      <c r="H187" s="315">
        <f t="shared" si="3"/>
        <v>11718.5</v>
      </c>
    </row>
    <row r="188" spans="2:8">
      <c r="B188" s="310" t="str">
        <f>'analisa 2019'!A2886</f>
        <v>A.4.4.3.4</v>
      </c>
      <c r="C188" s="311" t="str">
        <f>'analisa 2019'!B2886</f>
        <v>Pemasangan 1m2 lantai ubin warna ukuran 40cm x40 cm</v>
      </c>
      <c r="D188" s="312"/>
      <c r="E188" s="313">
        <f>'analisa 2019'!$G$2902</f>
        <v>126768.81</v>
      </c>
      <c r="G188" s="314">
        <v>115508.88</v>
      </c>
      <c r="H188" s="315">
        <f t="shared" si="3"/>
        <v>11259.929999999993</v>
      </c>
    </row>
    <row r="189" spans="2:8">
      <c r="B189" s="310" t="str">
        <f>'analisa 2019'!A2904</f>
        <v>A.4.4.3.5</v>
      </c>
      <c r="C189" s="311" t="str">
        <f>'analisa 2019'!B2904</f>
        <v>Pemasangan 1m2 lantai ubin warna ukuran 30cm x30cm</v>
      </c>
      <c r="D189" s="312"/>
      <c r="E189" s="313">
        <f>'analisa 2019'!$G$2920</f>
        <v>146482.69</v>
      </c>
      <c r="G189" s="314">
        <v>134872</v>
      </c>
      <c r="H189" s="315">
        <f t="shared" si="3"/>
        <v>11610.690000000002</v>
      </c>
    </row>
    <row r="190" spans="2:8">
      <c r="B190" s="310" t="str">
        <f>'analisa 2019'!A2922</f>
        <v>A.4.4.3.6</v>
      </c>
      <c r="C190" s="311" t="str">
        <f>'analisa 2019'!B2922</f>
        <v>Pemasangan 1m2 lantai ubin warna ukuran 20cm x20cm</v>
      </c>
      <c r="D190" s="312"/>
      <c r="E190" s="313">
        <f>'analisa 2019'!$G$2938</f>
        <v>186931.06</v>
      </c>
      <c r="G190" s="314">
        <v>174863.25</v>
      </c>
      <c r="H190" s="315">
        <f t="shared" si="3"/>
        <v>12067.809999999998</v>
      </c>
    </row>
    <row r="191" spans="2:8">
      <c r="B191" s="310" t="str">
        <f>'analisa 2019'!A2940</f>
        <v>A.4.4.3.7</v>
      </c>
      <c r="C191" s="311" t="str">
        <f>'analisa 2019'!B2940</f>
        <v>Pemasangan 1m2 lantai ubin teraso ukuran 40cm x40cm</v>
      </c>
      <c r="D191" s="312"/>
      <c r="E191" s="313">
        <f>'analisa 2019'!$G$2956</f>
        <v>469871.31</v>
      </c>
      <c r="G191" s="314">
        <v>458611.38</v>
      </c>
      <c r="H191" s="315">
        <f t="shared" si="3"/>
        <v>11259.929999999993</v>
      </c>
    </row>
    <row r="192" spans="2:8">
      <c r="B192" s="310" t="str">
        <f>'analisa 2019'!A2958</f>
        <v>A.4.4.3.10</v>
      </c>
      <c r="C192" s="311" t="str">
        <f>'analisa 2019'!B2958</f>
        <v>Pemasangan 1m2 lantai ubin granit ukuran 30cm x30cm</v>
      </c>
      <c r="D192" s="312"/>
      <c r="E192" s="313">
        <f>'analisa 2019'!$G$2974</f>
        <v>637900.68999999994</v>
      </c>
      <c r="G192" s="314">
        <v>626290</v>
      </c>
      <c r="H192" s="315">
        <f t="shared" si="3"/>
        <v>11610.689999999944</v>
      </c>
    </row>
    <row r="193" spans="2:8">
      <c r="B193" s="310" t="str">
        <f>'analisa 2019'!A2976</f>
        <v>A.4.4.3.32</v>
      </c>
      <c r="C193" s="311" t="str">
        <f>'analisa 2019'!B2976</f>
        <v>Pemasangan 1m2 lantai keramik artistik 10cm x 20cm</v>
      </c>
      <c r="D193" s="312"/>
      <c r="E193" s="313">
        <f>'analisa 2019'!$G$2992</f>
        <v>301566.65999999997</v>
      </c>
      <c r="G193" s="314">
        <v>279256.94</v>
      </c>
      <c r="H193" s="315">
        <f t="shared" si="3"/>
        <v>22309.719999999972</v>
      </c>
    </row>
    <row r="194" spans="2:8">
      <c r="B194" s="310" t="str">
        <f>'analisa 2019'!A2994</f>
        <v>A.4.4.3.33</v>
      </c>
      <c r="C194" s="311" t="str">
        <f>'analisa 2019'!B2994</f>
        <v>Pemasangan 1m2 lantai keramik artistik 10cm x 10cm atau 5cm x 20cm</v>
      </c>
      <c r="D194" s="312"/>
      <c r="E194" s="313">
        <f>'analisa 2019'!$G$3010</f>
        <v>315535.56</v>
      </c>
      <c r="G194" s="314">
        <v>293128.82</v>
      </c>
      <c r="H194" s="315">
        <f t="shared" si="3"/>
        <v>22406.739999999991</v>
      </c>
    </row>
    <row r="195" spans="2:8">
      <c r="B195" s="320" t="str">
        <f>'analisa 2019'!A3012</f>
        <v>A.4.4.3.34</v>
      </c>
      <c r="C195" s="321" t="str">
        <f>'analisa 2019'!B3012</f>
        <v>Pemasangan 1m2 lantai keramik ukuran 33cm x 33cm</v>
      </c>
      <c r="D195" s="322"/>
      <c r="E195" s="323">
        <f>'analisa 2019'!$G$3028</f>
        <v>271454.63</v>
      </c>
      <c r="G195" s="314">
        <v>249388.57</v>
      </c>
      <c r="H195" s="315">
        <f t="shared" si="3"/>
        <v>22066.059999999998</v>
      </c>
    </row>
    <row r="196" spans="2:8">
      <c r="B196" s="324" t="str">
        <f>'analisa 2019'!A3030</f>
        <v>A.4.4.3.35</v>
      </c>
      <c r="C196" s="325" t="str">
        <f>'analisa 2019'!B3030</f>
        <v>Pemasangan 1m2 lantai keramik ukuran 30cm x 30cm</v>
      </c>
      <c r="D196" s="326"/>
      <c r="E196" s="327">
        <f>'analisa 2019'!$G$3046</f>
        <v>281073.51</v>
      </c>
      <c r="G196" s="314">
        <v>258330.83</v>
      </c>
      <c r="H196" s="315">
        <f t="shared" si="3"/>
        <v>22742.680000000022</v>
      </c>
    </row>
    <row r="197" spans="2:8">
      <c r="B197" s="310" t="str">
        <f>'analisa 2019'!A3048</f>
        <v>A.4.4.3.36</v>
      </c>
      <c r="C197" s="311" t="str">
        <f>'analisa 2019'!B3048</f>
        <v>Pemasangan 1m2 lantai keramik ukuran 20cm x 20cm</v>
      </c>
      <c r="D197" s="312"/>
      <c r="E197" s="313">
        <f>'analisa 2019'!$G$3064</f>
        <v>260088.31</v>
      </c>
      <c r="G197" s="314">
        <v>237164.5</v>
      </c>
      <c r="H197" s="315">
        <f t="shared" si="3"/>
        <v>22923.809999999998</v>
      </c>
    </row>
    <row r="198" spans="2:8">
      <c r="B198" s="310" t="str">
        <f>'analisa 2019'!A3066</f>
        <v>A.4.4.3.36 A</v>
      </c>
      <c r="C198" s="311" t="str">
        <f>'analisa 2019'!B3066</f>
        <v>Pemasangan 1m2 lantai keramik ukuran 20cm x 25cm</v>
      </c>
      <c r="D198" s="312"/>
      <c r="E198" s="313">
        <f>'analisa 2019'!$G$3082</f>
        <v>272019.56</v>
      </c>
      <c r="G198" s="314">
        <v>249095.75</v>
      </c>
      <c r="H198" s="315">
        <f t="shared" si="3"/>
        <v>22923.809999999998</v>
      </c>
    </row>
    <row r="199" spans="2:8">
      <c r="B199" s="310" t="str">
        <f>'analisa 2019'!$A$3084</f>
        <v>A.4.4.3.36 B</v>
      </c>
      <c r="C199" s="311" t="str">
        <f>'analisa 2019'!$B$3084</f>
        <v>Pemasangan 1m2 lantai keramik ukuran 40cm x 40cm</v>
      </c>
      <c r="D199" s="312"/>
      <c r="E199" s="313">
        <f>'analisa 2019'!$G$3100</f>
        <v>271875.81</v>
      </c>
      <c r="G199" s="314"/>
      <c r="H199" s="315"/>
    </row>
    <row r="200" spans="2:8">
      <c r="B200" s="310" t="str">
        <f>'analisa 2019'!A3102</f>
        <v>A.4.4.3.36 C</v>
      </c>
      <c r="C200" s="311" t="str">
        <f>'analisa 2019'!B3102</f>
        <v>Pemasangan 1m2 lantai keramik ukuran 60cm x 60cm</v>
      </c>
      <c r="D200" s="312"/>
      <c r="E200" s="313">
        <f>'analisa 2019'!$G$3118</f>
        <v>385064.56</v>
      </c>
      <c r="G200" s="314">
        <v>362140.75</v>
      </c>
      <c r="H200" s="315">
        <f t="shared" si="3"/>
        <v>22923.809999999998</v>
      </c>
    </row>
    <row r="201" spans="2:8">
      <c r="B201" s="310" t="str">
        <f>'analisa 2019'!A3120</f>
        <v>A.4.4.3.36 D</v>
      </c>
      <c r="C201" s="311" t="str">
        <f>'analisa 2019'!B3120</f>
        <v>Pemasangan 1m2 lantai keramik ukuran 40cm x 40cm setara granito</v>
      </c>
      <c r="D201" s="312"/>
      <c r="E201" s="313">
        <f>'analisa 2019'!$G$3136</f>
        <v>572744.56000000006</v>
      </c>
      <c r="G201" s="314">
        <v>549820.75</v>
      </c>
      <c r="H201" s="315">
        <f t="shared" si="3"/>
        <v>22923.810000000056</v>
      </c>
    </row>
    <row r="202" spans="2:8">
      <c r="B202" s="310" t="str">
        <f>'analisa 2019'!A3138</f>
        <v>A.4.4.3.36 E</v>
      </c>
      <c r="C202" s="311" t="str">
        <f>'analisa 2019'!B3138</f>
        <v>Pemasangan 1m2 lantai keramik ukuran 40cm x 40cm setara essenza</v>
      </c>
      <c r="D202" s="312"/>
      <c r="E202" s="313">
        <f>'analisa 2019'!$G$3154</f>
        <v>662444.56000000006</v>
      </c>
      <c r="G202" s="314">
        <v>639520.75</v>
      </c>
      <c r="H202" s="315">
        <f t="shared" si="3"/>
        <v>22923.810000000056</v>
      </c>
    </row>
    <row r="203" spans="2:8">
      <c r="B203" s="310" t="str">
        <f>'analisa 2019'!A3156</f>
        <v>A.4.4.3.36 F</v>
      </c>
      <c r="C203" s="311" t="str">
        <f>'analisa 2019'!B3156</f>
        <v>Pemasangan 1m2 lantai keramik ukuran 25cm x 25cm</v>
      </c>
      <c r="D203" s="312"/>
      <c r="E203" s="313">
        <f>'analisa 2019'!$G$3172</f>
        <v>295364.56</v>
      </c>
      <c r="G203" s="314">
        <v>272440.75</v>
      </c>
      <c r="H203" s="315">
        <f t="shared" si="3"/>
        <v>22923.809999999998</v>
      </c>
    </row>
    <row r="204" spans="2:8">
      <c r="B204" s="310" t="str">
        <f>'analisa 2019'!A3174</f>
        <v>A.4.4.3.38</v>
      </c>
      <c r="C204" s="311" t="str">
        <f>'analisa 2019'!B3174</f>
        <v>Pemasangan 1m2 lantai keramik mozaik ukuran 30cm x 30cm</v>
      </c>
      <c r="D204" s="312"/>
      <c r="E204" s="313">
        <f>'analisa 2019'!$G$3190</f>
        <v>289590.99</v>
      </c>
      <c r="G204" s="314">
        <v>265240.17</v>
      </c>
      <c r="H204" s="315">
        <f t="shared" si="3"/>
        <v>24350.820000000007</v>
      </c>
    </row>
    <row r="205" spans="2:8">
      <c r="B205" s="310" t="str">
        <f>'analisa 2019'!$A$3192</f>
        <v>A.4.4.3.39</v>
      </c>
      <c r="C205" s="311" t="str">
        <f>'analisa 2019'!$B$3192</f>
        <v>Pemasangan 1 m’ plint keramik ukuran 10cm x 10cm</v>
      </c>
      <c r="D205" s="312"/>
      <c r="E205" s="313">
        <f>'analisa 2019'!$G$3208</f>
        <v>48633.36</v>
      </c>
      <c r="G205" s="314"/>
      <c r="H205" s="315"/>
    </row>
    <row r="206" spans="2:8">
      <c r="B206" s="310" t="str">
        <f>'analisa 2019'!$A$3210</f>
        <v>A.4.4.3.39 A</v>
      </c>
      <c r="C206" s="311" t="str">
        <f>'analisa 2019'!$B$3210</f>
        <v>Pemasangan 1 m’ plint keramik ukuran 10cm x 20cm</v>
      </c>
      <c r="D206" s="312"/>
      <c r="E206" s="313">
        <f>'analisa 2019'!$G$3226</f>
        <v>45915.4</v>
      </c>
      <c r="G206" s="314">
        <v>41387.35</v>
      </c>
      <c r="H206" s="315">
        <f t="shared" si="3"/>
        <v>4528.0500000000029</v>
      </c>
    </row>
    <row r="207" spans="2:8">
      <c r="B207" s="310" t="str">
        <f>'analisa 2019'!$A$3228</f>
        <v>A.4.4.3.39 B</v>
      </c>
      <c r="C207" s="311" t="str">
        <f>'analisa 2019'!$B$3228</f>
        <v>Pemasangan 1 m’ plint keramik ukuran 10cm x 30cm</v>
      </c>
      <c r="D207" s="312"/>
      <c r="E207" s="313">
        <f>'analisa 2019'!$G$3244</f>
        <v>47337.82</v>
      </c>
      <c r="G207" s="314"/>
      <c r="H207" s="315"/>
    </row>
    <row r="208" spans="2:8">
      <c r="B208" s="310" t="str">
        <f>'analisa 2019'!$A$3246</f>
        <v>A.4.4.3.39 C</v>
      </c>
      <c r="C208" s="311" t="str">
        <f>'analisa 2019'!$B$3246</f>
        <v>Pemasangan 1 m’ plint keramik ukuran 10cm x 40cm</v>
      </c>
      <c r="D208" s="312"/>
      <c r="E208" s="313">
        <f>'analisa 2019'!$G$3262</f>
        <v>53824.53</v>
      </c>
      <c r="G208" s="314"/>
      <c r="H208" s="315"/>
    </row>
    <row r="209" spans="2:8">
      <c r="B209" s="310" t="str">
        <f>'analisa 2019'!$A$3264</f>
        <v>A.4.4.3.39 D</v>
      </c>
      <c r="C209" s="311" t="str">
        <f>'analisa 2019'!$B$3264</f>
        <v>Pemasangan 1 m’ plint keramik ukuran 10cm x 60cm</v>
      </c>
      <c r="D209" s="312"/>
      <c r="E209" s="313">
        <f>'analisa 2019'!$G$3280</f>
        <v>85427.1</v>
      </c>
      <c r="G209" s="314"/>
      <c r="H209" s="315"/>
    </row>
    <row r="210" spans="2:8">
      <c r="B210" s="310" t="str">
        <f>'analisa 2019'!$A$3282</f>
        <v>A.4.4.3.41</v>
      </c>
      <c r="C210" s="311" t="str">
        <f>'analisa 2019'!$B$3282</f>
        <v>Pemasangan 1 m’ plint keramik ukuran 5cm x 20cm</v>
      </c>
      <c r="D210" s="312"/>
      <c r="E210" s="313">
        <f>'analisa 2019'!$G$3298</f>
        <v>40232.68</v>
      </c>
      <c r="G210" s="314"/>
      <c r="H210" s="315"/>
    </row>
    <row r="211" spans="2:8">
      <c r="B211" s="310" t="str">
        <f>'analisa 2019'!A3300</f>
        <v>A.4.4.3.43</v>
      </c>
      <c r="C211" s="311" t="str">
        <f>'analisa 2019'!B3300</f>
        <v>Pemasangan 1 m2 lantai marmer ukuran 100cm x 100cm</v>
      </c>
      <c r="D211" s="312"/>
      <c r="E211" s="313">
        <f>'analisa 2019'!$G$3319</f>
        <v>1311705.0900000001</v>
      </c>
      <c r="G211" s="314">
        <v>954048.19</v>
      </c>
      <c r="H211" s="315">
        <f t="shared" si="3"/>
        <v>357656.90000000014</v>
      </c>
    </row>
    <row r="212" spans="2:8">
      <c r="B212" s="310" t="str">
        <f>'analisa 2019'!A3321</f>
        <v>A.4.4.3.44</v>
      </c>
      <c r="C212" s="311" t="str">
        <f>'analisa 2019'!B3321</f>
        <v>Pemasangan 1 m2 lantai karpet</v>
      </c>
      <c r="D212" s="312"/>
      <c r="E212" s="313">
        <f>'analisa 2019'!$G$3335</f>
        <v>122989.63</v>
      </c>
      <c r="G212" s="314">
        <v>111113</v>
      </c>
      <c r="H212" s="315">
        <f t="shared" si="3"/>
        <v>11876.630000000005</v>
      </c>
    </row>
    <row r="213" spans="2:8">
      <c r="B213" s="310" t="str">
        <f>'analisa 2019'!A3337</f>
        <v>A.4.4.3.45</v>
      </c>
      <c r="C213" s="311" t="str">
        <f>'analisa 2019'!B3337</f>
        <v>Pemasangan 1 m2 underlayer (pelapis bawah karpet)</v>
      </c>
      <c r="D213" s="312"/>
      <c r="E213" s="313">
        <f>'analisa 2019'!$G$3351</f>
        <v>113608.5</v>
      </c>
      <c r="G213" s="314">
        <v>103640.88</v>
      </c>
      <c r="H213" s="315">
        <f t="shared" si="3"/>
        <v>9967.6199999999953</v>
      </c>
    </row>
    <row r="214" spans="2:8">
      <c r="B214" s="310" t="str">
        <f>'analisa 2019'!A3353</f>
        <v>A.4.4.3.46</v>
      </c>
      <c r="C214" s="311" t="str">
        <f>'analisa 2019'!B3353</f>
        <v>Pemasangan 1 m2 lantai parquet kayu</v>
      </c>
      <c r="D214" s="312"/>
      <c r="E214" s="313">
        <f>'analisa 2019'!$G$3367</f>
        <v>548837.5</v>
      </c>
      <c r="G214" s="314">
        <v>521847</v>
      </c>
      <c r="H214" s="315">
        <f t="shared" si="3"/>
        <v>26990.5</v>
      </c>
    </row>
    <row r="215" spans="2:8">
      <c r="B215" s="310" t="str">
        <f>'analisa 2019'!A3369</f>
        <v>A.4.4.3.47</v>
      </c>
      <c r="C215" s="311" t="str">
        <f>'analisa 2019'!B3369</f>
        <v>Pemasangan 1 m2 lantai kayu gymfloor</v>
      </c>
      <c r="D215" s="312"/>
      <c r="E215" s="313">
        <f>'analisa 2019'!$G$3383</f>
        <v>394881.25</v>
      </c>
      <c r="G215" s="314">
        <v>367890.75</v>
      </c>
      <c r="H215" s="315">
        <f t="shared" si="3"/>
        <v>26990.5</v>
      </c>
    </row>
    <row r="216" spans="2:8">
      <c r="B216" s="310" t="str">
        <f>'analisa 2019'!A3385</f>
        <v>A.4.4.3.54</v>
      </c>
      <c r="C216" s="311" t="str">
        <f>'analisa 2019'!B3385</f>
        <v>Pemasangan 1 m2 dinding keramik 20cm x 20cm</v>
      </c>
      <c r="D216" s="312"/>
      <c r="E216" s="313">
        <f>'analisa 2019'!$G$3401</f>
        <v>297921.01</v>
      </c>
      <c r="G216" s="314">
        <v>270791.94</v>
      </c>
      <c r="H216" s="315">
        <f t="shared" ref="H216:H262" si="4">E216-G216</f>
        <v>27129.070000000007</v>
      </c>
    </row>
    <row r="217" spans="2:8">
      <c r="B217" s="310" t="str">
        <f>'analisa 2019'!A3403</f>
        <v>A.4.4.3.54 A</v>
      </c>
      <c r="C217" s="311" t="str">
        <f>'analisa 2019'!B3403</f>
        <v>Pemasangan 1 m2 dinding keramik 20cm x 25cm</v>
      </c>
      <c r="D217" s="312"/>
      <c r="E217" s="313">
        <f>'analisa 2019'!$G$3419</f>
        <v>314524.14</v>
      </c>
      <c r="G217" s="314">
        <v>287395.06</v>
      </c>
      <c r="H217" s="315">
        <f t="shared" si="4"/>
        <v>27129.080000000016</v>
      </c>
    </row>
    <row r="218" spans="2:8">
      <c r="B218" s="310" t="str">
        <f>'analisa 2019'!A3421</f>
        <v>A.4.4.3.54 B</v>
      </c>
      <c r="C218" s="311" t="str">
        <f>'analisa 2019'!B3421</f>
        <v>Pemasangan 1 m2 dinding keramik 20cm x 40cm</v>
      </c>
      <c r="D218" s="312"/>
      <c r="E218" s="313">
        <f>'analisa 2019'!$G$3437</f>
        <v>320561.64</v>
      </c>
      <c r="G218" s="314">
        <v>293432.56</v>
      </c>
      <c r="H218" s="315">
        <f t="shared" si="4"/>
        <v>27129.080000000016</v>
      </c>
    </row>
    <row r="219" spans="2:8">
      <c r="B219" s="310" t="str">
        <f>'analisa 2019'!$A$3439</f>
        <v>A.4.4.3.54 C</v>
      </c>
      <c r="C219" s="311" t="str">
        <f>'analisa 2019'!$B$3439</f>
        <v>Pemasangan 1 m2 dinding keramik 25cm x 40cm</v>
      </c>
      <c r="D219" s="312"/>
      <c r="E219" s="313">
        <f>'analisa 2019'!$G$3455</f>
        <v>335715.76</v>
      </c>
      <c r="G219" s="314"/>
      <c r="H219" s="315"/>
    </row>
    <row r="220" spans="2:8">
      <c r="B220" s="310" t="str">
        <f>'analisa 2019'!$A$3457</f>
        <v>A.4.4.3.54 D</v>
      </c>
      <c r="C220" s="311" t="str">
        <f>'analisa 2019'!$B$3457</f>
        <v>Pemasangan 1 m2 dinding keramik 30cm x 60cm</v>
      </c>
      <c r="D220" s="312"/>
      <c r="E220" s="313">
        <f>'analisa 2019'!$G$3473</f>
        <v>388977.55</v>
      </c>
      <c r="G220" s="314"/>
      <c r="H220" s="315"/>
    </row>
    <row r="221" spans="2:8">
      <c r="B221" s="310" t="str">
        <f>'analisa 2019'!$A$3475</f>
        <v>A.4.4.3.54 E</v>
      </c>
      <c r="C221" s="311" t="str">
        <f>'analisa 2019'!$B$3475</f>
        <v>Pemasangan 1 m2 dinding keramik 60cm x 60cm</v>
      </c>
      <c r="D221" s="312"/>
      <c r="E221" s="313">
        <f>'analisa 2019'!$G$3491</f>
        <v>418170.04</v>
      </c>
      <c r="G221" s="314"/>
      <c r="H221" s="315"/>
    </row>
    <row r="222" spans="2:8">
      <c r="B222" s="310" t="str">
        <f>'analisa 2019'!A3493</f>
        <v>A.4.4.3.55</v>
      </c>
      <c r="C222" s="311" t="str">
        <f>'analisa 2019'!B3493</f>
        <v>Pemasangan 1 m2 dinding marmer 100cm x 100cm</v>
      </c>
      <c r="D222" s="312"/>
      <c r="E222" s="313">
        <f>'analisa 2019'!$G$3513</f>
        <v>1522978.78</v>
      </c>
      <c r="G222" s="314">
        <v>1138406.8500000001</v>
      </c>
      <c r="H222" s="315">
        <f t="shared" si="4"/>
        <v>384571.92999999993</v>
      </c>
    </row>
    <row r="223" spans="2:8">
      <c r="B223" s="310" t="str">
        <f>'analisa 2019'!A3515</f>
        <v>A.4.4.3.56</v>
      </c>
      <c r="C223" s="311" t="str">
        <f>'analisa 2019'!B3515</f>
        <v>Pemasangan 1 m2 dinding bata pelapis 3cm x 7cm x 24cm</v>
      </c>
      <c r="D223" s="312"/>
      <c r="E223" s="313">
        <f>'analisa 2019'!$G$3531</f>
        <v>324435.84000000003</v>
      </c>
      <c r="G223" s="314">
        <v>284863.2</v>
      </c>
      <c r="H223" s="315">
        <f t="shared" si="4"/>
        <v>39572.640000000014</v>
      </c>
    </row>
    <row r="224" spans="2:8">
      <c r="B224" s="310" t="str">
        <f>'analisa 2019'!A3533</f>
        <v>A.4.4.3.57</v>
      </c>
      <c r="C224" s="311" t="str">
        <f>'analisa 2019'!B3533</f>
        <v>Pemasangan 1 m2 dinding batu paras</v>
      </c>
      <c r="D224" s="312"/>
      <c r="E224" s="313">
        <f>'analisa 2019'!$G$3548</f>
        <v>422169.31</v>
      </c>
      <c r="G224" s="314">
        <v>421085.48</v>
      </c>
      <c r="H224" s="315">
        <f t="shared" si="4"/>
        <v>1083.8300000000163</v>
      </c>
    </row>
    <row r="225" spans="2:8">
      <c r="B225" s="310" t="str">
        <f>'analisa 2019'!A3550</f>
        <v>A.4.4.3.58</v>
      </c>
      <c r="C225" s="311" t="str">
        <f>'analisa 2019'!B3550</f>
        <v>Pemasangan 1 m2 dinding batu tempel hitam</v>
      </c>
      <c r="D225" s="312"/>
      <c r="E225" s="313">
        <f>'analisa 2019'!$G$3565</f>
        <v>424699.31</v>
      </c>
      <c r="G225" s="314">
        <v>389377.98</v>
      </c>
      <c r="H225" s="315">
        <f t="shared" si="4"/>
        <v>35321.330000000016</v>
      </c>
    </row>
    <row r="226" spans="2:8">
      <c r="B226" s="310" t="str">
        <f>'analisa 2019'!A3567</f>
        <v>A.4.4.3.59</v>
      </c>
      <c r="C226" s="311" t="str">
        <f>'analisa 2019'!B3567</f>
        <v>Pemasangan 1 m2 lantai vynil ukuran 30cm x 30cm</v>
      </c>
      <c r="D226" s="312"/>
      <c r="E226" s="313">
        <f>'analisa 2019'!$G$3581</f>
        <v>305992</v>
      </c>
      <c r="G226" s="314">
        <v>294874.38</v>
      </c>
      <c r="H226" s="315">
        <f t="shared" si="4"/>
        <v>11117.619999999995</v>
      </c>
    </row>
    <row r="227" spans="2:8">
      <c r="B227" s="310" t="str">
        <f>'analisa 2019'!A3583</f>
        <v>A.4.4.3.60</v>
      </c>
      <c r="C227" s="311" t="str">
        <f>'analisa 2019'!B3583</f>
        <v>Pemasangan 1 m2 wallpaper Biasa lebar 50 cm</v>
      </c>
      <c r="D227" s="312"/>
      <c r="E227" s="313">
        <f>'analisa 2019'!$G$3597</f>
        <v>135792</v>
      </c>
      <c r="G227" s="314">
        <v>123438.13</v>
      </c>
      <c r="H227" s="315">
        <f t="shared" si="4"/>
        <v>12353.869999999995</v>
      </c>
    </row>
    <row r="228" spans="2:8">
      <c r="B228" s="310" t="str">
        <f>'analisa 2019'!$A$3599</f>
        <v>A.4.4.3.60 A</v>
      </c>
      <c r="C228" s="311" t="str">
        <f>'analisa 2019'!$B$3599</f>
        <v>Pemasangan 1 m2 wallpaper Lux Motif lebar 50 cm</v>
      </c>
      <c r="D228" s="312"/>
      <c r="E228" s="313">
        <f>'analisa 2019'!$G$3613</f>
        <v>148442</v>
      </c>
      <c r="G228" s="314"/>
      <c r="H228" s="315"/>
    </row>
    <row r="229" spans="2:8">
      <c r="B229" s="310" t="str">
        <f>'analisa 2019'!A3615</f>
        <v>A.4.4.3.61</v>
      </c>
      <c r="C229" s="311" t="str">
        <f>'analisa 2019'!B3615</f>
        <v>Pemasangan 1m2 floor harderner</v>
      </c>
      <c r="D229" s="312"/>
      <c r="E229" s="313">
        <f>'analisa 2019'!$G$3631</f>
        <v>84973.5</v>
      </c>
      <c r="G229" s="314">
        <v>54544.5</v>
      </c>
      <c r="H229" s="315">
        <f t="shared" si="4"/>
        <v>30429</v>
      </c>
    </row>
    <row r="230" spans="2:8">
      <c r="B230" s="310" t="str">
        <f>'analisa 2019'!A3633</f>
        <v>A.4.4.3.62</v>
      </c>
      <c r="C230" s="311" t="str">
        <f>'analisa 2019'!B3633</f>
        <v>Pemasangan 1 m’ plint vynil 15cm x 30cm</v>
      </c>
      <c r="D230" s="312"/>
      <c r="E230" s="313">
        <f>'analisa 2019'!$G$3647</f>
        <v>64492</v>
      </c>
      <c r="G230" s="314">
        <v>60218.6</v>
      </c>
      <c r="H230" s="315">
        <f t="shared" si="4"/>
        <v>4273.4000000000015</v>
      </c>
    </row>
    <row r="231" spans="2:8">
      <c r="B231" s="310" t="str">
        <f>'analisa 2019'!A3649</f>
        <v>A.4.4.3.63</v>
      </c>
      <c r="C231" s="311" t="str">
        <f>'analisa 2019'!B3649</f>
        <v>Pemasangan 1 m’ plint kayu tebal 2 cm lebar 10 cm</v>
      </c>
      <c r="D231" s="312"/>
      <c r="E231" s="313">
        <f>'analisa 2019'!$G$3663</f>
        <v>75342.25</v>
      </c>
      <c r="G231" s="314">
        <v>68919.5</v>
      </c>
      <c r="H231" s="315">
        <f t="shared" si="4"/>
        <v>6422.75</v>
      </c>
    </row>
    <row r="232" spans="2:8">
      <c r="B232" s="310" t="str">
        <f>'analisa 2019'!A3665</f>
        <v>A.4.4.3.64</v>
      </c>
      <c r="C232" s="311" t="str">
        <f>'analisa 2019'!B3665</f>
        <v>Pemasangan 1 m2 paving block tebal 6 cm</v>
      </c>
      <c r="D232" s="312"/>
      <c r="E232" s="313">
        <f>'analisa 2019'!$G$3679</f>
        <v>188698.9</v>
      </c>
      <c r="G232" s="314">
        <v>175674</v>
      </c>
      <c r="H232" s="315">
        <f t="shared" si="4"/>
        <v>13024.899999999994</v>
      </c>
    </row>
    <row r="233" spans="2:8">
      <c r="B233" s="310" t="str">
        <f>'analisa 2019'!A3681</f>
        <v>A.4.4.3.65</v>
      </c>
      <c r="C233" s="311" t="str">
        <f>'analisa 2019'!B3681</f>
        <v>Pemasangan 1 m2 paving block tebal 8 cm</v>
      </c>
      <c r="D233" s="312"/>
      <c r="E233" s="313">
        <f>'analisa 2019'!$G$3695</f>
        <v>210355.7</v>
      </c>
      <c r="G233" s="314">
        <v>196755.8</v>
      </c>
      <c r="H233" s="315">
        <f t="shared" si="4"/>
        <v>13599.900000000023</v>
      </c>
    </row>
    <row r="234" spans="2:8" s="780" customFormat="1">
      <c r="B234" s="776" t="str">
        <f>'analisa 2019'!A3697</f>
        <v>Supl. ACP</v>
      </c>
      <c r="C234" s="777" t="str">
        <f>'analisa 2019'!B3697</f>
        <v>Memasang 1 m2 Aluminium Composit Panel (ACP)</v>
      </c>
      <c r="D234" s="778"/>
      <c r="E234" s="779">
        <f>'analisa 2019'!$G$3714</f>
        <v>1187199.6299999999</v>
      </c>
      <c r="G234" s="781">
        <v>1435602.5</v>
      </c>
      <c r="H234" s="782">
        <f t="shared" si="4"/>
        <v>-248402.87000000011</v>
      </c>
    </row>
    <row r="235" spans="2:8">
      <c r="B235" s="310" t="str">
        <f>'analisa 2019'!A3716</f>
        <v>Supl. WMB</v>
      </c>
      <c r="C235" s="311" t="str">
        <f>'analisa 2019'!B3716</f>
        <v>Memasang 1 m2 Waterproofing Membrane Bakar</v>
      </c>
      <c r="D235" s="312"/>
      <c r="E235" s="313">
        <f>'analisa 2019'!$G$3730</f>
        <v>229931</v>
      </c>
      <c r="G235" s="314">
        <v>216970.5</v>
      </c>
      <c r="H235" s="315">
        <f t="shared" si="4"/>
        <v>12960.5</v>
      </c>
    </row>
    <row r="236" spans="2:8" s="780" customFormat="1">
      <c r="B236" s="776" t="str">
        <f>'analisa 2019'!$A$3732</f>
        <v>Supl. GRC</v>
      </c>
      <c r="C236" s="777" t="str">
        <f>'analisa 2019'!$B$3732</f>
        <v>Memasang 1 m2 Panel Ornamen GRC Rangka Hollow 40x40x2 mm</v>
      </c>
      <c r="D236" s="778"/>
      <c r="E236" s="779">
        <f>'analisa 2019'!$G$3747</f>
        <v>1078518.8799999999</v>
      </c>
      <c r="G236" s="781"/>
      <c r="H236" s="782"/>
    </row>
    <row r="237" spans="2:8">
      <c r="B237" s="310"/>
      <c r="C237" s="311"/>
      <c r="D237" s="312"/>
      <c r="E237" s="310"/>
      <c r="G237" s="314"/>
      <c r="H237" s="315">
        <f t="shared" si="4"/>
        <v>0</v>
      </c>
    </row>
    <row r="238" spans="2:8">
      <c r="B238" s="316" t="str">
        <f>'analisa 2019'!A3783</f>
        <v>A.4.5.1</v>
      </c>
      <c r="C238" s="317" t="str">
        <f>'analisa 2019'!B3783</f>
        <v>SATUAN PEKERJAAN LANGIT-LANGIT (PLAFOND)</v>
      </c>
      <c r="D238" s="312"/>
      <c r="E238" s="310"/>
      <c r="G238" s="314"/>
      <c r="H238" s="315">
        <f t="shared" si="4"/>
        <v>0</v>
      </c>
    </row>
    <row r="239" spans="2:8">
      <c r="B239" s="310" t="str">
        <f>'analisa 2019'!A3784</f>
        <v>A.4.5.1.1</v>
      </c>
      <c r="C239" s="311" t="str">
        <f>'analisa 2019'!B3784</f>
        <v>Pemasangan 1 m2 langit-langit asbes semen tebal 4mm</v>
      </c>
      <c r="D239" s="312"/>
      <c r="E239" s="313">
        <f>'analisa 2019'!$G$3798</f>
        <v>38447.949999999997</v>
      </c>
      <c r="G239" s="314">
        <v>36205.449999999997</v>
      </c>
      <c r="H239" s="315">
        <f t="shared" si="4"/>
        <v>2242.5</v>
      </c>
    </row>
    <row r="240" spans="2:8">
      <c r="B240" s="310" t="str">
        <f>'analisa 2019'!A3800</f>
        <v>A.4.5.1.2</v>
      </c>
      <c r="C240" s="311" t="str">
        <f>'analisa 2019'!B3800</f>
        <v>Pemasangan 1 m2 langit-langit akustik ukuran (30 x 30) cm</v>
      </c>
      <c r="D240" s="312"/>
      <c r="E240" s="313">
        <f>'analisa 2019'!$G$3814</f>
        <v>90493.5</v>
      </c>
      <c r="G240" s="314">
        <v>85767</v>
      </c>
      <c r="H240" s="315">
        <f t="shared" si="4"/>
        <v>4726.5</v>
      </c>
    </row>
    <row r="241" spans="2:8">
      <c r="B241" s="310" t="str">
        <f>'analisa 2019'!A3816</f>
        <v>A.4.5.1.3</v>
      </c>
      <c r="C241" s="311" t="str">
        <f>'analisa 2019'!B3816</f>
        <v>Pemasangan 1 m2 langit-langit akustik ukuran (30 x 60) cm</v>
      </c>
      <c r="D241" s="312"/>
      <c r="E241" s="313">
        <f>'analisa 2019'!$G$3830</f>
        <v>88768.5</v>
      </c>
      <c r="G241" s="314">
        <v>84042</v>
      </c>
      <c r="H241" s="315">
        <f t="shared" si="4"/>
        <v>4726.5</v>
      </c>
    </row>
    <row r="242" spans="2:8">
      <c r="B242" s="310" t="str">
        <f>'analisa 2019'!A3832</f>
        <v>A.4.5.1.4</v>
      </c>
      <c r="C242" s="311" t="str">
        <f>'analisa 2019'!B3832</f>
        <v>Pemasangan 1 m2 langit-langit akustik ukuran (60 x 120) cm</v>
      </c>
      <c r="D242" s="312"/>
      <c r="E242" s="313">
        <f>'analisa 2019'!$G$3846</f>
        <v>84237.5</v>
      </c>
      <c r="G242" s="314">
        <v>80270</v>
      </c>
      <c r="H242" s="315">
        <f t="shared" si="4"/>
        <v>3967.5</v>
      </c>
    </row>
    <row r="243" spans="2:8">
      <c r="B243" s="310" t="str">
        <f>'analisa 2019'!A3848</f>
        <v>A.4.5.1.5</v>
      </c>
      <c r="C243" s="1317" t="str">
        <f>'analisa 2019'!B3848</f>
        <v xml:space="preserve">Pemasangan 1 m2 langit-langit tripleks ukuran (120 x 240) cm tebal  4 mm </v>
      </c>
      <c r="D243" s="1318"/>
      <c r="E243" s="313">
        <f>'analisa 2019'!$G$3862</f>
        <v>72326.38</v>
      </c>
      <c r="G243" s="314">
        <v>58897.25</v>
      </c>
      <c r="H243" s="315">
        <f t="shared" si="4"/>
        <v>13429.130000000005</v>
      </c>
    </row>
    <row r="244" spans="2:8">
      <c r="B244" s="310" t="str">
        <f>'analisa 2019'!A3864</f>
        <v>A.4.5.1.6</v>
      </c>
      <c r="C244" s="311" t="str">
        <f>'analisa 2019'!B3864</f>
        <v>Pemasangan 1 m2 langit-langit lambrisering kayu tebal 9 mm</v>
      </c>
      <c r="D244" s="312"/>
      <c r="E244" s="313">
        <f>'analisa 2019'!$G$3878</f>
        <v>310252.75</v>
      </c>
      <c r="G244" s="314">
        <v>277012</v>
      </c>
      <c r="H244" s="315">
        <f t="shared" si="4"/>
        <v>33240.75</v>
      </c>
    </row>
    <row r="245" spans="2:8">
      <c r="B245" s="310" t="str">
        <f>'analisa 2019'!A3880</f>
        <v>A.4.5.1.7</v>
      </c>
      <c r="C245" s="311" t="str">
        <f>'analisa 2019'!B3880</f>
        <v>Pemasangan 1 m2 langit-langit gypsum board ukuran (120 x 240) cm tebal 9 mm</v>
      </c>
      <c r="D245" s="312"/>
      <c r="E245" s="313">
        <f>'analisa 2019'!$G$3894</f>
        <v>56090.1</v>
      </c>
      <c r="G245" s="314">
        <v>53243.85</v>
      </c>
      <c r="H245" s="315">
        <f t="shared" si="4"/>
        <v>2846.25</v>
      </c>
    </row>
    <row r="246" spans="2:8">
      <c r="B246" s="310" t="str">
        <f>'analisa 2019'!A3896</f>
        <v>A.4.5.1.7 A</v>
      </c>
      <c r="C246" s="311" t="str">
        <f>'analisa 2019'!B3896</f>
        <v>Pemasangan 1 m2 langit-langit calsium board ukuran (120 x 240) cm tebal 4 mm</v>
      </c>
      <c r="D246" s="312"/>
      <c r="E246" s="313">
        <f>'analisa 2019'!$G$3910</f>
        <v>68543.45</v>
      </c>
      <c r="G246" s="314">
        <v>65697.2</v>
      </c>
      <c r="H246" s="315">
        <f t="shared" si="4"/>
        <v>2846.25</v>
      </c>
    </row>
    <row r="247" spans="2:8">
      <c r="B247" s="310" t="str">
        <f>'analisa 2019'!$A$3912</f>
        <v>A.4.5.1.7 B</v>
      </c>
      <c r="C247" s="311" t="str">
        <f>'analisa 2019'!$B$3912</f>
        <v>Pemasangan 1 m2 langit-langit PVC warna</v>
      </c>
      <c r="D247" s="312"/>
      <c r="E247" s="313">
        <f>'analisa 2019'!$G$3926</f>
        <v>235215.25</v>
      </c>
      <c r="G247" s="314"/>
      <c r="H247" s="315"/>
    </row>
    <row r="248" spans="2:8">
      <c r="B248" s="310" t="str">
        <f>'analisa 2019'!$A$3928</f>
        <v>A.4.5.1.7 C</v>
      </c>
      <c r="C248" s="311" t="str">
        <f>'analisa 2019'!$B$3928</f>
        <v>Pemasangan 1 m2 langit-langit drop PVC warna</v>
      </c>
      <c r="D248" s="312"/>
      <c r="E248" s="313">
        <f>'analisa 2019'!$G$3942</f>
        <v>310770.25</v>
      </c>
      <c r="G248" s="314"/>
      <c r="H248" s="315"/>
    </row>
    <row r="249" spans="2:8">
      <c r="B249" s="310" t="str">
        <f>'analisa 2019'!A3944</f>
        <v>A.4.5.1.8</v>
      </c>
      <c r="C249" s="1315" t="str">
        <f>'analisa 2019'!B3944</f>
        <v>Pemasangan 1 m2 langit-langit akustik ukuran (60x120) cm berikut rangka alluminium</v>
      </c>
      <c r="D249" s="1316"/>
      <c r="E249" s="313">
        <f>'analisa 2019'!$G$3960</f>
        <v>316393.75</v>
      </c>
      <c r="G249" s="314">
        <v>297418.75</v>
      </c>
      <c r="H249" s="315">
        <f t="shared" si="4"/>
        <v>18975</v>
      </c>
    </row>
    <row r="250" spans="2:8">
      <c r="B250" s="310" t="str">
        <f>'analisa 2019'!A3979</f>
        <v>A.4.5.1.9</v>
      </c>
      <c r="C250" s="311" t="str">
        <f>'analisa 2019'!B3979</f>
        <v>Pemasangan 1 m’ list langit-langit kayu profil</v>
      </c>
      <c r="D250" s="312"/>
      <c r="E250" s="313">
        <f>'analisa 2019'!$G$3993</f>
        <v>21878.75</v>
      </c>
      <c r="G250" s="314">
        <v>19663.560000000001</v>
      </c>
      <c r="H250" s="315">
        <f t="shared" si="4"/>
        <v>2215.1899999999987</v>
      </c>
    </row>
    <row r="251" spans="2:8">
      <c r="B251" s="310" t="str">
        <f>'analisa 2019'!$A$3995</f>
        <v>A.4.5.1.9 A</v>
      </c>
      <c r="C251" s="311" t="str">
        <f>'analisa 2019'!$B$3995</f>
        <v>Memasang 1 m list plafond gypsum profil 6"</v>
      </c>
      <c r="D251" s="312"/>
      <c r="E251" s="313">
        <f>'analisa 2019'!$G$4009</f>
        <v>33243.910000000003</v>
      </c>
      <c r="G251" s="314"/>
      <c r="H251" s="315"/>
    </row>
    <row r="252" spans="2:8">
      <c r="B252" s="310" t="str">
        <f>'analisa 2019'!$A$4011</f>
        <v>A.4.5.1.9 B</v>
      </c>
      <c r="C252" s="311" t="str">
        <f>'analisa 2019'!$B$4011</f>
        <v>Memasang 1 m list plafond gypsum profil 4"</v>
      </c>
      <c r="D252" s="312"/>
      <c r="E252" s="313">
        <f>'analisa 2019'!$G$4025</f>
        <v>30883.25</v>
      </c>
      <c r="G252" s="314"/>
      <c r="H252" s="315"/>
    </row>
    <row r="253" spans="2:8">
      <c r="B253" s="310" t="str">
        <f>'analisa 2019'!$A$4027</f>
        <v>A.4.5.1.9 C</v>
      </c>
      <c r="C253" s="311" t="str">
        <f>'analisa 2019'!$B$4027</f>
        <v>Memasang 1 m list plafond gypsum profil 3"</v>
      </c>
      <c r="D253" s="312"/>
      <c r="E253" s="313">
        <f>'analisa 2019'!$G$4041</f>
        <v>27033.74</v>
      </c>
      <c r="G253" s="314"/>
      <c r="H253" s="315"/>
    </row>
    <row r="254" spans="2:8">
      <c r="B254" s="310" t="str">
        <f>'analisa 2019'!$A$4043</f>
        <v>A.4.5.1.9 D</v>
      </c>
      <c r="C254" s="311" t="str">
        <f>'analisa 2019'!$B$4043</f>
        <v>Memasang 1 m list plafond gypsum profil 2"</v>
      </c>
      <c r="D254" s="312"/>
      <c r="E254" s="313">
        <f>'analisa 2019'!$G$4057</f>
        <v>24725</v>
      </c>
      <c r="G254" s="314"/>
      <c r="H254" s="315"/>
    </row>
    <row r="255" spans="2:8">
      <c r="B255" s="310" t="str">
        <f>'analisa 2019'!$A$4059</f>
        <v>A.4.5.1.9 E</v>
      </c>
      <c r="C255" s="311" t="str">
        <f>'analisa 2019'!$B$4059</f>
        <v>Memasang 1 m list profil PVC</v>
      </c>
      <c r="D255" s="312"/>
      <c r="E255" s="313">
        <f>'analisa 2019'!$G$4073</f>
        <v>41624.25</v>
      </c>
      <c r="G255" s="314"/>
      <c r="H255" s="315"/>
    </row>
    <row r="256" spans="2:8">
      <c r="B256" s="320"/>
      <c r="C256" s="321"/>
      <c r="D256" s="322"/>
      <c r="E256" s="320"/>
      <c r="G256" s="314"/>
      <c r="H256" s="315">
        <f t="shared" si="4"/>
        <v>0</v>
      </c>
    </row>
    <row r="257" spans="2:8">
      <c r="B257" s="591" t="str">
        <f>'analisa 2019'!A4075</f>
        <v>A.4.5.2</v>
      </c>
      <c r="C257" s="592" t="str">
        <f>'analisa 2019'!B4075</f>
        <v xml:space="preserve">HARGA SATUAN PEKERJAAN PENUTUP ATAP </v>
      </c>
      <c r="D257" s="326"/>
      <c r="E257" s="324"/>
      <c r="G257" s="314"/>
      <c r="H257" s="315">
        <f t="shared" si="4"/>
        <v>0</v>
      </c>
    </row>
    <row r="258" spans="2:8">
      <c r="B258" s="310" t="str">
        <f>'analisa 2019'!A4076</f>
        <v>A.4.5.2.7</v>
      </c>
      <c r="C258" s="311" t="str">
        <f>'analisa 2019'!B4076</f>
        <v>Pemasangan 1 m2  roof light fibreglass 90x180</v>
      </c>
      <c r="D258" s="312"/>
      <c r="E258" s="313">
        <f>'analisa 2019'!$G$4090</f>
        <v>68988.5</v>
      </c>
      <c r="G258" s="314">
        <v>65343</v>
      </c>
      <c r="H258" s="315">
        <f t="shared" si="4"/>
        <v>3645.5</v>
      </c>
    </row>
    <row r="259" spans="2:8">
      <c r="B259" s="310" t="str">
        <f>'analisa 2019'!A4092</f>
        <v>A.4.5.2.10</v>
      </c>
      <c r="C259" s="311" t="str">
        <f>'analisa 2019'!B4092</f>
        <v>Pemasangan 1 m2  atap asbes gelombang 0.92mx2.00m x 5mm</v>
      </c>
      <c r="D259" s="312"/>
      <c r="E259" s="313">
        <f>'analisa 2019'!$G$4106</f>
        <v>60606.38</v>
      </c>
      <c r="G259" s="314">
        <v>56821.5</v>
      </c>
      <c r="H259" s="315">
        <f t="shared" si="4"/>
        <v>3784.8799999999974</v>
      </c>
    </row>
    <row r="260" spans="2:8">
      <c r="B260" s="310" t="str">
        <f>'analisa 2019'!A4108</f>
        <v>A.4.5.2.23</v>
      </c>
      <c r="C260" s="311" t="str">
        <f>'analisa 2019'!B4108</f>
        <v>Pemasangan 1 m’ bubung stel gelombang 1.05m</v>
      </c>
      <c r="D260" s="312"/>
      <c r="E260" s="313">
        <f>'analisa 2019'!$G$4122</f>
        <v>79177.5</v>
      </c>
      <c r="G260" s="314">
        <v>74600.5</v>
      </c>
      <c r="H260" s="315">
        <f t="shared" si="4"/>
        <v>4577</v>
      </c>
    </row>
    <row r="261" spans="2:8">
      <c r="B261" s="310" t="str">
        <f>'analisa 2019'!A4124</f>
        <v>A.4.5.2.29</v>
      </c>
      <c r="C261" s="311" t="str">
        <f>'analisa 2019'!B4124</f>
        <v>Pemasangan 1 m’ nok stel rata 1.05m</v>
      </c>
      <c r="D261" s="312"/>
      <c r="E261" s="313">
        <f>'analisa 2019'!$G$4138</f>
        <v>70765.25</v>
      </c>
      <c r="G261" s="314">
        <v>66188.25</v>
      </c>
      <c r="H261" s="315">
        <f t="shared" si="4"/>
        <v>4577</v>
      </c>
    </row>
    <row r="262" spans="2:8">
      <c r="B262" s="310" t="str">
        <f>'analisa 2019'!A4140</f>
        <v>A.4.5.2.30</v>
      </c>
      <c r="C262" s="311" t="str">
        <f>'analisa 2019'!B4140</f>
        <v>Pemasangan 1 m2 genteng beton</v>
      </c>
      <c r="D262" s="312"/>
      <c r="E262" s="313">
        <f>'analisa 2019'!$G$4154</f>
        <v>132112</v>
      </c>
      <c r="G262" s="314">
        <v>126948.5</v>
      </c>
      <c r="H262" s="315">
        <f t="shared" si="4"/>
        <v>5163.5</v>
      </c>
    </row>
    <row r="263" spans="2:8">
      <c r="B263" s="310" t="str">
        <f>'analisa 2019'!A4156</f>
        <v>A.4.5.2.30 B</v>
      </c>
      <c r="C263" s="311" t="str">
        <f>'analisa 2019'!B4156</f>
        <v>Pemasangan 1 m2 genteng keramik</v>
      </c>
      <c r="D263" s="312"/>
      <c r="E263" s="313">
        <f>'analisa 2019'!$G$4170</f>
        <v>286959.5</v>
      </c>
      <c r="G263" s="314">
        <v>281796</v>
      </c>
      <c r="H263" s="315">
        <f t="shared" ref="H263:H325" si="5">E263-G263</f>
        <v>5163.5</v>
      </c>
    </row>
    <row r="264" spans="2:8">
      <c r="B264" s="310" t="str">
        <f>'analisa 2019'!A4172</f>
        <v>A.4.5.2.31</v>
      </c>
      <c r="C264" s="311" t="str">
        <f>'analisa 2019'!B4172</f>
        <v>Pemasangan 1 m2 genteng aspal/ bitumen</v>
      </c>
      <c r="D264" s="312"/>
      <c r="E264" s="313">
        <f>'analisa 2019'!$G$4188</f>
        <v>381374.5</v>
      </c>
      <c r="G264" s="314">
        <v>360019</v>
      </c>
      <c r="H264" s="315">
        <f t="shared" si="5"/>
        <v>21355.5</v>
      </c>
    </row>
    <row r="265" spans="2:8">
      <c r="B265" s="310" t="str">
        <f>'analisa 2019'!A4190</f>
        <v>A.4.5.2.31 B</v>
      </c>
      <c r="C265" s="311" t="str">
        <f>'analisa 2019'!B4190</f>
        <v>Pemasangan 1 m2 atap aspal/ bitumen bergelombang uk. 200x95cm</v>
      </c>
      <c r="D265" s="312"/>
      <c r="E265" s="313">
        <f>'analisa 2019'!$G$4204</f>
        <v>214360</v>
      </c>
      <c r="G265" s="314">
        <v>186887.88</v>
      </c>
      <c r="H265" s="315">
        <f t="shared" si="5"/>
        <v>27472.119999999995</v>
      </c>
    </row>
    <row r="266" spans="2:8">
      <c r="B266" s="310" t="str">
        <f>'analisa 2019'!A4206</f>
        <v>A.4.5.2.32</v>
      </c>
      <c r="C266" s="311" t="str">
        <f>'analisa 2019'!B4206</f>
        <v>Pemasangan 1 m2 genteng metal</v>
      </c>
      <c r="D266" s="312"/>
      <c r="E266" s="313">
        <f>'analisa 2019'!$G$4220</f>
        <v>148166</v>
      </c>
      <c r="G266" s="314">
        <v>142908.20000000001</v>
      </c>
      <c r="H266" s="315">
        <f t="shared" si="5"/>
        <v>5257.7999999999884</v>
      </c>
    </row>
    <row r="267" spans="2:8">
      <c r="B267" s="310" t="str">
        <f>'analisa 2019'!A4222</f>
        <v>A.4.5.2.32 A</v>
      </c>
      <c r="C267" s="311" t="str">
        <f>'analisa 2019'!B4222</f>
        <v>Pemasangan 1 m2 Atap Zincalume</v>
      </c>
      <c r="D267" s="312"/>
      <c r="E267" s="313">
        <f>'analisa 2019'!$G$4236</f>
        <v>118489.1</v>
      </c>
      <c r="G267" s="314">
        <v>113231.3</v>
      </c>
      <c r="H267" s="315">
        <f t="shared" si="5"/>
        <v>5257.8000000000029</v>
      </c>
    </row>
    <row r="268" spans="2:8">
      <c r="B268" s="310" t="str">
        <f>'analisa 2019'!A4238</f>
        <v>A.4.5.2.33</v>
      </c>
      <c r="C268" s="311" t="str">
        <f>'analisa 2019'!B4238</f>
        <v>Pemasangan 1 m2 atap sirap kayu</v>
      </c>
      <c r="D268" s="312"/>
      <c r="E268" s="313">
        <f>'analisa 2019'!$G$4252</f>
        <v>244179.5</v>
      </c>
      <c r="G268" s="314">
        <v>235071.5</v>
      </c>
      <c r="H268" s="315">
        <f t="shared" si="5"/>
        <v>9108</v>
      </c>
    </row>
    <row r="269" spans="2:8">
      <c r="B269" s="310" t="str">
        <f>'analisa 2019'!A4254</f>
        <v>A.4.5.2.34</v>
      </c>
      <c r="C269" s="311" t="str">
        <f>'analisa 2019'!B4254</f>
        <v>Pemasangan 1 m’ nok genteng beton</v>
      </c>
      <c r="D269" s="312"/>
      <c r="E269" s="313">
        <f>'analisa 2019'!$G$4271</f>
        <v>162344.93</v>
      </c>
      <c r="G269" s="314">
        <v>147056.25</v>
      </c>
      <c r="H269" s="315">
        <f t="shared" si="5"/>
        <v>15288.679999999993</v>
      </c>
    </row>
    <row r="270" spans="2:8">
      <c r="B270" s="310" t="str">
        <f>'analisa 2019'!A4273</f>
        <v>A.4.5.2.35</v>
      </c>
      <c r="C270" s="311" t="str">
        <f>'analisa 2019'!B4273</f>
        <v>Pemasangan 1 m’ nok genteng aspal</v>
      </c>
      <c r="D270" s="312"/>
      <c r="E270" s="313">
        <f>'analisa 2019'!$G$4287</f>
        <v>147648.5</v>
      </c>
      <c r="G270" s="314">
        <v>139575.5</v>
      </c>
      <c r="H270" s="315">
        <f t="shared" si="5"/>
        <v>8073</v>
      </c>
    </row>
    <row r="271" spans="2:8">
      <c r="B271" s="310" t="str">
        <f>'analisa 2019'!A4289</f>
        <v>A.4.5.2.36</v>
      </c>
      <c r="C271" s="311" t="str">
        <f>'analisa 2019'!B4289</f>
        <v>Pemasangan 1 m’ nok genteng metal</v>
      </c>
      <c r="D271" s="312"/>
      <c r="E271" s="313">
        <f>'analisa 2019'!$G$4303</f>
        <v>118289</v>
      </c>
      <c r="G271" s="314">
        <v>111218.8</v>
      </c>
      <c r="H271" s="315">
        <f t="shared" si="5"/>
        <v>7070.1999999999971</v>
      </c>
    </row>
    <row r="272" spans="2:8">
      <c r="B272" s="310" t="str">
        <f>'analisa 2019'!A4305</f>
        <v>A.4.5.2.36 A</v>
      </c>
      <c r="C272" s="311" t="str">
        <f>'analisa 2019'!B4305</f>
        <v>Pemasangan 1 m’ nok atap zincalume</v>
      </c>
      <c r="D272" s="312"/>
      <c r="E272" s="313">
        <f>'analisa 2019'!$G$4319</f>
        <v>86862.38</v>
      </c>
      <c r="G272" s="314">
        <v>86761.18</v>
      </c>
      <c r="H272" s="315">
        <f t="shared" si="5"/>
        <v>101.20000000001164</v>
      </c>
    </row>
    <row r="273" spans="2:8">
      <c r="B273" s="310" t="str">
        <f>'analisa 2019'!A4321</f>
        <v>A.4.5.2.37</v>
      </c>
      <c r="C273" s="311" t="str">
        <f>'analisa 2019'!B4321</f>
        <v xml:space="preserve"> Pemasangan 1 m’ nok sirap</v>
      </c>
      <c r="D273" s="312"/>
      <c r="E273" s="313">
        <f>'analisa 2019'!$G$4336</f>
        <v>105984</v>
      </c>
      <c r="G273" s="314">
        <v>97738.5</v>
      </c>
      <c r="H273" s="315">
        <f t="shared" si="5"/>
        <v>8245.5</v>
      </c>
    </row>
    <row r="274" spans="2:8">
      <c r="B274" s="310" t="str">
        <f>'analisa 2019'!A4338</f>
        <v>A.4.5.2.38</v>
      </c>
      <c r="C274" s="311" t="str">
        <f>'analisa 2019'!B4338</f>
        <v>Pemasangan 1 m2 atap seng gelombang</v>
      </c>
      <c r="D274" s="312"/>
      <c r="E274" s="313">
        <f>'analisa 2019'!$G$4352</f>
        <v>80035.399999999994</v>
      </c>
      <c r="G274" s="314">
        <v>76958.92</v>
      </c>
      <c r="H274" s="315">
        <f t="shared" si="5"/>
        <v>3076.4799999999959</v>
      </c>
    </row>
    <row r="275" spans="2:8">
      <c r="B275" s="310" t="str">
        <f>'analisa 2019'!A4354</f>
        <v>A.4.5.2.39</v>
      </c>
      <c r="C275" s="311" t="str">
        <f>'analisa 2019'!B4354</f>
        <v xml:space="preserve"> Pemasangan 1 m’nok atap seng</v>
      </c>
      <c r="D275" s="312"/>
      <c r="E275" s="313">
        <f>'analisa 2019'!$G$4368</f>
        <v>65828.3</v>
      </c>
      <c r="G275" s="314">
        <v>62113.34</v>
      </c>
      <c r="H275" s="315">
        <f t="shared" si="5"/>
        <v>3714.9600000000064</v>
      </c>
    </row>
    <row r="276" spans="2:8">
      <c r="B276" s="310" t="str">
        <f>'analisa 2019'!A4370</f>
        <v>A.4.5.2.40</v>
      </c>
      <c r="C276" s="311" t="str">
        <f>'analisa 2019'!B4370</f>
        <v>Pemasangan 1 m2 atap alumunium</v>
      </c>
      <c r="D276" s="312"/>
      <c r="E276" s="313">
        <f>'analisa 2019'!$G$4384</f>
        <v>169216.46</v>
      </c>
      <c r="G276" s="314">
        <v>50151.5</v>
      </c>
      <c r="H276" s="315">
        <f t="shared" si="5"/>
        <v>119064.95999999999</v>
      </c>
    </row>
    <row r="277" spans="2:8">
      <c r="B277" s="310" t="str">
        <f>'analisa 2019'!A4386</f>
        <v>A.4.5.2.41</v>
      </c>
      <c r="C277" s="311" t="str">
        <f>'analisa 2019'!B4386</f>
        <v>Pemasangan 1 m’ nok alumunium</v>
      </c>
      <c r="D277" s="312"/>
      <c r="E277" s="313">
        <f>'analisa 2019'!$G$4400</f>
        <v>246228.8</v>
      </c>
      <c r="G277" s="314"/>
      <c r="H277" s="315">
        <f t="shared" si="5"/>
        <v>246228.8</v>
      </c>
    </row>
    <row r="278" spans="2:8">
      <c r="B278" s="310" t="str">
        <f>'analisa 2019'!A4402</f>
        <v>A.4.5.2.42</v>
      </c>
      <c r="C278" s="311" t="str">
        <f>'analisa 2019'!B4402</f>
        <v>Pemasangan 1 m² alumunium foil/sisalation</v>
      </c>
      <c r="D278" s="312"/>
      <c r="E278" s="313">
        <f>'analisa 2019'!$G$4415</f>
        <v>53325.5</v>
      </c>
      <c r="G278" s="314">
        <v>50151.5</v>
      </c>
      <c r="H278" s="315">
        <f t="shared" si="5"/>
        <v>3174</v>
      </c>
    </row>
    <row r="279" spans="2:8">
      <c r="B279" s="310"/>
      <c r="C279" s="311"/>
      <c r="D279" s="312"/>
      <c r="E279" s="310"/>
      <c r="G279" s="314"/>
      <c r="H279" s="315">
        <f t="shared" si="5"/>
        <v>0</v>
      </c>
    </row>
    <row r="280" spans="2:8">
      <c r="B280" s="316" t="str">
        <f>'analisa 2019'!A4417</f>
        <v>A.4.6.1</v>
      </c>
      <c r="C280" s="317" t="str">
        <f>'analisa 2019'!B4417</f>
        <v>HARGA SATUAN PEKERJAAN KAYU</v>
      </c>
      <c r="D280" s="312"/>
      <c r="E280" s="310"/>
      <c r="G280" s="314"/>
      <c r="H280" s="315">
        <f t="shared" si="5"/>
        <v>0</v>
      </c>
    </row>
    <row r="281" spans="2:8">
      <c r="B281" s="310" t="str">
        <f>'analisa 2019'!A4418</f>
        <v>A.4.6.1.1</v>
      </c>
      <c r="C281" s="318" t="str">
        <f>'analisa 2019'!B4418</f>
        <v>Pembuatan dan pemasangan 1 m3 kusen pintu dan kusen jendela. kayu kelas I (Damar)</v>
      </c>
      <c r="D281" s="312"/>
      <c r="E281" s="313">
        <f>'analisa 2019'!$G$4433</f>
        <v>18023087.5</v>
      </c>
      <c r="G281" s="314">
        <v>16758720</v>
      </c>
      <c r="H281" s="315">
        <f t="shared" si="5"/>
        <v>1264367.5</v>
      </c>
    </row>
    <row r="282" spans="2:8">
      <c r="B282" s="310" t="str">
        <f>'analisa 2019'!A4435</f>
        <v>A.4.6.1.2</v>
      </c>
      <c r="C282" s="318" t="str">
        <f>'analisa 2019'!B4435</f>
        <v>Pembuatan dan pemasangan 1 m3 kusen pintu dan kusen jendela kayu kelas II Meranti</v>
      </c>
      <c r="D282" s="312"/>
      <c r="E282" s="313">
        <f>'analisa 2019'!$G$4450</f>
        <v>13489787.5</v>
      </c>
      <c r="G282" s="314">
        <v>12497970</v>
      </c>
      <c r="H282" s="315">
        <f t="shared" si="5"/>
        <v>991817.5</v>
      </c>
    </row>
    <row r="283" spans="2:8">
      <c r="B283" s="310" t="str">
        <f>'analisa 2019'!A4452</f>
        <v>A.4.6.1.3</v>
      </c>
      <c r="C283" s="311" t="str">
        <f>'analisa 2019'!B4452</f>
        <v>Pembuatan dan pemasangan 1 m2 pintu klamp standar. kayu kelas II Meranti</v>
      </c>
      <c r="D283" s="312"/>
      <c r="E283" s="313">
        <f>'analisa 2019'!$G$4466</f>
        <v>549493</v>
      </c>
      <c r="G283" s="314">
        <v>503366.5</v>
      </c>
      <c r="H283" s="315">
        <f t="shared" si="5"/>
        <v>46126.5</v>
      </c>
    </row>
    <row r="284" spans="2:8">
      <c r="B284" s="310" t="str">
        <f>'analisa 2019'!A4468</f>
        <v>A.4.6.1.4</v>
      </c>
      <c r="C284" s="311" t="str">
        <f>'analisa 2019'!B4468</f>
        <v>Pembuatan dan pemasangan 1 m2 pintu klamp sederhana. kayu kelas III</v>
      </c>
      <c r="D284" s="312"/>
      <c r="E284" s="313">
        <f>'analisa 2019'!$G$4482</f>
        <v>394933</v>
      </c>
      <c r="G284" s="314">
        <v>356166.5</v>
      </c>
      <c r="H284" s="315">
        <f t="shared" si="5"/>
        <v>38766.5</v>
      </c>
    </row>
    <row r="285" spans="2:8">
      <c r="B285" s="310" t="str">
        <f>'analisa 2019'!A4484</f>
        <v>A.4.6.1.5</v>
      </c>
      <c r="C285" s="311" t="str">
        <f>'analisa 2019'!B4484</f>
        <v>Pembuatan dan pemasangan 1 m2 daun pintu panel. kayu kelas  II Meranti</v>
      </c>
      <c r="D285" s="312"/>
      <c r="E285" s="313">
        <f>'analisa 2019'!$G$4498</f>
        <v>995900</v>
      </c>
      <c r="G285" s="314">
        <v>888547.5</v>
      </c>
      <c r="H285" s="315">
        <f t="shared" si="5"/>
        <v>107352.5</v>
      </c>
    </row>
    <row r="286" spans="2:8">
      <c r="B286" s="310" t="str">
        <f>'analisa 2019'!A4500</f>
        <v>A.4.6.1.6</v>
      </c>
      <c r="C286" s="311" t="str">
        <f>'analisa 2019'!B4500</f>
        <v>Pembuatan dan pemasangan 1 m2 pintu dan jendela kaca. kayu kelas  II Meranti</v>
      </c>
      <c r="D286" s="312"/>
      <c r="E286" s="313">
        <f>'analisa 2019'!$G$4514</f>
        <v>731400</v>
      </c>
      <c r="G286" s="314">
        <v>649278.5</v>
      </c>
      <c r="H286" s="315">
        <f t="shared" si="5"/>
        <v>82121.5</v>
      </c>
    </row>
    <row r="287" spans="2:8">
      <c r="B287" s="310" t="str">
        <f>'analisa 2019'!A4516</f>
        <v>A.4.6.1.7</v>
      </c>
      <c r="C287" s="311" t="str">
        <f>'analisa 2019'!B4516</f>
        <v xml:space="preserve"> Pembuatan dan pemasangan 1 m2 pintu dan jendela jalusi kayu kelas II Meranti</v>
      </c>
      <c r="D287" s="312"/>
      <c r="E287" s="313">
        <f>'analisa 2019'!$G$4530</f>
        <v>1184270</v>
      </c>
      <c r="G287" s="314">
        <v>1067947.5</v>
      </c>
      <c r="H287" s="315">
        <f t="shared" si="5"/>
        <v>116322.5</v>
      </c>
    </row>
    <row r="288" spans="2:8">
      <c r="B288" s="310" t="str">
        <f>'analisa 2019'!A4532</f>
        <v>A.4.6.1.8</v>
      </c>
      <c r="C288" s="318" t="str">
        <f>'analisa 2019'!B4532</f>
        <v>Pembuatan 1 m2 daun pintu plywood rangkap. rangka kayu kelas II tertutup(lebar sampai 90 cm)</v>
      </c>
      <c r="D288" s="312"/>
      <c r="E288" s="313">
        <f>'analisa 2019'!$G$4548</f>
        <v>785628.25</v>
      </c>
      <c r="G288" s="314">
        <v>684928.5</v>
      </c>
      <c r="H288" s="315">
        <f t="shared" si="5"/>
        <v>100699.75</v>
      </c>
    </row>
    <row r="289" spans="2:8">
      <c r="B289" s="310" t="str">
        <f>'analisa 2019'!A4550</f>
        <v>A.4.6.1.9</v>
      </c>
      <c r="C289" s="311" t="str">
        <f>'analisa 2019'!B4550</f>
        <v>Pembuatan 1 m2 pintu plywood rangkap. rangka expose kayu kelas  II Meranti</v>
      </c>
      <c r="D289" s="312"/>
      <c r="E289" s="313">
        <f>'analisa 2019'!$G$4566</f>
        <v>857267.5</v>
      </c>
      <c r="G289" s="314">
        <v>747488.5</v>
      </c>
      <c r="H289" s="315">
        <f t="shared" si="5"/>
        <v>109779</v>
      </c>
    </row>
    <row r="290" spans="2:8">
      <c r="B290" s="310" t="str">
        <f>'analisa 2019'!A4568</f>
        <v>A.4.6.1.10</v>
      </c>
      <c r="C290" s="311" t="str">
        <f>'analisa 2019'!B4568</f>
        <v>Pemasangan 1 m2 jalusi kusen. kayu kelas  II Meranti</v>
      </c>
      <c r="D290" s="312"/>
      <c r="E290" s="313">
        <f>'analisa 2019'!$G$4582</f>
        <v>969737.5</v>
      </c>
      <c r="G290" s="314">
        <v>880785</v>
      </c>
      <c r="H290" s="315">
        <f t="shared" si="5"/>
        <v>88952.5</v>
      </c>
    </row>
    <row r="291" spans="2:8">
      <c r="B291" s="310" t="str">
        <f>'analisa 2019'!A4584</f>
        <v>A.4.6.1.11</v>
      </c>
      <c r="C291" s="311" t="str">
        <f>'analisa 2019'!B4584</f>
        <v>Pemasangan 1 m2 teakwood rangkap rangka expose kayu kelas I Damar</v>
      </c>
      <c r="D291" s="312"/>
      <c r="E291" s="313">
        <f>'analisa 2019'!$G$4600</f>
        <v>953154.5</v>
      </c>
      <c r="G291" s="314">
        <v>840109.5</v>
      </c>
      <c r="H291" s="315">
        <f t="shared" si="5"/>
        <v>113045</v>
      </c>
    </row>
    <row r="292" spans="2:8">
      <c r="B292" s="310" t="str">
        <f>'analisa 2019'!A4602</f>
        <v>A.4.6.1.12</v>
      </c>
      <c r="C292" s="318" t="str">
        <f>'analisa 2019'!B4602</f>
        <v>Pemasangan 1 m2 teakwood rangkap lapis formika rangka expose kayu kelas II Meranti</v>
      </c>
      <c r="D292" s="312"/>
      <c r="E292" s="313">
        <f>'analisa 2019'!$G$4619</f>
        <v>965568.75</v>
      </c>
      <c r="G292" s="314">
        <v>849263.5</v>
      </c>
      <c r="H292" s="315">
        <f t="shared" si="5"/>
        <v>116305.25</v>
      </c>
    </row>
    <row r="293" spans="2:8">
      <c r="B293" s="310" t="str">
        <f>'analisa 2019'!A4621</f>
        <v>A.4.6.1.13</v>
      </c>
      <c r="C293" s="318" t="str">
        <f>'analisa 2019'!B4621</f>
        <v>Pemasangan 1 m3 konstruksi kuda-kuda konvensional. kayu kelas I (damar) bentang 6 meter</v>
      </c>
      <c r="D293" s="312"/>
      <c r="E293" s="313">
        <f>'analisa 2019'!$G$4636</f>
        <v>16366627.5</v>
      </c>
      <c r="G293" s="314">
        <v>15347670</v>
      </c>
      <c r="H293" s="315">
        <f t="shared" si="5"/>
        <v>1018957.5</v>
      </c>
    </row>
    <row r="294" spans="2:8">
      <c r="B294" s="310" t="str">
        <f>'analisa 2019'!A4638</f>
        <v>A.4.6.1.13 A</v>
      </c>
      <c r="C294" s="318" t="str">
        <f>'analisa 2019'!B4638</f>
        <v>Pemasangan 1 m3 konstruksi kuda-kuda konvensional. kayu kelas II (meranti) bentang 6 meter</v>
      </c>
      <c r="D294" s="312"/>
      <c r="E294" s="313">
        <f>'analisa 2019'!$G$4653</f>
        <v>11717752.5</v>
      </c>
      <c r="G294" s="314">
        <v>10920170</v>
      </c>
      <c r="H294" s="315">
        <f t="shared" si="5"/>
        <v>797582.5</v>
      </c>
    </row>
    <row r="295" spans="2:8">
      <c r="B295" s="310" t="str">
        <f>'analisa 2019'!A4655</f>
        <v>A.4.6.1.13 B</v>
      </c>
      <c r="C295" s="318" t="str">
        <f>'analisa 2019'!B4655</f>
        <v>Pemasangan 1 m3 konstruksi kuda-kuda konvensional. kayu kelas III bentang 6 meter</v>
      </c>
      <c r="D295" s="312"/>
      <c r="E295" s="313">
        <f>'analisa 2019'!$G$4670</f>
        <v>7467352.5</v>
      </c>
      <c r="G295" s="314">
        <v>6872170</v>
      </c>
      <c r="H295" s="315">
        <f t="shared" si="5"/>
        <v>595182.5</v>
      </c>
    </row>
    <row r="296" spans="2:8">
      <c r="B296" s="310" t="str">
        <f>'analisa 2019'!A4672</f>
        <v>A.4.6.1.14</v>
      </c>
      <c r="C296" s="311" t="str">
        <f>'analisa 2019'!B4672</f>
        <v>Pemasangan 1 m3 konstruksi kuda-kuda expose. kayu kelas I (damar)</v>
      </c>
      <c r="D296" s="312"/>
      <c r="E296" s="313">
        <f>'analisa 2019'!$G$4687</f>
        <v>19381237.5</v>
      </c>
      <c r="G296" s="314">
        <v>18065695</v>
      </c>
      <c r="H296" s="315">
        <f t="shared" si="5"/>
        <v>1315542.5</v>
      </c>
    </row>
    <row r="297" spans="2:8">
      <c r="B297" s="310" t="str">
        <f>'analisa 2019'!A4689</f>
        <v>A.4.6.1.15</v>
      </c>
      <c r="C297" s="311" t="str">
        <f>'analisa 2019'!B4689</f>
        <v>Pemasangan 1 m3 konstruksi gordeng. kayu kelas II (meranti)</v>
      </c>
      <c r="D297" s="312"/>
      <c r="E297" s="313">
        <f>'analisa 2019'!$G$4704</f>
        <v>13462072.5</v>
      </c>
      <c r="G297" s="314">
        <v>12434375</v>
      </c>
      <c r="H297" s="315">
        <f t="shared" si="5"/>
        <v>1027697.5</v>
      </c>
    </row>
    <row r="298" spans="2:8">
      <c r="B298" s="310" t="str">
        <f>'analisa 2019'!A4706</f>
        <v>A.4.6.1.16</v>
      </c>
      <c r="C298" s="311" t="str">
        <f>'analisa 2019'!B4706</f>
        <v>Pemasangan 1 m2 rangka atap genteng keramik kayu kelas II meranti</v>
      </c>
      <c r="D298" s="312"/>
      <c r="E298" s="313">
        <f>'analisa 2019'!$G$4721</f>
        <v>429755</v>
      </c>
      <c r="G298" s="314">
        <v>406410</v>
      </c>
      <c r="H298" s="315">
        <f t="shared" si="5"/>
        <v>23345</v>
      </c>
    </row>
    <row r="299" spans="2:8">
      <c r="B299" s="310" t="str">
        <f>'analisa 2019'!A4723</f>
        <v>A.4.6.1.17</v>
      </c>
      <c r="C299" s="311" t="str">
        <f>'analisa 2019'!B4723</f>
        <v>Pemasangan 1 m2 rangka atap genteng beton. kayu kelas II meranti</v>
      </c>
      <c r="D299" s="312"/>
      <c r="E299" s="313">
        <f>'analisa 2019'!$G$4738</f>
        <v>594578.75</v>
      </c>
      <c r="G299" s="314">
        <v>563385</v>
      </c>
      <c r="H299" s="315">
        <f t="shared" si="5"/>
        <v>31193.75</v>
      </c>
    </row>
    <row r="300" spans="2:8">
      <c r="B300" s="310" t="str">
        <f>'analisa 2019'!A4740</f>
        <v>A.4.6.1.17 A</v>
      </c>
      <c r="C300" s="311" t="str">
        <f>'analisa 2019'!B4740</f>
        <v>Memasang 1 m2 rangka atap seng BJLS #0,35, kayu kelas II</v>
      </c>
      <c r="D300" s="312"/>
      <c r="E300" s="313">
        <f>'analisa 2019'!$G$4754</f>
        <v>91028.25</v>
      </c>
      <c r="G300" s="314">
        <v>83467</v>
      </c>
      <c r="H300" s="315">
        <f t="shared" si="5"/>
        <v>7561.25</v>
      </c>
    </row>
    <row r="301" spans="2:8">
      <c r="B301" s="310" t="str">
        <f>'analisa 2019'!A4756</f>
        <v>A.4.6.1.18</v>
      </c>
      <c r="C301" s="311" t="str">
        <f>'analisa 2019'!B4756</f>
        <v>Pemasangan 1 m2 rangka atap sirap kayu kelas II meranti</v>
      </c>
      <c r="D301" s="312"/>
      <c r="E301" s="313">
        <f>'analisa 2019'!$G$4770</f>
        <v>148795.04999999999</v>
      </c>
      <c r="G301" s="314">
        <v>138811.9</v>
      </c>
      <c r="H301" s="315">
        <f t="shared" si="5"/>
        <v>9983.1499999999942</v>
      </c>
    </row>
    <row r="302" spans="2:8">
      <c r="B302" s="310" t="str">
        <f>'analisa 2019'!A4772</f>
        <v>A.4.6.1.19</v>
      </c>
      <c r="C302" s="311" t="str">
        <f>'analisa 2019'!B4772</f>
        <v>Pemasangan 1 m2 rangka langit-langit  (50 x 100) cm kayu kelas III SK</v>
      </c>
      <c r="D302" s="312"/>
      <c r="E302" s="313">
        <f>'analisa 2019'!$G$4786</f>
        <v>150720.15</v>
      </c>
      <c r="G302" s="314">
        <v>136068</v>
      </c>
      <c r="H302" s="315">
        <f t="shared" si="5"/>
        <v>14652.149999999994</v>
      </c>
    </row>
    <row r="303" spans="2:8">
      <c r="B303" s="310" t="str">
        <f>'analisa 2019'!A4788</f>
        <v>A.4.6.1.20</v>
      </c>
      <c r="C303" s="311" t="str">
        <f>'analisa 2019'!B4788</f>
        <v>Pemasangan 1 m2 rangka langit-langit  (60 x 60) cm kayu kelas III SK</v>
      </c>
      <c r="D303" s="312"/>
      <c r="E303" s="313">
        <f>'analisa 2019'!$G$4802</f>
        <v>151373.93</v>
      </c>
      <c r="G303" s="314">
        <v>137298.5</v>
      </c>
      <c r="H303" s="315">
        <f t="shared" si="5"/>
        <v>14075.429999999993</v>
      </c>
    </row>
    <row r="304" spans="2:8">
      <c r="B304" s="310" t="str">
        <f>'analisa 2019'!A4804</f>
        <v>A.4.6.1.21</v>
      </c>
      <c r="C304" s="311" t="str">
        <f>'analisa 2019'!B4804</f>
        <v xml:space="preserve"> Pemasangan 1 m’ lisplank ukuran (3 x 20) cm kayu kelas II Meranti</v>
      </c>
      <c r="D304" s="312"/>
      <c r="E304" s="313">
        <f>'analisa 2019'!$G$4818</f>
        <v>136286.5</v>
      </c>
      <c r="G304" s="314">
        <v>125580</v>
      </c>
      <c r="H304" s="315">
        <f t="shared" si="5"/>
        <v>10706.5</v>
      </c>
    </row>
    <row r="305" spans="2:8">
      <c r="B305" s="310" t="str">
        <f>'analisa 2019'!A4820</f>
        <v>A.4.6.1.22</v>
      </c>
      <c r="C305" s="311" t="str">
        <f>'analisa 2019'!B4820</f>
        <v>Pemasangan 1 m’  lisplank ukuran (3 x 30) cm kayu kelas II Meranti</v>
      </c>
      <c r="D305" s="312"/>
      <c r="E305" s="313">
        <f>'analisa 2019'!$G$4834</f>
        <v>136648.75</v>
      </c>
      <c r="G305" s="314">
        <v>126040</v>
      </c>
      <c r="H305" s="315">
        <f t="shared" si="5"/>
        <v>10608.75</v>
      </c>
    </row>
    <row r="306" spans="2:8">
      <c r="B306" s="310" t="str">
        <f>'analisa 2019'!A4836</f>
        <v>A.4.6.1.22 A</v>
      </c>
      <c r="C306" s="311" t="str">
        <f>'analisa 2019'!B4836</f>
        <v>Pemasangan 1 m’ Lisplank GRC</v>
      </c>
      <c r="D306" s="312"/>
      <c r="E306" s="313">
        <f>'analisa 2019'!$G$4850</f>
        <v>81707.5</v>
      </c>
      <c r="G306" s="314">
        <v>77130.5</v>
      </c>
      <c r="H306" s="315">
        <f t="shared" si="5"/>
        <v>4577</v>
      </c>
    </row>
    <row r="307" spans="2:8">
      <c r="B307" s="310" t="str">
        <f>'analisa 2019'!A4852</f>
        <v>A.4.6.1.22 B</v>
      </c>
      <c r="C307" s="311" t="str">
        <f>'analisa 2019'!B4852</f>
        <v>Pemasangan 1 m2 HPL</v>
      </c>
      <c r="D307" s="312"/>
      <c r="E307" s="313">
        <f>'analisa 2019'!$G$4866</f>
        <v>204792</v>
      </c>
      <c r="G307" s="314">
        <v>192438.13</v>
      </c>
      <c r="H307" s="315">
        <f t="shared" si="5"/>
        <v>12353.869999999995</v>
      </c>
    </row>
    <row r="308" spans="2:8" s="780" customFormat="1">
      <c r="B308" s="776" t="str">
        <f>'analisa 2019'!A4868</f>
        <v>A.4.6.1.22 C</v>
      </c>
      <c r="C308" s="777" t="str">
        <f>'analisa 2019'!B4868</f>
        <v>Pemasangan 1 m2 Polycarbonat</v>
      </c>
      <c r="D308" s="778"/>
      <c r="E308" s="779">
        <f>'analisa 2019'!$G$4882</f>
        <v>354591</v>
      </c>
      <c r="G308" s="781">
        <v>347633.5</v>
      </c>
      <c r="H308" s="782">
        <f t="shared" si="5"/>
        <v>6957.5</v>
      </c>
    </row>
    <row r="309" spans="2:8">
      <c r="B309" s="310" t="str">
        <f>'analisa 2019'!A4884</f>
        <v>A.4.6.1.23</v>
      </c>
      <c r="C309" s="311" t="str">
        <f>'analisa 2019'!B4884</f>
        <v>Pemasangan 1 m2 rangka dinding pemisah (60 x 120) cm kayu kelas III SK</v>
      </c>
      <c r="D309" s="312"/>
      <c r="E309" s="313">
        <f>'analisa 2019'!$G$4898</f>
        <v>215671</v>
      </c>
      <c r="G309" s="314">
        <v>196546.5</v>
      </c>
      <c r="H309" s="315">
        <f t="shared" si="5"/>
        <v>19124.5</v>
      </c>
    </row>
    <row r="310" spans="2:8">
      <c r="B310" s="310" t="str">
        <f>'analisa 2019'!A4900</f>
        <v>A.4.6.1.23 A</v>
      </c>
      <c r="C310" s="311" t="str">
        <f>'analisa 2019'!B4900</f>
        <v>Pemasangan 1 m2 Rangka Dinding Pemisah Canal C</v>
      </c>
      <c r="D310" s="312"/>
      <c r="E310" s="313">
        <f>'analisa 2019'!$G$4914</f>
        <v>210737.5</v>
      </c>
      <c r="G310" s="314">
        <v>191371.5</v>
      </c>
      <c r="H310" s="315">
        <f t="shared" si="5"/>
        <v>19366</v>
      </c>
    </row>
    <row r="311" spans="2:8">
      <c r="B311" s="310" t="str">
        <f>'analisa 2019'!A4916</f>
        <v>A.4.6.1.23 B</v>
      </c>
      <c r="C311" s="1317" t="str">
        <f>'analisa 2019'!B4916</f>
        <v>Pemasangan 1 m2 Dinding Pemisah  gypsum board ukuran (120x240x9) mm tebal 9 mm</v>
      </c>
      <c r="D311" s="1318"/>
      <c r="E311" s="313">
        <f>'analisa 2019'!$G$4930</f>
        <v>56090.1</v>
      </c>
      <c r="G311" s="314">
        <v>53243.85</v>
      </c>
      <c r="H311" s="315">
        <f t="shared" si="5"/>
        <v>2846.25</v>
      </c>
    </row>
    <row r="312" spans="2:8">
      <c r="B312" s="310" t="str">
        <f>'analisa 2019'!A4932</f>
        <v>A.4.6.1.23 C</v>
      </c>
      <c r="C312" s="1317" t="str">
        <f>'analisa 2019'!B4932</f>
        <v>Pemasangan 1 m2 Dinding Pemisah  calsiboard board ukuran (120x240x9) mm. tebal 4 mm</v>
      </c>
      <c r="D312" s="1318"/>
      <c r="E312" s="313">
        <f>'analisa 2019'!$G$4946</f>
        <v>68543.45</v>
      </c>
      <c r="G312" s="314">
        <v>65697.2</v>
      </c>
      <c r="H312" s="315">
        <f t="shared" si="5"/>
        <v>2846.25</v>
      </c>
    </row>
    <row r="313" spans="2:8">
      <c r="B313" s="310" t="str">
        <f>'analisa 2019'!A4948</f>
        <v>A.4.6.1.23 D</v>
      </c>
      <c r="C313" s="311" t="str">
        <f>'analisa 2019'!B4948</f>
        <v>Pemasangan 1 m2 Dinding Pemisah Triplex ukuran (120x240x4) mm</v>
      </c>
      <c r="D313" s="312"/>
      <c r="E313" s="313">
        <f>'analisa 2019'!$G$4962</f>
        <v>64985.35</v>
      </c>
      <c r="G313" s="314">
        <v>52888.04</v>
      </c>
      <c r="H313" s="315">
        <f t="shared" si="5"/>
        <v>12097.309999999998</v>
      </c>
    </row>
    <row r="314" spans="2:8">
      <c r="B314" s="310" t="str">
        <f>'analisa 2019'!A4964</f>
        <v>A.4.6.1.23 E</v>
      </c>
      <c r="C314" s="311" t="str">
        <f>'analisa 2019'!B4964</f>
        <v>Pemasangan 1 m2 Dinding Pemisah Triplex partisi  ukuran (120x240x9) mm</v>
      </c>
      <c r="D314" s="312"/>
      <c r="E314" s="313">
        <f>'analisa 2019'!$G$4978</f>
        <v>92612.95</v>
      </c>
      <c r="G314" s="314">
        <v>69966.92</v>
      </c>
      <c r="H314" s="315">
        <f t="shared" si="5"/>
        <v>22646.03</v>
      </c>
    </row>
    <row r="315" spans="2:8">
      <c r="B315" s="310" t="str">
        <f>'analisa 2019'!A4980</f>
        <v>A.4.6.1.23 F</v>
      </c>
      <c r="C315" s="311" t="str">
        <f>'analisa 2019'!B4980</f>
        <v>Pemasangan 1 m2 Dinding Pemisah Papan Susun Sirih Rangka Kayu Kelas II</v>
      </c>
      <c r="D315" s="312"/>
      <c r="E315" s="313">
        <f>'analisa 2019'!$G$4995</f>
        <v>372450.5</v>
      </c>
      <c r="G315" s="314">
        <v>346541</v>
      </c>
      <c r="H315" s="315">
        <f t="shared" si="5"/>
        <v>25909.5</v>
      </c>
    </row>
    <row r="316" spans="2:8">
      <c r="B316" s="310" t="str">
        <f>'analisa 2019'!A4997</f>
        <v>A.4.6.1.23 G</v>
      </c>
      <c r="C316" s="311" t="str">
        <f>'analisa 2019'!B4997</f>
        <v>Pemasangan 1 m2 Dinding Pemisah Papan Susun Sirih Rangka Kayu Kelas III</v>
      </c>
      <c r="D316" s="312"/>
      <c r="E316" s="313">
        <f>'analisa 2019'!$G$5012</f>
        <v>236437.7</v>
      </c>
      <c r="G316" s="314">
        <v>217005</v>
      </c>
      <c r="H316" s="315">
        <f t="shared" si="5"/>
        <v>19432.700000000012</v>
      </c>
    </row>
    <row r="317" spans="2:8">
      <c r="B317" s="310" t="str">
        <f>'analisa 2019'!A5014</f>
        <v>A.4.6.1.24</v>
      </c>
      <c r="C317" s="311" t="str">
        <f>'analisa 2019'!B5014</f>
        <v xml:space="preserve">Pemasangan 1 m2 dinding pemisah teakwood rangkap. rangka kayu kelas III </v>
      </c>
      <c r="D317" s="312"/>
      <c r="E317" s="313">
        <f>'analisa 2019'!$G$5030</f>
        <v>322310.5</v>
      </c>
      <c r="G317" s="314">
        <v>277014.3</v>
      </c>
      <c r="H317" s="315">
        <f t="shared" si="5"/>
        <v>45296.200000000012</v>
      </c>
    </row>
    <row r="318" spans="2:8">
      <c r="B318" s="310" t="str">
        <f>'analisa 2019'!A5032</f>
        <v>A.4.6.1.25</v>
      </c>
      <c r="C318" s="311" t="str">
        <f>'analisa 2019'!B5032</f>
        <v xml:space="preserve">Pemasangan 1 m2 dinding pemisah plywood rangkap rangka kayu kelas III </v>
      </c>
      <c r="D318" s="312"/>
      <c r="E318" s="313">
        <f>'analisa 2019'!$G$5048</f>
        <v>355695</v>
      </c>
      <c r="G318" s="314">
        <v>305982.8</v>
      </c>
      <c r="H318" s="315">
        <f t="shared" si="5"/>
        <v>49712.200000000012</v>
      </c>
    </row>
    <row r="319" spans="2:8">
      <c r="B319" s="320" t="str">
        <f>'analisa 2019'!A5050</f>
        <v>A.4.6.1.26</v>
      </c>
      <c r="C319" s="321" t="str">
        <f>'analisa 2019'!B5050</f>
        <v xml:space="preserve"> Pemasangan 1 m2 dinding lambrisering dari papan kayu kelas I Damar</v>
      </c>
      <c r="D319" s="322"/>
      <c r="E319" s="323">
        <f>'analisa 2019'!$G$5065</f>
        <v>493263.75</v>
      </c>
      <c r="G319" s="314">
        <v>435332.5</v>
      </c>
      <c r="H319" s="315">
        <f t="shared" si="5"/>
        <v>57931.25</v>
      </c>
    </row>
    <row r="320" spans="2:8">
      <c r="B320" s="324" t="str">
        <f>'analisa 2019'!A5067</f>
        <v>A.4.6.1.27</v>
      </c>
      <c r="C320" s="325" t="str">
        <f>'analisa 2019'!B5067</f>
        <v>Pemasangan 1 m2 dinding lambrisering dari plywood ukuran (120 x 240) cm</v>
      </c>
      <c r="D320" s="326"/>
      <c r="E320" s="327">
        <f>'analisa 2019'!$G$5081</f>
        <v>60996</v>
      </c>
      <c r="G320" s="314">
        <v>48438</v>
      </c>
      <c r="H320" s="315">
        <f t="shared" si="5"/>
        <v>12558</v>
      </c>
    </row>
    <row r="321" spans="2:8">
      <c r="B321" s="310" t="str">
        <f>'analisa 2019'!A5083</f>
        <v>A.4.6.1.28</v>
      </c>
      <c r="C321" s="311" t="str">
        <f>'analisa 2019'!B5083</f>
        <v>Pemasangan 1 m2 dinding bilik rangka kayu kelas III SK</v>
      </c>
      <c r="D321" s="312"/>
      <c r="E321" s="313">
        <f>'analisa 2019'!$G$5099</f>
        <v>141716.79999999999</v>
      </c>
      <c r="G321" s="314">
        <v>135919.65</v>
      </c>
      <c r="H321" s="315">
        <f t="shared" si="5"/>
        <v>5797.1499999999942</v>
      </c>
    </row>
    <row r="322" spans="2:8">
      <c r="B322" s="310" t="str">
        <f>'analisa 2019'!A5101</f>
        <v>A.4.6.1.29</v>
      </c>
      <c r="C322" s="311" t="str">
        <f>'analisa 2019'!B5101</f>
        <v>Pemasangan 1 m Cerocok Kayu Bulat Ø4"</v>
      </c>
      <c r="D322" s="312"/>
      <c r="E322" s="313">
        <f>'analisa 2019'!$G$5115</f>
        <v>15708.2</v>
      </c>
      <c r="G322" s="314">
        <v>14539.45</v>
      </c>
      <c r="H322" s="315">
        <f t="shared" si="5"/>
        <v>1168.75</v>
      </c>
    </row>
    <row r="323" spans="2:8">
      <c r="B323" s="310"/>
      <c r="C323" s="311"/>
      <c r="D323" s="312"/>
      <c r="E323" s="313"/>
      <c r="G323" s="314"/>
      <c r="H323" s="315">
        <f t="shared" si="5"/>
        <v>0</v>
      </c>
    </row>
    <row r="324" spans="2:8">
      <c r="B324" s="316" t="str">
        <f>'analisa 2019'!A5117</f>
        <v>A.4.6.2</v>
      </c>
      <c r="C324" s="317" t="str">
        <f>'analisa 2019'!B5117</f>
        <v>HARGA SATUAN PEKERJAAN KUNCI DAN KACA</v>
      </c>
      <c r="D324" s="312"/>
      <c r="E324" s="310"/>
      <c r="G324" s="314"/>
      <c r="H324" s="315">
        <f t="shared" si="5"/>
        <v>0</v>
      </c>
    </row>
    <row r="325" spans="2:8">
      <c r="B325" s="310" t="str">
        <f>'analisa 2019'!A5118</f>
        <v>A.4.6.2.1</v>
      </c>
      <c r="C325" s="311" t="str">
        <f>'analisa 2019'!B5118</f>
        <v>Pemasangan 1 buah kunci tanam antik</v>
      </c>
      <c r="D325" s="312"/>
      <c r="E325" s="313">
        <f>'analisa 2019'!$G$5131</f>
        <v>322023</v>
      </c>
      <c r="G325" s="314">
        <v>306084</v>
      </c>
      <c r="H325" s="315">
        <f t="shared" si="5"/>
        <v>15939</v>
      </c>
    </row>
    <row r="326" spans="2:8">
      <c r="B326" s="310" t="str">
        <f>'analisa 2019'!A5133</f>
        <v>A.4.6.2.2</v>
      </c>
      <c r="C326" s="311" t="str">
        <f>'analisa 2019'!B5133</f>
        <v>Pemasangan 1 buah kunci tanam biasa</v>
      </c>
      <c r="D326" s="312"/>
      <c r="E326" s="313">
        <f>'analisa 2019'!$G$5146</f>
        <v>165945</v>
      </c>
      <c r="G326" s="314">
        <v>153065</v>
      </c>
      <c r="H326" s="315">
        <f t="shared" ref="H326:H386" si="6">E326-G326</f>
        <v>12880</v>
      </c>
    </row>
    <row r="327" spans="2:8">
      <c r="B327" s="310" t="str">
        <f>'analisa 2019'!A5148</f>
        <v>A.4.6.2.3</v>
      </c>
      <c r="C327" s="311" t="str">
        <f>'analisa 2019'!B5148</f>
        <v>Pemasangan 1 buah kunci kamar mandi</v>
      </c>
      <c r="D327" s="312"/>
      <c r="E327" s="313">
        <f>'analisa 2019'!$G$5161</f>
        <v>159240.5</v>
      </c>
      <c r="G327" s="314">
        <v>146464</v>
      </c>
      <c r="H327" s="315">
        <f t="shared" si="6"/>
        <v>12776.5</v>
      </c>
    </row>
    <row r="328" spans="2:8">
      <c r="B328" s="310" t="str">
        <f>'analisa 2019'!A5163</f>
        <v>A.4.6.2.4</v>
      </c>
      <c r="C328" s="311" t="str">
        <f>'analisa 2019'!B5163</f>
        <v>Pemasangan 1 buah kunci silinder</v>
      </c>
      <c r="D328" s="312"/>
      <c r="E328" s="313">
        <f>'analisa 2019'!$G$5176</f>
        <v>130490.5</v>
      </c>
      <c r="G328" s="314">
        <v>117714</v>
      </c>
      <c r="H328" s="315">
        <f t="shared" si="6"/>
        <v>12776.5</v>
      </c>
    </row>
    <row r="329" spans="2:8">
      <c r="B329" s="310" t="str">
        <f>'analisa 2019'!A5178</f>
        <v>A.4.6.2.5</v>
      </c>
      <c r="C329" s="311" t="str">
        <f>'analisa 2019'!B5178</f>
        <v>Pemasangan 1 buah engsel pintu</v>
      </c>
      <c r="D329" s="312"/>
      <c r="E329" s="313">
        <f>'analisa 2019'!$G$5191</f>
        <v>40263.800000000003</v>
      </c>
      <c r="G329" s="314">
        <v>36277.9</v>
      </c>
      <c r="H329" s="315">
        <f t="shared" si="6"/>
        <v>3985.9000000000015</v>
      </c>
    </row>
    <row r="330" spans="2:8">
      <c r="B330" s="310" t="str">
        <f>'analisa 2019'!A5193</f>
        <v>A.4.6.2.6</v>
      </c>
      <c r="C330" s="311" t="str">
        <f>'analisa 2019'!B5193</f>
        <v>Pemasangan 1 buah engsel jendela kupu-kupu</v>
      </c>
      <c r="D330" s="312"/>
      <c r="E330" s="313">
        <f>'analisa 2019'!$G$5206</f>
        <v>28370.5</v>
      </c>
      <c r="G330" s="314">
        <v>25714</v>
      </c>
      <c r="H330" s="315">
        <f t="shared" si="6"/>
        <v>2656.5</v>
      </c>
    </row>
    <row r="331" spans="2:8">
      <c r="B331" s="310" t="str">
        <f>'analisa 2019'!$A$5208</f>
        <v>A.4.6.2.6 A</v>
      </c>
      <c r="C331" s="311" t="str">
        <f>'analisa 2019'!$B$5208</f>
        <v>Pemasangan 1 buah engsel jendela Casement Alumunium 10"</v>
      </c>
      <c r="D331" s="312"/>
      <c r="E331" s="313">
        <f>'analisa 2019'!$G$5221</f>
        <v>144750.5</v>
      </c>
      <c r="G331" s="314"/>
      <c r="H331" s="315"/>
    </row>
    <row r="332" spans="2:8">
      <c r="B332" s="310" t="str">
        <f>'analisa 2019'!$A$5223</f>
        <v>A.4.6.2.6 B</v>
      </c>
      <c r="C332" s="311" t="str">
        <f>'analisa 2019'!$B$5223</f>
        <v>Pemasangan 1 buah Pegangan Casement</v>
      </c>
      <c r="D332" s="312"/>
      <c r="E332" s="313">
        <f>'analisa 2019'!$G$5236</f>
        <v>46770.5</v>
      </c>
      <c r="G332" s="314"/>
      <c r="H332" s="315"/>
    </row>
    <row r="333" spans="2:8">
      <c r="B333" s="310" t="str">
        <f>'analisa 2019'!A5238</f>
        <v>A.4.6.2.7</v>
      </c>
      <c r="C333" s="311" t="str">
        <f>'analisa 2019'!B5238</f>
        <v>Pemasangan 1 buah engsel angin/ hak angin</v>
      </c>
      <c r="D333" s="312"/>
      <c r="E333" s="313">
        <f>'analisa 2019'!$G$5251</f>
        <v>58730.5</v>
      </c>
      <c r="G333" s="314">
        <v>48771.5</v>
      </c>
      <c r="H333" s="315">
        <f t="shared" si="6"/>
        <v>9959</v>
      </c>
    </row>
    <row r="334" spans="2:8">
      <c r="B334" s="310" t="str">
        <f>'analisa 2019'!A5253</f>
        <v>A.4.6.2.8</v>
      </c>
      <c r="C334" s="311" t="str">
        <f>'analisa 2019'!B5253</f>
        <v xml:space="preserve">Pemasangan 1 buah spring knip/ grendel </v>
      </c>
      <c r="D334" s="312"/>
      <c r="E334" s="313">
        <f>'analisa 2019'!$G$5266</f>
        <v>52923</v>
      </c>
      <c r="G334" s="314">
        <v>48771.5</v>
      </c>
      <c r="H334" s="315">
        <f t="shared" si="6"/>
        <v>4151.5</v>
      </c>
    </row>
    <row r="335" spans="2:8">
      <c r="B335" s="310" t="str">
        <f>'analisa 2019'!A5268</f>
        <v>A.4.6.2.9</v>
      </c>
      <c r="C335" s="311" t="str">
        <f>'analisa 2019'!B5268</f>
        <v>Pemasangan 1 buah kait angin/ hak angin</v>
      </c>
      <c r="D335" s="312"/>
      <c r="E335" s="313">
        <f>'analisa 2019'!$G$5281</f>
        <v>40273</v>
      </c>
      <c r="G335" s="314">
        <v>36121.5</v>
      </c>
      <c r="H335" s="315">
        <f t="shared" si="6"/>
        <v>4151.5</v>
      </c>
    </row>
    <row r="336" spans="2:8">
      <c r="B336" s="310" t="str">
        <f>'analisa 2019'!A5283</f>
        <v>A.4.6.2.10</v>
      </c>
      <c r="C336" s="311" t="str">
        <f>'analisa 2019'!B5283</f>
        <v>Pemasangan 1 buah door closer</v>
      </c>
      <c r="D336" s="312"/>
      <c r="E336" s="313">
        <f>'analisa 2019'!$G$5296</f>
        <v>301208</v>
      </c>
      <c r="G336" s="314">
        <v>287914</v>
      </c>
      <c r="H336" s="315">
        <f t="shared" si="6"/>
        <v>13294</v>
      </c>
    </row>
    <row r="337" spans="2:8">
      <c r="B337" s="310" t="str">
        <f>'analisa 2019'!A5298</f>
        <v>A.4.6.2.11</v>
      </c>
      <c r="C337" s="311" t="str">
        <f>'analisa 2019'!B5298</f>
        <v>Pemasangan 1 buah kunci slot/ grendel</v>
      </c>
      <c r="D337" s="312"/>
      <c r="E337" s="313">
        <f>'analisa 2019'!$G$5311</f>
        <v>67091</v>
      </c>
      <c r="G337" s="314">
        <v>61778</v>
      </c>
      <c r="H337" s="315">
        <f t="shared" si="6"/>
        <v>5313</v>
      </c>
    </row>
    <row r="338" spans="2:8">
      <c r="B338" s="310" t="str">
        <f>'analisa 2019'!A5313</f>
        <v>A.4.6.2.12</v>
      </c>
      <c r="C338" s="311" t="str">
        <f>'analisa 2019'!B5313</f>
        <v>Pemasangan 1 buah Door holder</v>
      </c>
      <c r="D338" s="312"/>
      <c r="E338" s="313">
        <f>'analisa 2019'!$G$5326</f>
        <v>198283</v>
      </c>
      <c r="G338" s="314">
        <v>184989</v>
      </c>
      <c r="H338" s="315">
        <f t="shared" si="6"/>
        <v>13294</v>
      </c>
    </row>
    <row r="339" spans="2:8">
      <c r="B339" s="310" t="str">
        <f>'analisa 2019'!A5328</f>
        <v>A.4.6.2.13</v>
      </c>
      <c r="C339" s="311" t="str">
        <f>'analisa 2019'!B5328</f>
        <v>Pemasangan 1 buah door stop</v>
      </c>
      <c r="D339" s="312"/>
      <c r="E339" s="313">
        <f>'analisa 2019'!$G$5341</f>
        <v>49220</v>
      </c>
      <c r="G339" s="314">
        <v>46460</v>
      </c>
      <c r="H339" s="315">
        <f t="shared" si="6"/>
        <v>2760</v>
      </c>
    </row>
    <row r="340" spans="2:8">
      <c r="B340" s="310" t="str">
        <f>'analisa 2019'!A5343</f>
        <v>A.4.6.2.14</v>
      </c>
      <c r="C340" s="311" t="str">
        <f>'analisa 2019'!B5343</f>
        <v>Pemasangan 1 buah Rel pintu sorong</v>
      </c>
      <c r="D340" s="312"/>
      <c r="E340" s="313">
        <f>'analisa 2019'!$G$5356</f>
        <v>385273</v>
      </c>
      <c r="G340" s="314">
        <v>369334</v>
      </c>
      <c r="H340" s="315">
        <f t="shared" si="6"/>
        <v>15939</v>
      </c>
    </row>
    <row r="341" spans="2:8">
      <c r="B341" s="310" t="str">
        <f>'analisa 2019'!A5358</f>
        <v>A.4.6.2.15</v>
      </c>
      <c r="C341" s="311" t="str">
        <f>'analisa 2019'!B5358</f>
        <v>Pemasangan 1 buah kunci lemari</v>
      </c>
      <c r="D341" s="312"/>
      <c r="E341" s="313">
        <f>'analisa 2019'!$G$5371</f>
        <v>64063.05</v>
      </c>
      <c r="G341" s="314">
        <v>57420.65</v>
      </c>
      <c r="H341" s="315">
        <f t="shared" si="6"/>
        <v>6642.4000000000015</v>
      </c>
    </row>
    <row r="342" spans="2:8">
      <c r="B342" s="310" t="str">
        <f>'analisa 2019'!A5373</f>
        <v>A.4.6.2.16</v>
      </c>
      <c r="C342" s="311" t="str">
        <f>'analisa 2019'!B5373</f>
        <v>Pemasangan 1 m2 kaca tebal 3 mm</v>
      </c>
      <c r="D342" s="312"/>
      <c r="E342" s="313">
        <f>'analisa 2019'!$G$5387</f>
        <v>162163.79999999999</v>
      </c>
      <c r="G342" s="314">
        <v>158177.9</v>
      </c>
      <c r="H342" s="315">
        <f t="shared" si="6"/>
        <v>3985.8999999999942</v>
      </c>
    </row>
    <row r="343" spans="2:8">
      <c r="B343" s="310" t="str">
        <f>'analisa 2019'!A5389</f>
        <v>A.4.6.2.17</v>
      </c>
      <c r="C343" s="311" t="str">
        <f>'analisa 2019'!B5389</f>
        <v>Pemasangan 1 m2 kaca tebal 5 mm</v>
      </c>
      <c r="D343" s="312"/>
      <c r="E343" s="313">
        <f>'analisa 2019'!$G$5403</f>
        <v>184301.3</v>
      </c>
      <c r="G343" s="314">
        <v>180315.4</v>
      </c>
      <c r="H343" s="315">
        <f t="shared" si="6"/>
        <v>3985.8999999999942</v>
      </c>
    </row>
    <row r="344" spans="2:8">
      <c r="B344" s="310" t="str">
        <f>'analisa 2019'!A5405</f>
        <v>A.4.6.2.18</v>
      </c>
      <c r="C344" s="311" t="str">
        <f>'analisa 2019'!B5405</f>
        <v>Pemasangan 1 m2 kaca tebal 8 mm</v>
      </c>
      <c r="D344" s="312"/>
      <c r="E344" s="313">
        <f>'analisa 2019'!$G$5419</f>
        <v>374952.9</v>
      </c>
      <c r="G344" s="314">
        <v>370435.7</v>
      </c>
      <c r="H344" s="315">
        <f t="shared" si="6"/>
        <v>4517.2000000000116</v>
      </c>
    </row>
    <row r="345" spans="2:8">
      <c r="B345" s="310" t="str">
        <f>'analisa 2019'!A5421</f>
        <v>A.4.6.2.19</v>
      </c>
      <c r="C345" s="311" t="str">
        <f>'analisa 2019'!B5421</f>
        <v>Pemasangan 1 m2 kaca buram tebal 12 mm</v>
      </c>
      <c r="D345" s="312"/>
      <c r="E345" s="313">
        <f>'analisa 2019'!$G$5435</f>
        <v>1060739.3</v>
      </c>
      <c r="G345" s="314">
        <v>1054096.9000000001</v>
      </c>
      <c r="H345" s="315">
        <f t="shared" si="6"/>
        <v>6642.3999999999069</v>
      </c>
    </row>
    <row r="346" spans="2:8">
      <c r="B346" s="310" t="str">
        <f>'analisa 2019'!A5437</f>
        <v>A.4.6.2.20</v>
      </c>
      <c r="C346" s="311" t="str">
        <f>'analisa 2019'!B5437</f>
        <v>Pemasangan 1 m2 kaca cermin tebal 5 mm</v>
      </c>
      <c r="D346" s="312"/>
      <c r="E346" s="313">
        <f>'analisa 2019'!$G$5450</f>
        <v>257623</v>
      </c>
      <c r="G346" s="314">
        <v>253471.50000000003</v>
      </c>
      <c r="H346" s="315">
        <f t="shared" si="6"/>
        <v>4151.4999999999709</v>
      </c>
    </row>
    <row r="347" spans="2:8">
      <c r="B347" s="310" t="str">
        <f>'analisa 2019'!A5452</f>
        <v>A.4.6.2.21</v>
      </c>
      <c r="C347" s="311" t="str">
        <f>'analisa 2019'!B5452</f>
        <v>Pemasangan 1 m2 kaca cermin tebal 6 mm</v>
      </c>
      <c r="D347" s="312"/>
      <c r="E347" s="313">
        <f>'analisa 2019'!$G$5465</f>
        <v>261602</v>
      </c>
      <c r="G347" s="314">
        <v>256898.50000000003</v>
      </c>
      <c r="H347" s="315">
        <f t="shared" si="6"/>
        <v>4703.4999999999709</v>
      </c>
    </row>
    <row r="348" spans="2:8">
      <c r="B348" s="310"/>
      <c r="C348" s="311"/>
      <c r="D348" s="312"/>
      <c r="E348" s="310"/>
      <c r="G348" s="314"/>
      <c r="H348" s="315">
        <f t="shared" si="6"/>
        <v>0</v>
      </c>
    </row>
    <row r="349" spans="2:8">
      <c r="B349" s="316" t="str">
        <f>'analisa 2019'!A5467</f>
        <v>A.4.7.1</v>
      </c>
      <c r="C349" s="317" t="str">
        <f>'analisa 2019'!B5467</f>
        <v>HARGA SATUAN PEKERJAAN PENGECATAN</v>
      </c>
      <c r="D349" s="312"/>
      <c r="E349" s="310"/>
      <c r="G349" s="314"/>
      <c r="H349" s="315">
        <f t="shared" si="6"/>
        <v>0</v>
      </c>
    </row>
    <row r="350" spans="2:8">
      <c r="B350" s="310" t="str">
        <f>'analisa 2019'!A5468</f>
        <v>A.4.7.1.1</v>
      </c>
      <c r="C350" s="311" t="str">
        <f>'analisa 2019'!B5468</f>
        <v>1 m2 Pengikisan/pengerokan permukaan cat lama</v>
      </c>
      <c r="D350" s="312"/>
      <c r="E350" s="313">
        <f>'analisa 2019'!$G$5479</f>
        <v>20493</v>
      </c>
      <c r="G350" s="314">
        <v>18699</v>
      </c>
      <c r="H350" s="315">
        <f t="shared" si="6"/>
        <v>1794</v>
      </c>
    </row>
    <row r="351" spans="2:8">
      <c r="B351" s="310" t="str">
        <f>'analisa 2019'!A5481</f>
        <v>A.4.7.1.2</v>
      </c>
      <c r="C351" s="311" t="str">
        <f>'analisa 2019'!B5481</f>
        <v>1 m2 Pencucian bidang permukaan tembok yang pernah dicat</v>
      </c>
      <c r="D351" s="312"/>
      <c r="E351" s="313">
        <f>'analisa 2019'!$G$5492</f>
        <v>20148</v>
      </c>
      <c r="G351" s="314">
        <v>18354</v>
      </c>
      <c r="H351" s="315">
        <f t="shared" si="6"/>
        <v>1794</v>
      </c>
    </row>
    <row r="352" spans="2:8">
      <c r="B352" s="310" t="str">
        <f>'analisa 2019'!A5494</f>
        <v>A.4.7.1.3</v>
      </c>
      <c r="C352" s="311" t="str">
        <f>'analisa 2019'!B5494</f>
        <v>1 m2 Pengerokan karat pada permukaan baja cara manual</v>
      </c>
      <c r="D352" s="312"/>
      <c r="E352" s="313">
        <f>'analisa 2019'!$G$5505</f>
        <v>20953</v>
      </c>
      <c r="G352" s="314">
        <v>19044</v>
      </c>
      <c r="H352" s="315">
        <f t="shared" si="6"/>
        <v>1909</v>
      </c>
    </row>
    <row r="353" spans="2:8">
      <c r="B353" s="310" t="str">
        <f>'analisa 2019'!A5507</f>
        <v>A.4.7.1.4</v>
      </c>
      <c r="C353" s="332" t="str">
        <f>'analisa 2019'!B5507</f>
        <v>1 m2 Pengecatan bidang kayu baru (1 lapis plamuur 1 lapis cat dasar 2 lapis cat penutup)</v>
      </c>
      <c r="D353" s="312"/>
      <c r="E353" s="313">
        <f>'analisa 2019'!$G$5526</f>
        <v>51341.75</v>
      </c>
      <c r="G353" s="314">
        <v>50122.75</v>
      </c>
      <c r="H353" s="315">
        <f t="shared" si="6"/>
        <v>1219</v>
      </c>
    </row>
    <row r="354" spans="2:8">
      <c r="B354" s="310" t="str">
        <f>'analisa 2019'!A5528</f>
        <v>A.4.7.1.5</v>
      </c>
      <c r="C354" s="318" t="str">
        <f>'analisa 2019'!B5528</f>
        <v>Pengecatan 1 m2  bidang kayu baru (1 lapis plamuur 1 lapis cat dasar 3 lapis cat penutup)</v>
      </c>
      <c r="D354" s="312"/>
      <c r="E354" s="313">
        <f>'analisa 2019'!$G$5547</f>
        <v>73697.75</v>
      </c>
      <c r="G354" s="314">
        <v>70316.75</v>
      </c>
      <c r="H354" s="315">
        <f t="shared" si="6"/>
        <v>3381</v>
      </c>
    </row>
    <row r="355" spans="2:8">
      <c r="B355" s="310" t="str">
        <f>'analisa 2019'!A5549</f>
        <v>A.4.7.1.6</v>
      </c>
      <c r="C355" s="311" t="str">
        <f>'analisa 2019'!B5549</f>
        <v>Pelaburan 1 m2 bidang kayu dengan teak oil</v>
      </c>
      <c r="D355" s="312"/>
      <c r="E355" s="313">
        <f>'analisa 2019'!$G$5562</f>
        <v>53463.5</v>
      </c>
      <c r="G355" s="333">
        <v>50036.5</v>
      </c>
      <c r="H355" s="315">
        <f t="shared" si="6"/>
        <v>3427</v>
      </c>
    </row>
    <row r="356" spans="2:8">
      <c r="B356" s="310" t="str">
        <f>'analisa 2019'!A5564</f>
        <v>A.4.7.1.7</v>
      </c>
      <c r="C356" s="311" t="str">
        <f>'analisa 2019'!B5564</f>
        <v>Pelaburan 1 m2 bidang kayu dengan politur</v>
      </c>
      <c r="D356" s="312"/>
      <c r="E356" s="313">
        <f>'analisa 2019'!$G$5579</f>
        <v>56628.3</v>
      </c>
      <c r="G356" s="314">
        <v>54351.3</v>
      </c>
      <c r="H356" s="315">
        <f t="shared" si="6"/>
        <v>2277</v>
      </c>
    </row>
    <row r="357" spans="2:8">
      <c r="B357" s="310" t="str">
        <f>'analisa 2019'!A5581</f>
        <v>A.4.7.1.8</v>
      </c>
      <c r="C357" s="311" t="str">
        <f>'analisa 2019'!B5581</f>
        <v>Pelaburan 1 m2 bidang kayu dengan cat residu dan ter</v>
      </c>
      <c r="D357" s="312"/>
      <c r="E357" s="313">
        <f>'analisa 2019'!$G$5592</f>
        <v>16997</v>
      </c>
      <c r="G357" s="314">
        <v>15709</v>
      </c>
      <c r="H357" s="315">
        <f t="shared" si="6"/>
        <v>1288</v>
      </c>
    </row>
    <row r="358" spans="2:8">
      <c r="B358" s="310" t="str">
        <f>'analisa 2019'!A5594</f>
        <v>A.4.7.1.9</v>
      </c>
      <c r="C358" s="311" t="str">
        <f>'analisa 2019'!B5594</f>
        <v>Pelaburan 1 m2 bidang kayu dengan vernis</v>
      </c>
      <c r="D358" s="312"/>
      <c r="E358" s="313">
        <f>'analisa 2019'!$G$5609</f>
        <v>61116.75</v>
      </c>
      <c r="G358" s="314">
        <v>55159.75</v>
      </c>
      <c r="H358" s="315">
        <f t="shared" si="6"/>
        <v>5957</v>
      </c>
    </row>
    <row r="359" spans="2:8">
      <c r="B359" s="310" t="str">
        <f>'analisa 2019'!A5611</f>
        <v>A.4.7.1.9 A</v>
      </c>
      <c r="C359" s="311" t="str">
        <f>'analisa 2019'!B5611</f>
        <v>1 m2 Mengecatan Bidang Kayu/Besi Lama (2 lapis cat penutup)</v>
      </c>
      <c r="D359" s="312"/>
      <c r="E359" s="313">
        <f>'analisa 2019'!$G$5626</f>
        <v>71064.25</v>
      </c>
      <c r="G359" s="314">
        <v>65107.25</v>
      </c>
      <c r="H359" s="315">
        <f t="shared" si="6"/>
        <v>5957</v>
      </c>
    </row>
    <row r="360" spans="2:8">
      <c r="B360" s="310" t="str">
        <f>'analisa 2019'!A5628</f>
        <v>A.4.7.1.10</v>
      </c>
      <c r="C360" s="318" t="str">
        <f>'analisa 2019'!B5628</f>
        <v>Pengecatan 1 m2 tembok baru (1 lapis plamuur 1 lapis cat dasar 2 lapis cat penutup) setara Vinilex</v>
      </c>
      <c r="D360" s="312"/>
      <c r="E360" s="313">
        <f>'analisa 2019'!$G$5643</f>
        <v>30193.25</v>
      </c>
      <c r="G360" s="314">
        <v>28300.35</v>
      </c>
      <c r="H360" s="315">
        <f t="shared" si="6"/>
        <v>1892.9000000000015</v>
      </c>
    </row>
    <row r="361" spans="2:8">
      <c r="B361" s="310" t="str">
        <f>'analisa 2019'!A5645</f>
        <v>A.4.7.1.10 B</v>
      </c>
      <c r="C361" s="318" t="str">
        <f>'analisa 2019'!B5645</f>
        <v>Pengecatan 1 m2 tembok baru (1 lapis plamuur 1 lapis cat dasar 2 lapis cat penutup) setara Paragon</v>
      </c>
      <c r="D361" s="312"/>
      <c r="E361" s="313">
        <f>'analisa 2019'!$G$5660</f>
        <v>26605.25</v>
      </c>
      <c r="G361" s="314">
        <v>24712.35</v>
      </c>
      <c r="H361" s="315">
        <f t="shared" si="6"/>
        <v>1892.9000000000015</v>
      </c>
    </row>
    <row r="362" spans="2:8">
      <c r="B362" s="310" t="str">
        <f>'analisa 2019'!A5662</f>
        <v>A.4.7.1.11</v>
      </c>
      <c r="C362" s="311" t="str">
        <f>'analisa 2019'!B5662</f>
        <v>Pengecatan 1 m2 tembok lama (1 lapis cat dasar 2 lapis cat penutup)</v>
      </c>
      <c r="D362" s="312"/>
      <c r="E362" s="313">
        <f>'analisa 2019'!$G$5676</f>
        <v>27404.5</v>
      </c>
      <c r="G362" s="314">
        <v>22546.9</v>
      </c>
      <c r="H362" s="315">
        <f t="shared" si="6"/>
        <v>4857.5999999999985</v>
      </c>
    </row>
    <row r="363" spans="2:8">
      <c r="B363" s="310" t="str">
        <f>'analisa 2019'!A5678</f>
        <v>A.4.7.1.11 A</v>
      </c>
      <c r="C363" s="311" t="str">
        <f>'analisa 2019'!B5678</f>
        <v>1 m2 Pengecatan Tembok/ Plafond lama setara Vinilex (2 lps cat penutup)</v>
      </c>
      <c r="D363" s="312"/>
      <c r="E363" s="313">
        <f>'analisa 2019'!$G$5691</f>
        <v>22574.5</v>
      </c>
      <c r="G363" s="314">
        <v>21120.9</v>
      </c>
      <c r="H363" s="315">
        <f t="shared" si="6"/>
        <v>1453.5999999999985</v>
      </c>
    </row>
    <row r="364" spans="2:8">
      <c r="B364" s="310" t="str">
        <f>'analisa 2019'!A5693</f>
        <v>A.4.7.1.11 B</v>
      </c>
      <c r="C364" s="318" t="str">
        <f>'analisa 2019'!B5693</f>
        <v>1 m2 Pengecatan Tembok/ Plafond Baru setara Paragon (1 lps plamur, 1 lps cat dasar, 2 lps cat penutup)</v>
      </c>
      <c r="D364" s="312"/>
      <c r="E364" s="313">
        <f>'analisa 2019'!$G$5708</f>
        <v>23874</v>
      </c>
      <c r="G364" s="314">
        <v>22420.400000000001</v>
      </c>
      <c r="H364" s="315">
        <f t="shared" si="6"/>
        <v>1453.5999999999985</v>
      </c>
    </row>
    <row r="365" spans="2:8">
      <c r="B365" s="310" t="str">
        <f>'analisa 2019'!A5710</f>
        <v>A.4.7.1.11 C</v>
      </c>
      <c r="C365" s="318" t="str">
        <f>'analisa 2019'!B5710</f>
        <v>1 m2 Pengecatan Tembok/ Plafond lama setara Paragon (1 lps cat dasar, 2 lps cat penutup)</v>
      </c>
      <c r="D365" s="312"/>
      <c r="E365" s="313">
        <f>'analisa 2019'!$G$5724</f>
        <v>23011.5</v>
      </c>
      <c r="G365" s="314">
        <v>21557.9</v>
      </c>
      <c r="H365" s="315">
        <f t="shared" si="6"/>
        <v>1453.5999999999985</v>
      </c>
    </row>
    <row r="366" spans="2:8">
      <c r="B366" s="310" t="str">
        <f>'analisa 2019'!A5726</f>
        <v>A.4.7.1.11 D</v>
      </c>
      <c r="C366" s="311" t="str">
        <f>'analisa 2019'!B5726</f>
        <v>1 m2 Pengecatan Tembok/ Plafond lama setara Paragon (2 lps cat penutup)</v>
      </c>
      <c r="D366" s="312"/>
      <c r="E366" s="313">
        <f>'analisa 2019'!$G$5739</f>
        <v>18986.5</v>
      </c>
      <c r="G366" s="314">
        <v>17532.900000000001</v>
      </c>
      <c r="H366" s="315">
        <f t="shared" si="6"/>
        <v>1453.5999999999985</v>
      </c>
    </row>
    <row r="367" spans="2:8">
      <c r="B367" s="310" t="str">
        <f>'analisa 2019'!A5741</f>
        <v>A.4.7.1.14</v>
      </c>
      <c r="C367" s="311" t="str">
        <f>'analisa 2019'!B5741</f>
        <v>Pelaburan 1 m2 tembok lama dengan kapur sirih (pemeliharaan)</v>
      </c>
      <c r="D367" s="312"/>
      <c r="E367" s="313">
        <f>'analisa 2019'!$G$5756</f>
        <v>14173.75</v>
      </c>
      <c r="G367" s="314">
        <v>13529.75</v>
      </c>
      <c r="H367" s="315">
        <f t="shared" si="6"/>
        <v>644</v>
      </c>
    </row>
    <row r="368" spans="2:8">
      <c r="B368" s="310" t="str">
        <f>'analisa 2019'!A5759</f>
        <v>A.4.7.1.16</v>
      </c>
      <c r="C368" s="311" t="str">
        <f>'analisa 2019'!B5759</f>
        <v>Pengecatan 1 m2 permukaan baja dengan menie besi</v>
      </c>
      <c r="D368" s="312"/>
      <c r="E368" s="313">
        <f>'analisa 2019'!$G$5773</f>
        <v>43113.5</v>
      </c>
      <c r="G368" s="314">
        <v>37766</v>
      </c>
      <c r="H368" s="315">
        <f t="shared" si="6"/>
        <v>5347.5</v>
      </c>
    </row>
    <row r="369" spans="2:8">
      <c r="B369" s="310" t="str">
        <f>'analisa 2019'!A5775</f>
        <v>A.4.7.1.16 A</v>
      </c>
      <c r="C369" s="311" t="str">
        <f>'analisa 2019'!B5775</f>
        <v>1 m2 Mengecatan Bidang Besi dengan cat perak</v>
      </c>
      <c r="D369" s="312"/>
      <c r="E369" s="313">
        <f>'analisa 2019'!$G$5790</f>
        <v>68298.5</v>
      </c>
      <c r="G369" s="314">
        <v>62951</v>
      </c>
      <c r="H369" s="315">
        <f t="shared" si="6"/>
        <v>5347.5</v>
      </c>
    </row>
    <row r="370" spans="2:8">
      <c r="B370" s="310" t="str">
        <f>'analisa 2019'!A5792</f>
        <v>A.4.7.1.16 B</v>
      </c>
      <c r="C370" s="311" t="str">
        <f>'analisa 2019'!B5792</f>
        <v>1 m2 Pengecatan Tembok Luar Wheatershields</v>
      </c>
      <c r="D370" s="312"/>
      <c r="E370" s="313">
        <f>'analisa 2019'!$G$5807</f>
        <v>70196</v>
      </c>
      <c r="G370" s="314">
        <v>64848.5</v>
      </c>
      <c r="H370" s="315">
        <f t="shared" si="6"/>
        <v>5347.5</v>
      </c>
    </row>
    <row r="371" spans="2:8">
      <c r="B371" s="310" t="str">
        <f>'analisa 2019'!A5809</f>
        <v>A.4.7.1.17</v>
      </c>
      <c r="C371" s="311" t="str">
        <f>'analisa 2019'!B5809</f>
        <v>Pengecatan 1 m2 permukaan baja dengan menie besi dengan perancah</v>
      </c>
      <c r="D371" s="312"/>
      <c r="E371" s="313">
        <f>'analisa 2019'!$G$5825</f>
        <v>85726.75</v>
      </c>
      <c r="G371" s="333">
        <v>76607.25</v>
      </c>
      <c r="H371" s="315">
        <f t="shared" si="6"/>
        <v>9119.5</v>
      </c>
    </row>
    <row r="372" spans="2:8">
      <c r="B372" s="310" t="str">
        <f>'analisa 2019'!A5827</f>
        <v>A.4.7.1.18</v>
      </c>
      <c r="C372" s="311" t="str">
        <f>'analisa 2019'!B5827</f>
        <v>Pengecatan 1 m2 permukaan baja galvanis secara manual 4 lapis</v>
      </c>
      <c r="D372" s="312"/>
      <c r="E372" s="313">
        <f>'analisa 2019'!$G$5844</f>
        <v>91910.3</v>
      </c>
      <c r="G372" s="314">
        <v>82680.399999999994</v>
      </c>
      <c r="H372" s="315">
        <f t="shared" si="6"/>
        <v>9229.9000000000087</v>
      </c>
    </row>
    <row r="373" spans="2:8">
      <c r="B373" s="310" t="str">
        <f>'analisa 2019'!A5846</f>
        <v>A.4.7.1.19</v>
      </c>
      <c r="C373" s="318" t="str">
        <f>'analisa 2019'!B5846</f>
        <v>Pengecatan 1 m2  permukaan baja galvanis secara manual sistem 1 lapis cat mutakhir</v>
      </c>
      <c r="D373" s="312"/>
      <c r="E373" s="313">
        <f>'analisa 2019'!$G$5861</f>
        <v>44516.5</v>
      </c>
      <c r="G373" s="314">
        <v>42101.5</v>
      </c>
      <c r="H373" s="315">
        <f t="shared" si="6"/>
        <v>2415</v>
      </c>
    </row>
    <row r="374" spans="2:8">
      <c r="B374" s="310" t="str">
        <f>'analisa 2019'!A5863</f>
        <v>A.4.7.1.20</v>
      </c>
      <c r="C374" s="311" t="str">
        <f>'analisa 2019'!B5863</f>
        <v>Pengecatan 1 m2 permukaan baja galvanis secara manual sistem 3 lapis</v>
      </c>
      <c r="D374" s="312"/>
      <c r="E374" s="313">
        <f>'analisa 2019'!$G$5880</f>
        <v>215084.5</v>
      </c>
      <c r="G374" s="314">
        <v>189784.5</v>
      </c>
      <c r="H374" s="315">
        <f t="shared" si="6"/>
        <v>25300</v>
      </c>
    </row>
    <row r="375" spans="2:8">
      <c r="B375" s="310" t="str">
        <f>'analisa 2019'!A5882</f>
        <v>A.4.7.1.21</v>
      </c>
      <c r="C375" s="318" t="str">
        <f>'analisa 2019'!B5882</f>
        <v>Pengecatan 1 m2  permukaan baja galvanis secara semprot sistem 3 lapis cat mutakhir</v>
      </c>
      <c r="D375" s="312"/>
      <c r="E375" s="313">
        <f>'analisa 2019'!$G$5896</f>
        <v>190957.5</v>
      </c>
      <c r="G375" s="314">
        <v>168187.5</v>
      </c>
      <c r="H375" s="315">
        <f t="shared" si="6"/>
        <v>22770</v>
      </c>
    </row>
    <row r="376" spans="2:8">
      <c r="B376" s="310"/>
      <c r="C376" s="311"/>
      <c r="D376" s="312"/>
      <c r="E376" s="310"/>
      <c r="G376" s="314"/>
      <c r="H376" s="315">
        <f t="shared" si="6"/>
        <v>0</v>
      </c>
    </row>
    <row r="377" spans="2:8">
      <c r="B377" s="316" t="str">
        <f>'analisa 2019'!A5898</f>
        <v>A.5.1.1</v>
      </c>
      <c r="C377" s="317" t="str">
        <f>'analisa 2019'!B5898</f>
        <v>HARGA SATUAN PEKERJAAN SANITASI DALAM GEDUNG</v>
      </c>
      <c r="D377" s="312"/>
      <c r="E377" s="310"/>
      <c r="G377" s="314"/>
      <c r="H377" s="315">
        <f t="shared" si="6"/>
        <v>0</v>
      </c>
    </row>
    <row r="378" spans="2:8">
      <c r="B378" s="310" t="str">
        <f>'analisa 2019'!A5899</f>
        <v>A.5.1.1.1</v>
      </c>
      <c r="C378" s="311" t="str">
        <f>'analisa 2019'!B5899</f>
        <v>Pemasangan 1 buah closet duduk/monoblock</v>
      </c>
      <c r="D378" s="312"/>
      <c r="E378" s="313">
        <f>'analisa 2019'!$G$5913</f>
        <v>2450535</v>
      </c>
      <c r="G378" s="314">
        <v>2383375</v>
      </c>
      <c r="H378" s="315">
        <f t="shared" si="6"/>
        <v>67160</v>
      </c>
    </row>
    <row r="379" spans="2:8">
      <c r="B379" s="310" t="str">
        <f>'analisa 2019'!A5915</f>
        <v>A.5.1.1.1 A</v>
      </c>
      <c r="C379" s="311" t="str">
        <f>'analisa 2019'!B5915</f>
        <v>Pemasangan 1 buah closet duduk/monoblock setara TOTO</v>
      </c>
      <c r="D379" s="312"/>
      <c r="E379" s="313">
        <f>'analisa 2019'!$G$5929</f>
        <v>3730485</v>
      </c>
      <c r="G379" s="314">
        <v>3663325</v>
      </c>
      <c r="H379" s="315">
        <f t="shared" si="6"/>
        <v>67160</v>
      </c>
    </row>
    <row r="380" spans="2:8">
      <c r="B380" s="310" t="str">
        <f>'analisa 2019'!A5931</f>
        <v>A.5.1.1.2</v>
      </c>
      <c r="C380" s="311" t="str">
        <f>'analisa 2019'!B5931</f>
        <v>Pemasangan 1 buah closet jongkok porslen</v>
      </c>
      <c r="D380" s="312"/>
      <c r="E380" s="313">
        <f>'analisa 2019'!$G$5946</f>
        <v>598471.5</v>
      </c>
      <c r="G380" s="314">
        <v>542828.75</v>
      </c>
      <c r="H380" s="315">
        <f t="shared" si="6"/>
        <v>55642.75</v>
      </c>
    </row>
    <row r="381" spans="2:8">
      <c r="B381" s="310" t="str">
        <f>'analisa 2019'!A5948</f>
        <v>A.5.1.1.2 A</v>
      </c>
      <c r="C381" s="318" t="str">
        <f>'analisa 2019'!B5948</f>
        <v>Pemasangan 1 buah closet jongkok porslen Setara TOTO dengan flusher tanam</v>
      </c>
      <c r="D381" s="312"/>
      <c r="E381" s="313">
        <f>'analisa 2019'!$G$5963</f>
        <v>3208971.5</v>
      </c>
      <c r="G381" s="314">
        <v>3153328.75</v>
      </c>
      <c r="H381" s="315">
        <f t="shared" si="6"/>
        <v>55642.75</v>
      </c>
    </row>
    <row r="382" spans="2:8">
      <c r="B382" s="320" t="str">
        <f>'analisa 2019'!A5965</f>
        <v>A.5.1.1.2 B</v>
      </c>
      <c r="C382" s="593" t="str">
        <f>'analisa 2019'!B5965</f>
        <v>Pemasangan 1 buah closet jongkok porslen Setara TOTO standar</v>
      </c>
      <c r="D382" s="322"/>
      <c r="E382" s="323">
        <f>'analisa 2019'!$G$5980</f>
        <v>634121.5</v>
      </c>
      <c r="G382" s="314">
        <v>542828.75</v>
      </c>
      <c r="H382" s="315">
        <f t="shared" si="6"/>
        <v>91292.75</v>
      </c>
    </row>
    <row r="383" spans="2:8">
      <c r="B383" s="324" t="str">
        <f>'analisa 2019'!A5982</f>
        <v>A.5.1.1.4</v>
      </c>
      <c r="C383" s="325" t="str">
        <f>'analisa 2019'!B5982</f>
        <v>Pemasangan 1 buah urinoir</v>
      </c>
      <c r="D383" s="326"/>
      <c r="E383" s="327">
        <f>'analisa 2019'!$G$5998</f>
        <v>2867536.5</v>
      </c>
      <c r="G383" s="314">
        <v>2827073.75</v>
      </c>
      <c r="H383" s="315">
        <f t="shared" si="6"/>
        <v>40462.75</v>
      </c>
    </row>
    <row r="384" spans="2:8">
      <c r="B384" s="310" t="str">
        <f>'analisa 2019'!A6000</f>
        <v>A.5.1.1.5</v>
      </c>
      <c r="C384" s="311" t="str">
        <f>'analisa 2019'!B6000</f>
        <v>Pemasangan 1 buah wastafel</v>
      </c>
      <c r="D384" s="312"/>
      <c r="E384" s="313">
        <f>'analisa 2019'!$G$6016</f>
        <v>1331757.5</v>
      </c>
      <c r="G384" s="314">
        <v>1456811.95</v>
      </c>
      <c r="H384" s="315">
        <f t="shared" si="6"/>
        <v>-125054.44999999995</v>
      </c>
    </row>
    <row r="385" spans="2:8">
      <c r="B385" s="310" t="str">
        <f>'analisa 2019'!A6018</f>
        <v>A.5.1.1.5 A</v>
      </c>
      <c r="C385" s="311" t="str">
        <f>'analisa 2019'!B6018</f>
        <v>Pemasangan 1 buah wastafel Setara TOTO</v>
      </c>
      <c r="D385" s="312"/>
      <c r="E385" s="313">
        <f>'analisa 2019'!$G$6034</f>
        <v>1657621.5</v>
      </c>
      <c r="G385" s="314">
        <v>1847848.75</v>
      </c>
      <c r="H385" s="315">
        <f t="shared" si="6"/>
        <v>-190227.25</v>
      </c>
    </row>
    <row r="386" spans="2:8">
      <c r="B386" s="310" t="str">
        <f>'analisa 2019'!A6036</f>
        <v>A.5.1.1.6</v>
      </c>
      <c r="C386" s="311" t="str">
        <f>'analisa 2019'!B6036</f>
        <v>Pemasangan 1 buah bathcuip porselen</v>
      </c>
      <c r="D386" s="312"/>
      <c r="E386" s="313">
        <f>'analisa 2019'!$G$6050</f>
        <v>7043658</v>
      </c>
      <c r="G386" s="314">
        <v>7023751.5</v>
      </c>
      <c r="H386" s="315">
        <f t="shared" si="6"/>
        <v>19906.5</v>
      </c>
    </row>
    <row r="387" spans="2:8">
      <c r="B387" s="310" t="str">
        <f>'analisa 2019'!A6052</f>
        <v>A.5.1.1.7</v>
      </c>
      <c r="C387" s="311" t="str">
        <f>'analisa 2019'!B6052</f>
        <v>Pemasangan 1 buah bak fibreglass vol 0,3 m3</v>
      </c>
      <c r="D387" s="312"/>
      <c r="E387" s="313">
        <f>'analisa 2019'!$G$6066</f>
        <v>562177.5</v>
      </c>
      <c r="G387" s="314">
        <v>832853</v>
      </c>
      <c r="H387" s="315">
        <f t="shared" ref="H387:H446" si="7">E387-G387</f>
        <v>-270675.5</v>
      </c>
    </row>
    <row r="388" spans="2:8">
      <c r="B388" s="310" t="str">
        <f>'analisa 2019'!A6068</f>
        <v>A.5.1.1.8</v>
      </c>
      <c r="C388" s="311" t="str">
        <f>'analisa 2019'!B6068</f>
        <v>Pemasangan 1 buah bak mandi batu bata vol 0.30 m3</v>
      </c>
      <c r="D388" s="312"/>
      <c r="E388" s="313">
        <f>'analisa 2019'!$G$6085</f>
        <v>1891031.25</v>
      </c>
      <c r="G388" s="314">
        <v>1692052.5</v>
      </c>
      <c r="H388" s="315">
        <f t="shared" si="7"/>
        <v>198978.75</v>
      </c>
    </row>
    <row r="389" spans="2:8">
      <c r="B389" s="310" t="str">
        <f>'analisa 2019'!A6087</f>
        <v>A.5.1.1.10</v>
      </c>
      <c r="C389" s="311" t="str">
        <f>'analisa 2019'!B6087</f>
        <v>Pemasangan 1 buah bak air fibreglass vol 1 m3</v>
      </c>
      <c r="D389" s="312"/>
      <c r="E389" s="313">
        <f>'analisa 2019'!$G$6101</f>
        <v>562177.5</v>
      </c>
      <c r="G389" s="314">
        <v>994405</v>
      </c>
      <c r="H389" s="315">
        <f t="shared" si="7"/>
        <v>-432227.5</v>
      </c>
    </row>
    <row r="390" spans="2:8">
      <c r="B390" s="310" t="str">
        <f>'analisa 2019'!A6103</f>
        <v>A.5.1.1.11</v>
      </c>
      <c r="C390" s="311" t="str">
        <f>'analisa 2019'!B6103</f>
        <v>Pemasangan 1 buah bak beton volume 1 m3</v>
      </c>
      <c r="D390" s="312"/>
      <c r="E390" s="313">
        <f>'analisa 2019'!$G$6120</f>
        <v>12279233.5</v>
      </c>
      <c r="G390" s="314">
        <v>10173476.439999999</v>
      </c>
      <c r="H390" s="315">
        <f t="shared" si="7"/>
        <v>2105757.0600000005</v>
      </c>
    </row>
    <row r="391" spans="2:8">
      <c r="B391" s="310" t="str">
        <f>'analisa 2019'!A6122</f>
        <v>A.5.1.1.12</v>
      </c>
      <c r="C391" s="311" t="str">
        <f>'analisa 2019'!B6122</f>
        <v>Pemasangan 1 buah bak cuci piring stainlessteel</v>
      </c>
      <c r="D391" s="312"/>
      <c r="E391" s="313">
        <f>'analisa 2019'!$G$6136</f>
        <v>1002685</v>
      </c>
      <c r="G391" s="314">
        <v>994405</v>
      </c>
      <c r="H391" s="315">
        <f t="shared" si="7"/>
        <v>8280</v>
      </c>
    </row>
    <row r="392" spans="2:8">
      <c r="B392" s="310" t="str">
        <f>'analisa 2019'!A6138</f>
        <v>A.5.1.1.13</v>
      </c>
      <c r="C392" s="311" t="str">
        <f>'analisa 2019'!B6138</f>
        <v>Pemasangan 1 buah bak cuci piring teraso</v>
      </c>
      <c r="D392" s="312"/>
      <c r="E392" s="313">
        <f>'analisa 2019'!$G$6154</f>
        <v>1089970</v>
      </c>
      <c r="G392" s="314">
        <v>1067487.5</v>
      </c>
      <c r="H392" s="315">
        <f t="shared" si="7"/>
        <v>22482.5</v>
      </c>
    </row>
    <row r="393" spans="2:8">
      <c r="B393" s="310" t="str">
        <f>'analisa 2019'!A6156</f>
        <v>A.5.1.1.14</v>
      </c>
      <c r="C393" s="311" t="str">
        <f>'analisa 2019'!B6156</f>
        <v>Pemasangan 1 buah floor drain</v>
      </c>
      <c r="D393" s="312"/>
      <c r="E393" s="313">
        <f>'analisa 2019'!$G$6169</f>
        <v>53130</v>
      </c>
      <c r="G393" s="314">
        <v>50370</v>
      </c>
      <c r="H393" s="315">
        <f t="shared" si="7"/>
        <v>2760</v>
      </c>
    </row>
    <row r="394" spans="2:8">
      <c r="B394" s="310" t="str">
        <f>'analisa 2019'!A6171</f>
        <v>A.5.1.1.18</v>
      </c>
      <c r="C394" s="311" t="str">
        <f>'analisa 2019'!B6171</f>
        <v>Pemasangan 1 buah kran diameter ½” atau 3/4”</v>
      </c>
      <c r="D394" s="312"/>
      <c r="E394" s="313">
        <f>'analisa 2019'!$G$6185</f>
        <v>89585</v>
      </c>
      <c r="G394" s="314">
        <v>79235</v>
      </c>
      <c r="H394" s="315">
        <f t="shared" si="7"/>
        <v>10350</v>
      </c>
    </row>
    <row r="395" spans="2:8">
      <c r="B395" s="310" t="str">
        <f>'analisa 2019'!A6187</f>
        <v>A.5.1.1.18 A</v>
      </c>
      <c r="C395" s="311" t="str">
        <f>'analisa 2019'!B6187</f>
        <v>Pemasangan 1 buah Stop Kran  ½” atau 3/4”</v>
      </c>
      <c r="D395" s="312"/>
      <c r="E395" s="313">
        <f>'analisa 2019'!$G$6201</f>
        <v>99935</v>
      </c>
      <c r="G395" s="314">
        <v>89585</v>
      </c>
      <c r="H395" s="315">
        <f t="shared" si="7"/>
        <v>10350</v>
      </c>
    </row>
    <row r="396" spans="2:8">
      <c r="B396" s="310" t="str">
        <f>'analisa 2019'!$A$6203</f>
        <v>A.5.1.1.18 B</v>
      </c>
      <c r="C396" s="311" t="str">
        <f>'analisa 2019'!$B$6203</f>
        <v>Pemasangan 1 buah Jet Washer Shower Spray + Kran setara TOTO</v>
      </c>
      <c r="D396" s="312"/>
      <c r="E396" s="313">
        <f>'analisa 2019'!$G$6217</f>
        <v>820985</v>
      </c>
      <c r="G396" s="314"/>
      <c r="H396" s="315"/>
    </row>
    <row r="397" spans="2:8">
      <c r="B397" s="310" t="str">
        <f>'analisa 2019'!$A$6219</f>
        <v>A.5.1.1.18 C</v>
      </c>
      <c r="C397" s="311" t="str">
        <f>'analisa 2019'!$B$6219</f>
        <v>Pemasangan 1 buah Jet Washer Closet setara TOTO</v>
      </c>
      <c r="D397" s="312"/>
      <c r="E397" s="313">
        <f>'analisa 2019'!$G$6233</f>
        <v>378235</v>
      </c>
      <c r="G397" s="314"/>
      <c r="H397" s="315"/>
    </row>
    <row r="398" spans="2:8">
      <c r="B398" s="310" t="str">
        <f>'analisa 2019'!$A$6235</f>
        <v>A.5.1.1.19</v>
      </c>
      <c r="C398" s="311" t="str">
        <f>'analisa 2019'!$B$6235</f>
        <v>Pemasangan 1 m’ pipa galvanis diameter ½”</v>
      </c>
      <c r="D398" s="312"/>
      <c r="E398" s="313">
        <f>'analisa 2019'!$G$6249</f>
        <v>83110.5</v>
      </c>
      <c r="G398" s="314"/>
      <c r="H398" s="315"/>
    </row>
    <row r="399" spans="2:8">
      <c r="B399" s="310" t="str">
        <f>'analisa 2019'!A6251</f>
        <v>A.5.1.1.20</v>
      </c>
      <c r="C399" s="311" t="str">
        <f>'analisa 2019'!B6251</f>
        <v>Pemasangan 1 m’ pipa galvanis diameter 3/4”</v>
      </c>
      <c r="D399" s="312"/>
      <c r="E399" s="313">
        <f>'analisa 2019'!$G$6265</f>
        <v>101740.5</v>
      </c>
      <c r="G399" s="314">
        <v>98221.5</v>
      </c>
      <c r="H399" s="315">
        <f t="shared" si="7"/>
        <v>3519</v>
      </c>
    </row>
    <row r="400" spans="2:8">
      <c r="B400" s="310" t="str">
        <f>'analisa 2019'!A6267</f>
        <v>A.5.1.1.21</v>
      </c>
      <c r="C400" s="311" t="str">
        <f>'analisa 2019'!B6267</f>
        <v>Pemasangan 1 m’ pipa galvanis diameter 1”</v>
      </c>
      <c r="D400" s="312"/>
      <c r="E400" s="313">
        <f>'analisa 2019'!$G$6281</f>
        <v>120370.5</v>
      </c>
      <c r="G400" s="314">
        <v>116851.5</v>
      </c>
      <c r="H400" s="315">
        <f t="shared" si="7"/>
        <v>3519</v>
      </c>
    </row>
    <row r="401" spans="2:8">
      <c r="B401" s="310" t="str">
        <f>'analisa 2019'!A6283</f>
        <v>A.5.1.1.22</v>
      </c>
      <c r="C401" s="311" t="str">
        <f>'analisa 2019'!B6283</f>
        <v>Pemasangan 1 m’ pipa galvanis diameter 1 ½”</v>
      </c>
      <c r="D401" s="312"/>
      <c r="E401" s="313">
        <f>'analisa 2019'!$G$6297</f>
        <v>186277</v>
      </c>
      <c r="G401" s="314">
        <v>180366</v>
      </c>
      <c r="H401" s="315">
        <f t="shared" si="7"/>
        <v>5911</v>
      </c>
    </row>
    <row r="402" spans="2:8">
      <c r="B402" s="310" t="str">
        <f>'analisa 2019'!A6299</f>
        <v>A.5.1.1.23</v>
      </c>
      <c r="C402" s="311" t="str">
        <f>'analisa 2019'!B6299</f>
        <v>Pemasangan 1 m’ pipa galvanis diameter 3”</v>
      </c>
      <c r="D402" s="312"/>
      <c r="E402" s="313">
        <f>'analisa 2019'!$G$6313</f>
        <v>356477</v>
      </c>
      <c r="G402" s="314">
        <v>349059.5</v>
      </c>
      <c r="H402" s="315">
        <f t="shared" si="7"/>
        <v>7417.5</v>
      </c>
    </row>
    <row r="403" spans="2:8">
      <c r="B403" s="310" t="str">
        <f>'analisa 2019'!A6315</f>
        <v>A.5.1.1.24</v>
      </c>
      <c r="C403" s="311" t="str">
        <f>'analisa 2019'!B6315</f>
        <v>Pemasangan 1 m’ pipa galvanis diameter 4”</v>
      </c>
      <c r="D403" s="312"/>
      <c r="E403" s="313">
        <f>'analisa 2019'!$G$6329</f>
        <v>449627</v>
      </c>
      <c r="G403" s="314">
        <v>442209.5</v>
      </c>
      <c r="H403" s="315">
        <f t="shared" si="7"/>
        <v>7417.5</v>
      </c>
    </row>
    <row r="404" spans="2:8">
      <c r="B404" s="310" t="str">
        <f>'analisa 2019'!A6331</f>
        <v>A.5.1.1.25</v>
      </c>
      <c r="C404" s="311" t="str">
        <f>'analisa 2019'!B6331</f>
        <v>Pemasangan 1 m’ pipa PVC tipe AW diameter 1/2”</v>
      </c>
      <c r="D404" s="312"/>
      <c r="E404" s="313">
        <f>'analisa 2019'!$G$6345</f>
        <v>23023</v>
      </c>
      <c r="G404" s="314">
        <v>21045</v>
      </c>
      <c r="H404" s="315">
        <f t="shared" si="7"/>
        <v>1978</v>
      </c>
    </row>
    <row r="405" spans="2:8">
      <c r="B405" s="310" t="str">
        <f>'analisa 2019'!A6347</f>
        <v>A.5.1.1.26</v>
      </c>
      <c r="C405" s="311" t="str">
        <f>'analisa 2019'!B6347</f>
        <v>Pemasangan 1 m’ pipa PVC tipe AW diameter 3/4”</v>
      </c>
      <c r="D405" s="312"/>
      <c r="E405" s="313">
        <f>'analisa 2019'!$G$6361</f>
        <v>28612</v>
      </c>
      <c r="G405" s="314">
        <v>26634</v>
      </c>
      <c r="H405" s="315">
        <f t="shared" si="7"/>
        <v>1978</v>
      </c>
    </row>
    <row r="406" spans="2:8">
      <c r="B406" s="310" t="str">
        <f>'analisa 2019'!A6363</f>
        <v>A.5.1.1.27</v>
      </c>
      <c r="C406" s="311" t="str">
        <f>'analisa 2019'!B6363</f>
        <v>Pemasangan 1 m’ pipa PVC tipe AW diameter 1”</v>
      </c>
      <c r="D406" s="312"/>
      <c r="E406" s="313">
        <f>'analisa 2019'!$G$6377</f>
        <v>32338</v>
      </c>
      <c r="G406" s="314">
        <v>30360</v>
      </c>
      <c r="H406" s="315">
        <f t="shared" si="7"/>
        <v>1978</v>
      </c>
    </row>
    <row r="407" spans="2:8">
      <c r="B407" s="310" t="str">
        <f>'analisa 2019'!A6379</f>
        <v>A.5.1.1.28</v>
      </c>
      <c r="C407" s="311" t="str">
        <f>'analisa 2019'!B6379</f>
        <v>Pemasangan 1 m’ pipa PVC tipe AW diameter 11/2”</v>
      </c>
      <c r="D407" s="312"/>
      <c r="E407" s="313">
        <f>'analisa 2019'!$G$6393</f>
        <v>45712.5</v>
      </c>
      <c r="G407" s="314">
        <v>42745.5</v>
      </c>
      <c r="H407" s="315">
        <f t="shared" si="7"/>
        <v>2967</v>
      </c>
    </row>
    <row r="408" spans="2:8">
      <c r="B408" s="310" t="str">
        <f>'analisa 2019'!A6395</f>
        <v>A.5.1.1.29</v>
      </c>
      <c r="C408" s="311" t="str">
        <f>'analisa 2019'!B6395</f>
        <v>Pemasangan 1 m’ pipa PVC tipe AW diameter 2”</v>
      </c>
      <c r="D408" s="312"/>
      <c r="E408" s="313">
        <f>'analisa 2019'!$G$6409</f>
        <v>53164.5</v>
      </c>
      <c r="G408" s="314">
        <v>50197.5</v>
      </c>
      <c r="H408" s="315">
        <f t="shared" si="7"/>
        <v>2967</v>
      </c>
    </row>
    <row r="409" spans="2:8">
      <c r="B409" s="310" t="str">
        <f>'analisa 2019'!A6411</f>
        <v>A.5.1.1.30</v>
      </c>
      <c r="C409" s="311" t="str">
        <f>'analisa 2019'!B6411</f>
        <v>Pemasangan 1 m’ pipa PVC tipe AW diameter 21/2”</v>
      </c>
      <c r="D409" s="312"/>
      <c r="E409" s="313">
        <f>'analisa 2019'!$G$6425</f>
        <v>72214.25</v>
      </c>
      <c r="G409" s="333">
        <v>67775.25</v>
      </c>
      <c r="H409" s="315">
        <f t="shared" si="7"/>
        <v>4439</v>
      </c>
    </row>
    <row r="410" spans="2:8">
      <c r="B410" s="310" t="str">
        <f>'analisa 2019'!A6427</f>
        <v>A.5.1.1.31</v>
      </c>
      <c r="C410" s="311" t="str">
        <f>'analisa 2019'!B6427</f>
        <v>Pemasangan 1 m’ pipa PVC tipe AW diameter 3”</v>
      </c>
      <c r="D410" s="312"/>
      <c r="E410" s="313">
        <f>'analisa 2019'!$G$6441</f>
        <v>81529.25</v>
      </c>
      <c r="G410" s="314">
        <v>77090.25</v>
      </c>
      <c r="H410" s="315">
        <f t="shared" si="7"/>
        <v>4439</v>
      </c>
    </row>
    <row r="411" spans="2:8">
      <c r="B411" s="310" t="str">
        <f>'analisa 2019'!A6443</f>
        <v>A.5.1.1.32</v>
      </c>
      <c r="C411" s="311" t="str">
        <f>'analisa 2019'!B6443</f>
        <v>Pemasangan 1 m’ pipa PVC tipe AW diameter 4”</v>
      </c>
      <c r="D411" s="312"/>
      <c r="E411" s="313">
        <f>'analisa 2019'!$G$6457</f>
        <v>100159.25</v>
      </c>
      <c r="G411" s="314">
        <v>95720.25</v>
      </c>
      <c r="H411" s="315">
        <f t="shared" si="7"/>
        <v>4439</v>
      </c>
    </row>
    <row r="412" spans="2:8">
      <c r="B412" s="310" t="str">
        <f>'analisa 2019'!A6459</f>
        <v>A.5.1.1.32 A</v>
      </c>
      <c r="C412" s="311" t="str">
        <f>'analisa 2019'!B6459</f>
        <v>Pemasangan 1 m’  Instalasi pipa air bersih GIP 3/4"</v>
      </c>
      <c r="D412" s="312"/>
      <c r="E412" s="313">
        <f>'analisa 2019'!$G$6473</f>
        <v>109474.25</v>
      </c>
      <c r="G412" s="314">
        <v>105035.25</v>
      </c>
      <c r="H412" s="315">
        <f t="shared" si="7"/>
        <v>4439</v>
      </c>
    </row>
    <row r="413" spans="2:8">
      <c r="B413" s="310" t="str">
        <f>'analisa 2019'!A6475</f>
        <v>A.5.1.1.32 B</v>
      </c>
      <c r="C413" s="311" t="str">
        <f>'analisa 2019'!B6475</f>
        <v>Pemasangan 1 m’  Instalasi pipa air bersih GIP 1"</v>
      </c>
      <c r="D413" s="312"/>
      <c r="E413" s="313">
        <f>'analisa 2019'!$G$6489</f>
        <v>128104.25</v>
      </c>
      <c r="G413" s="314">
        <v>123665.25</v>
      </c>
      <c r="H413" s="315">
        <f t="shared" si="7"/>
        <v>4439</v>
      </c>
    </row>
    <row r="414" spans="2:8">
      <c r="B414" s="310" t="str">
        <f>'analisa 2019'!A6491</f>
        <v>A.5.1.1.32 C</v>
      </c>
      <c r="C414" s="311" t="str">
        <f>'analisa 2019'!B6491</f>
        <v>Memasang 1 m' Riol uk. Ø 150 mm</v>
      </c>
      <c r="D414" s="312"/>
      <c r="E414" s="313">
        <f>'analisa 2019'!$G$6506</f>
        <v>91791.74</v>
      </c>
      <c r="G414" s="314">
        <v>84472.39</v>
      </c>
      <c r="H414" s="315">
        <f t="shared" si="7"/>
        <v>7319.3500000000058</v>
      </c>
    </row>
    <row r="415" spans="2:8">
      <c r="B415" s="310" t="str">
        <f>'analisa 2019'!A6508</f>
        <v>A.5.1.1.32 D</v>
      </c>
      <c r="C415" s="311" t="str">
        <f>'analisa 2019'!B6508</f>
        <v>Memasang 1 m' Riol uk. Ø 200 mm</v>
      </c>
      <c r="D415" s="312"/>
      <c r="E415" s="313">
        <f>'analisa 2019'!$G$6523</f>
        <v>128246.74</v>
      </c>
      <c r="G415" s="314">
        <v>104022.39</v>
      </c>
      <c r="H415" s="315">
        <f t="shared" si="7"/>
        <v>24224.350000000006</v>
      </c>
    </row>
    <row r="416" spans="2:8">
      <c r="B416" s="310" t="str">
        <f>'analisa 2019'!A6525</f>
        <v>A.5.1.1.32 E</v>
      </c>
      <c r="C416" s="311" t="str">
        <f>'analisa 2019'!B6525</f>
        <v>Memasang 1 m' Riol uk. Ø 300 mm</v>
      </c>
      <c r="D416" s="312"/>
      <c r="E416" s="313">
        <f>'analisa 2019'!$G$6540</f>
        <v>162746.74</v>
      </c>
      <c r="G416" s="314">
        <v>122422.39</v>
      </c>
      <c r="H416" s="315">
        <f t="shared" si="7"/>
        <v>40324.349999999991</v>
      </c>
    </row>
    <row r="417" spans="2:8">
      <c r="B417" s="310" t="str">
        <f>'analisa 2019'!A6542</f>
        <v>A.5.1.1.32 F</v>
      </c>
      <c r="C417" s="311" t="str">
        <f>'analisa 2019'!B6542</f>
        <v>Memasang 1 m' Riol uk. Ø 400 mm</v>
      </c>
      <c r="D417" s="312"/>
      <c r="E417" s="313">
        <f>'analisa 2019'!$G$6557</f>
        <v>269539.07</v>
      </c>
      <c r="G417" s="333">
        <v>234887.5</v>
      </c>
      <c r="H417" s="315">
        <f t="shared" si="7"/>
        <v>34651.570000000007</v>
      </c>
    </row>
    <row r="418" spans="2:8">
      <c r="B418" s="310" t="str">
        <f>'analisa 2019'!A6559</f>
        <v>A.5.1.1.32 G</v>
      </c>
      <c r="C418" s="311" t="str">
        <f>'analisa 2019'!B6559</f>
        <v>Memasang 1 m' Riol uk. Ø 500 mm</v>
      </c>
      <c r="D418" s="312"/>
      <c r="E418" s="313">
        <f>'analisa 2019'!$G$6574</f>
        <v>277431.40999999997</v>
      </c>
      <c r="G418" s="314">
        <v>250752.61</v>
      </c>
      <c r="H418" s="315">
        <f t="shared" si="7"/>
        <v>26678.799999999988</v>
      </c>
    </row>
    <row r="419" spans="2:8">
      <c r="B419" s="310" t="str">
        <f>'analisa 2019'!A6576</f>
        <v>A.5.1.1.32 H</v>
      </c>
      <c r="C419" s="311" t="str">
        <f>'analisa 2019'!B6576</f>
        <v>Memasang 1 m' Riol uk. Ø 600 mm</v>
      </c>
      <c r="D419" s="312"/>
      <c r="E419" s="313">
        <f>'analisa 2019'!$G$6591</f>
        <v>360073.74</v>
      </c>
      <c r="G419" s="314">
        <v>322392.73</v>
      </c>
      <c r="H419" s="315">
        <f t="shared" si="7"/>
        <v>37681.010000000009</v>
      </c>
    </row>
    <row r="420" spans="2:8">
      <c r="B420" s="310" t="str">
        <f>'analisa 2019'!A6593</f>
        <v>A.5.1.1.32 I</v>
      </c>
      <c r="C420" s="311" t="str">
        <f>'analisa 2019'!B6593</f>
        <v>Memasang 1 m' Riol uk. Ø 800 mm</v>
      </c>
      <c r="D420" s="312"/>
      <c r="E420" s="313">
        <f>'analisa 2019'!$G$6608</f>
        <v>683483.41</v>
      </c>
      <c r="G420" s="314">
        <v>433472.95</v>
      </c>
      <c r="H420" s="315">
        <f t="shared" si="7"/>
        <v>250010.46000000002</v>
      </c>
    </row>
    <row r="421" spans="2:8">
      <c r="B421" s="310" t="str">
        <f>'analisa 2019'!A6610</f>
        <v>A.5.1.1.32 J</v>
      </c>
      <c r="C421" s="311" t="str">
        <f>'analisa 2019'!B6610</f>
        <v>Memasang 1 m' Riol uk. Ø 1000 mm</v>
      </c>
      <c r="D421" s="312"/>
      <c r="E421" s="313">
        <f>'analisa 2019'!$G$6625</f>
        <v>810818.08</v>
      </c>
      <c r="G421" s="314">
        <v>507753.18</v>
      </c>
      <c r="H421" s="315">
        <f t="shared" si="7"/>
        <v>303064.89999999997</v>
      </c>
    </row>
    <row r="422" spans="2:8">
      <c r="B422" s="310" t="str">
        <f>'analisa 2019'!A6627</f>
        <v>A.5.1.1.32 K</v>
      </c>
      <c r="C422" s="311" t="str">
        <f>'analisa 2019'!B6627</f>
        <v>Memasang 1 m' Riol uk. 1/2 Ø 150 mm</v>
      </c>
      <c r="D422" s="312"/>
      <c r="E422" s="313">
        <f>'analisa 2019'!$G$6642</f>
        <v>99496.74</v>
      </c>
      <c r="G422" s="314">
        <v>86772.39</v>
      </c>
      <c r="H422" s="315">
        <f t="shared" si="7"/>
        <v>12724.350000000006</v>
      </c>
    </row>
    <row r="423" spans="2:8">
      <c r="B423" s="310" t="str">
        <f>'analisa 2019'!A6644</f>
        <v>A.5.1.1.32 L</v>
      </c>
      <c r="C423" s="311" t="str">
        <f>'analisa 2019'!B6644</f>
        <v>Memasang 1 m' Riol uk. 1/2 Ø 200 mm</v>
      </c>
      <c r="D423" s="312"/>
      <c r="E423" s="313">
        <f>'analisa 2019'!H6659</f>
        <v>105246.73499999999</v>
      </c>
      <c r="G423" s="314">
        <v>89072.39</v>
      </c>
      <c r="H423" s="315">
        <f t="shared" si="7"/>
        <v>16174.344999999987</v>
      </c>
    </row>
    <row r="424" spans="2:8">
      <c r="B424" s="310" t="str">
        <f>'analisa 2019'!A6661</f>
        <v>A.5.1.1.32 M</v>
      </c>
      <c r="C424" s="334" t="str">
        <f>'analisa 2019'!B6661</f>
        <v>Memasang 1 m' Riol uk. 1/2 Ø 300 mm</v>
      </c>
      <c r="D424" s="335"/>
      <c r="E424" s="313">
        <f>'analisa 2019'!$G$6676</f>
        <v>128246.74</v>
      </c>
      <c r="G424" s="314">
        <v>95972.39</v>
      </c>
      <c r="H424" s="315">
        <f t="shared" si="7"/>
        <v>32274.350000000006</v>
      </c>
    </row>
    <row r="425" spans="2:8">
      <c r="B425" s="310" t="str">
        <f>'analisa 2019'!A6678</f>
        <v>A.5.1.1.33</v>
      </c>
      <c r="C425" s="336" t="str">
        <f>'analisa 2019'!B6678</f>
        <v>Pemasangan 1 m’ pipa air limbah jenis pipa tanah  Ǿ 20 cm</v>
      </c>
      <c r="D425" s="335"/>
      <c r="E425" s="313">
        <f>'analisa 2019'!$G$6694</f>
        <v>916170.5</v>
      </c>
      <c r="G425" s="314">
        <v>900038.88</v>
      </c>
      <c r="H425" s="315">
        <f t="shared" si="7"/>
        <v>16131.619999999995</v>
      </c>
    </row>
    <row r="426" spans="2:8">
      <c r="B426" s="310" t="str">
        <f>'analisa 2019'!A6696</f>
        <v>A.5.1.1.34</v>
      </c>
      <c r="C426" s="334" t="str">
        <f>'analisa 2019'!B6696</f>
        <v>Pemasangan 1 m' pipa air limbah jenis pipa tanah Ø15 cm</v>
      </c>
      <c r="D426" s="335"/>
      <c r="E426" s="313">
        <f>'analisa 2019'!$G$6712</f>
        <v>570922.68000000005</v>
      </c>
      <c r="G426" s="314">
        <v>568692.82999999996</v>
      </c>
      <c r="H426" s="315">
        <f t="shared" si="7"/>
        <v>2229.8500000000931</v>
      </c>
    </row>
    <row r="427" spans="2:8">
      <c r="B427" s="310"/>
      <c r="C427" s="334"/>
      <c r="D427" s="335"/>
      <c r="E427" s="313"/>
      <c r="G427" s="333"/>
      <c r="H427" s="315">
        <f t="shared" si="7"/>
        <v>0</v>
      </c>
    </row>
    <row r="428" spans="2:8" s="342" customFormat="1">
      <c r="B428" s="316" t="str">
        <f>'analisa 2019'!A6714</f>
        <v>A.8.4.1</v>
      </c>
      <c r="C428" s="339" t="str">
        <f>'analisa 2019'!B6714</f>
        <v>HARGA SATUAN PEKERJAAN PEMASANGAN PIPA</v>
      </c>
      <c r="D428" s="340"/>
      <c r="E428" s="341"/>
      <c r="G428" s="314"/>
      <c r="H428" s="315">
        <f t="shared" si="7"/>
        <v>0</v>
      </c>
    </row>
    <row r="429" spans="2:8">
      <c r="B429" s="310" t="str">
        <f>'analisa 2019'!A6715</f>
        <v>A.8.4.1.1</v>
      </c>
      <c r="C429" s="334" t="str">
        <f>'analisa 2019'!B6715</f>
        <v>Pemasangan 1 m pipa PVC Ø 63 mm (Air Minum)</v>
      </c>
      <c r="D429" s="335"/>
      <c r="E429" s="313">
        <f>'analisa 2019'!$G$6732</f>
        <v>72792.47</v>
      </c>
      <c r="G429" s="314">
        <v>63085.55</v>
      </c>
      <c r="H429" s="315">
        <f t="shared" si="7"/>
        <v>9706.9199999999983</v>
      </c>
    </row>
    <row r="430" spans="2:8">
      <c r="B430" s="310" t="str">
        <f>'analisa 2019'!A6734</f>
        <v>A.8.4.1.2</v>
      </c>
      <c r="C430" s="334" t="str">
        <f>'analisa 2019'!B6734</f>
        <v>Pemasangan 1 m pipa PVC Ø 90 mm (Air Minum)</v>
      </c>
      <c r="D430" s="335"/>
      <c r="E430" s="313">
        <f>'analisa 2019'!$G$6751</f>
        <v>126872.83</v>
      </c>
      <c r="G430" s="314">
        <v>108786.55</v>
      </c>
      <c r="H430" s="315">
        <f t="shared" si="7"/>
        <v>18086.28</v>
      </c>
    </row>
    <row r="431" spans="2:8">
      <c r="B431" s="310" t="str">
        <f>'analisa 2019'!A6753</f>
        <v>A.8.4.1.3</v>
      </c>
      <c r="C431" s="334" t="str">
        <f>'analisa 2019'!B6753</f>
        <v>Pemasangan 1 m pipa PVC Ø 110 mm (Air minum)</v>
      </c>
      <c r="D431" s="335"/>
      <c r="E431" s="313">
        <f>'analisa 2019'!$G$6770</f>
        <v>173210.01</v>
      </c>
      <c r="G431" s="314">
        <v>147540.4</v>
      </c>
      <c r="H431" s="315">
        <f t="shared" si="7"/>
        <v>25669.610000000015</v>
      </c>
    </row>
    <row r="432" spans="2:8">
      <c r="B432" s="310" t="str">
        <f>'analisa 2019'!A6772</f>
        <v>A.8.4.1.4</v>
      </c>
      <c r="C432" s="334" t="str">
        <f>'analisa 2019'!B6772</f>
        <v>Pemasangan 1 m pipa PVC Ø 160 mm (Air minum)</v>
      </c>
      <c r="D432" s="335"/>
      <c r="E432" s="313">
        <f>'analisa 2019'!$G$6789</f>
        <v>334133.19</v>
      </c>
      <c r="G432" s="314">
        <v>282181.25</v>
      </c>
      <c r="H432" s="315">
        <f t="shared" si="7"/>
        <v>51951.94</v>
      </c>
    </row>
    <row r="433" spans="2:8">
      <c r="B433" s="310" t="str">
        <f>'analisa 2019'!A6791</f>
        <v>A.8.4.1.5</v>
      </c>
      <c r="C433" s="334" t="str">
        <f>'analisa 2019'!B6791</f>
        <v>Pemasangan 1 m pipa PVC Ø 200 mm (Air minum)</v>
      </c>
      <c r="D433" s="335"/>
      <c r="E433" s="313">
        <f>'analisa 2019'!$G$6808</f>
        <v>516565.05</v>
      </c>
      <c r="G433" s="314">
        <v>435648.75</v>
      </c>
      <c r="H433" s="315">
        <f t="shared" si="7"/>
        <v>80916.299999999988</v>
      </c>
    </row>
    <row r="434" spans="2:8">
      <c r="B434" s="310" t="str">
        <f>'analisa 2019'!A6810</f>
        <v>A.8.4.1.6</v>
      </c>
      <c r="C434" s="334" t="str">
        <f>'analisa 2019'!B6810</f>
        <v>Pemasangan 1 m pipa PVC Ø 250 mm (Air minum)</v>
      </c>
      <c r="D434" s="335"/>
      <c r="E434" s="313">
        <f>'analisa 2019'!$G$6827</f>
        <v>799800.16</v>
      </c>
      <c r="G434" s="314">
        <v>672492.4</v>
      </c>
      <c r="H434" s="315">
        <f t="shared" si="7"/>
        <v>127307.76000000001</v>
      </c>
    </row>
    <row r="435" spans="2:8">
      <c r="B435" s="310" t="str">
        <f>'analisa 2019'!A6829</f>
        <v>A.8.4.1.7</v>
      </c>
      <c r="C435" s="334" t="str">
        <f>'analisa 2019'!B6829</f>
        <v>Pemasangan 1 m pipa PVC Ø 300 mm (Air minum)</v>
      </c>
      <c r="D435" s="335"/>
      <c r="E435" s="313">
        <f>'analisa 2019'!$G$6846</f>
        <v>1242517.27</v>
      </c>
      <c r="G435" s="314">
        <v>1041882.75</v>
      </c>
      <c r="H435" s="315">
        <f t="shared" si="7"/>
        <v>200634.52000000002</v>
      </c>
    </row>
    <row r="436" spans="2:8">
      <c r="B436" s="310" t="str">
        <f>'analisa 2019'!A6848</f>
        <v>A.8.4.1.3 L</v>
      </c>
      <c r="C436" s="334" t="str">
        <f>'analisa 2019'!B6848</f>
        <v>Pemasangan 1 m pipa PVC Ø 4" (Air limbah)</v>
      </c>
      <c r="D436" s="335"/>
      <c r="E436" s="313">
        <f>'analisa 2019'!$G$6865</f>
        <v>158858.01</v>
      </c>
      <c r="G436" s="314">
        <v>135580.4</v>
      </c>
      <c r="H436" s="315">
        <f t="shared" si="7"/>
        <v>23277.610000000015</v>
      </c>
    </row>
    <row r="437" spans="2:8">
      <c r="B437" s="310" t="str">
        <f>'analisa 2019'!A6867</f>
        <v>A.8.4.1.4 L</v>
      </c>
      <c r="C437" s="334" t="str">
        <f>'analisa 2019'!B6867</f>
        <v>Pemasangan 1 m pipa PVC Ø 6" (Air limbah)</v>
      </c>
      <c r="D437" s="335"/>
      <c r="E437" s="313">
        <f>'analisa 2019'!$G$6884</f>
        <v>264719.19</v>
      </c>
      <c r="G437" s="314">
        <v>224336.25</v>
      </c>
      <c r="H437" s="315">
        <f t="shared" si="7"/>
        <v>40382.94</v>
      </c>
    </row>
    <row r="438" spans="2:8">
      <c r="B438" s="310" t="str">
        <f>'analisa 2019'!A6886</f>
        <v>A.8.4.1.5 L</v>
      </c>
      <c r="C438" s="334" t="str">
        <f>'analisa 2019'!B6886</f>
        <v>Pemasngan 1 m pipa PVC Ø 8" (Air limbah)</v>
      </c>
      <c r="D438" s="335"/>
      <c r="E438" s="313">
        <f>'analisa 2019'!$G$6903</f>
        <v>413801.05</v>
      </c>
      <c r="G438" s="314">
        <v>351928.75</v>
      </c>
      <c r="H438" s="315">
        <f t="shared" si="7"/>
        <v>61872.299999999988</v>
      </c>
    </row>
    <row r="439" spans="2:8">
      <c r="B439" s="310" t="str">
        <f>'analisa 2019'!A6905</f>
        <v>A.8.4.1.6 L</v>
      </c>
      <c r="C439" s="334" t="str">
        <f>'analisa 2019'!B6905</f>
        <v>Pemasangan 1 m pipa PVC Ø 10" (Air limbah)</v>
      </c>
      <c r="D439" s="335"/>
      <c r="E439" s="313">
        <f>'analisa 2019'!$G$6922</f>
        <v>654164.16</v>
      </c>
      <c r="G439" s="314">
        <v>557837.4</v>
      </c>
      <c r="H439" s="315">
        <f t="shared" si="7"/>
        <v>96326.760000000009</v>
      </c>
    </row>
    <row r="440" spans="2:8">
      <c r="B440" s="310" t="str">
        <f>'analisa 2019'!A6924</f>
        <v>A.8.4.1.7 L</v>
      </c>
      <c r="C440" s="334" t="str">
        <f>'analisa 2019'!B6924</f>
        <v>Pemasangan 1 m pipa PVC Ø 12" (Air limbah)</v>
      </c>
      <c r="D440" s="335"/>
      <c r="E440" s="313">
        <f>'analisa 2019'!$G$6941</f>
        <v>1028249.27</v>
      </c>
      <c r="G440" s="314">
        <v>879617.75</v>
      </c>
      <c r="H440" s="315">
        <f t="shared" si="7"/>
        <v>148631.52000000002</v>
      </c>
    </row>
    <row r="441" spans="2:8">
      <c r="B441" s="310" t="str">
        <f>'analisa 2019'!A6943</f>
        <v>A.8.4.1.17</v>
      </c>
      <c r="C441" s="334" t="str">
        <f>'analisa 2019'!B6943</f>
        <v>Pemasangan 1 m pipa HDPE Ø 2"</v>
      </c>
      <c r="D441" s="335"/>
      <c r="E441" s="313">
        <f>'analisa 2019'!$G$6959</f>
        <v>76365.75</v>
      </c>
      <c r="G441" s="314">
        <v>64539.15</v>
      </c>
      <c r="H441" s="315">
        <f t="shared" si="7"/>
        <v>11826.599999999999</v>
      </c>
    </row>
    <row r="442" spans="2:8">
      <c r="B442" s="310" t="str">
        <f>'analisa 2019'!A6961</f>
        <v>A.8.4.1.18</v>
      </c>
      <c r="C442" s="334" t="str">
        <f>'analisa 2019'!B6961</f>
        <v>Pemasangan 1 m pipa HDPE Ø 3"</v>
      </c>
      <c r="D442" s="335"/>
      <c r="E442" s="313">
        <f>'analisa 2019'!$G$6977</f>
        <v>145038</v>
      </c>
      <c r="G442" s="314">
        <v>121831</v>
      </c>
      <c r="H442" s="315">
        <f t="shared" si="7"/>
        <v>23207</v>
      </c>
    </row>
    <row r="443" spans="2:8">
      <c r="B443" s="310" t="str">
        <f>'analisa 2019'!A6979</f>
        <v>A.8.4.1.19</v>
      </c>
      <c r="C443" s="334" t="str">
        <f>'analisa 2019'!B6979</f>
        <v>Pemasangan 1 m pipa HDPE Ø 4"</v>
      </c>
      <c r="D443" s="335"/>
      <c r="E443" s="313">
        <f>'analisa 2019'!$G$6995</f>
        <v>211916.25</v>
      </c>
      <c r="G443" s="314">
        <v>177627.85</v>
      </c>
      <c r="H443" s="315">
        <f t="shared" si="7"/>
        <v>34288.399999999994</v>
      </c>
    </row>
    <row r="444" spans="2:8">
      <c r="B444" s="310" t="str">
        <f>'analisa 2019'!A6997</f>
        <v>A.8.4.1.20</v>
      </c>
      <c r="C444" s="334" t="str">
        <f>'analisa 2019'!B6997</f>
        <v>Pemasangan 1 m pipa HDPE Ø 6"</v>
      </c>
      <c r="D444" s="335"/>
      <c r="E444" s="313">
        <f>'analisa 2019'!$G$7013</f>
        <v>432060.75</v>
      </c>
      <c r="G444" s="314">
        <v>361379.45</v>
      </c>
      <c r="H444" s="315">
        <f t="shared" si="7"/>
        <v>70681.299999999988</v>
      </c>
    </row>
    <row r="445" spans="2:8">
      <c r="B445" s="320"/>
      <c r="C445" s="343"/>
      <c r="D445" s="344"/>
      <c r="E445" s="323"/>
      <c r="G445" s="314"/>
      <c r="H445" s="315">
        <f t="shared" si="7"/>
        <v>0</v>
      </c>
    </row>
    <row r="446" spans="2:8" s="342" customFormat="1">
      <c r="B446" s="591" t="str">
        <f>'analisa 2019'!A7015</f>
        <v>A.8.4.3</v>
      </c>
      <c r="C446" s="594" t="str">
        <f>'analisa 2019'!B7015</f>
        <v xml:space="preserve"> HARGA SATUAN PEKERJAAN PEMASANGAN AKSESORIS PIPA AIR MINUM</v>
      </c>
      <c r="D446" s="595"/>
      <c r="E446" s="596"/>
      <c r="G446" s="314"/>
      <c r="H446" s="315">
        <f t="shared" si="7"/>
        <v>0</v>
      </c>
    </row>
    <row r="447" spans="2:8">
      <c r="B447" s="310" t="str">
        <f>'analisa 2019'!A7016</f>
        <v>A.8.4.3.1-1</v>
      </c>
      <c r="C447" s="334" t="str">
        <f>'analisa 2019'!B7016</f>
        <v>Pemasangan 1 buah Valve Ø 3" + 2 buah Flange socket Ø3"</v>
      </c>
      <c r="D447" s="335"/>
      <c r="E447" s="313">
        <f>'analisa 2019'!$G$7033</f>
        <v>2727840.25</v>
      </c>
      <c r="G447" s="314">
        <v>2300178.25</v>
      </c>
      <c r="H447" s="315">
        <f t="shared" ref="H447:H512" si="8">E447-G447</f>
        <v>427662</v>
      </c>
    </row>
    <row r="448" spans="2:8">
      <c r="B448" s="310" t="str">
        <f>'analisa 2019'!A7035</f>
        <v>A.8.4.3.1-2</v>
      </c>
      <c r="C448" s="334" t="str">
        <f>'analisa 2019'!B7035</f>
        <v>Pemasangan 1 buah Valve Ø 4" + 2 buah Flange socket Ø4"</v>
      </c>
      <c r="D448" s="335"/>
      <c r="E448" s="313">
        <f>'analisa 2019'!$G$7052</f>
        <v>3439920.25</v>
      </c>
      <c r="G448" s="314">
        <v>2893578.25</v>
      </c>
      <c r="H448" s="315">
        <f t="shared" si="8"/>
        <v>546342</v>
      </c>
    </row>
    <row r="449" spans="2:8">
      <c r="B449" s="310" t="str">
        <f>'analisa 2019'!A7054</f>
        <v>A.8.4.3.1</v>
      </c>
      <c r="C449" s="334" t="str">
        <f>'analisa 2019'!B7054</f>
        <v>Pemasangan 1 buah Valve Ø 6" + 2 buah Flange socket Ø6"</v>
      </c>
      <c r="D449" s="335"/>
      <c r="E449" s="313">
        <f>'analisa 2019'!$G$7071</f>
        <v>6709140.25</v>
      </c>
      <c r="G449" s="314">
        <v>5617928.25</v>
      </c>
      <c r="H449" s="315">
        <f t="shared" si="8"/>
        <v>1091212</v>
      </c>
    </row>
    <row r="450" spans="2:8">
      <c r="B450" s="310" t="str">
        <f>'analisa 2019'!A7073</f>
        <v>A.8.4.3.2</v>
      </c>
      <c r="C450" s="334" t="str">
        <f>'analisa 2019'!B7073</f>
        <v>Pemasangan 1 buah Valve Ø 8" + 2 buah Flange socket Ø8"</v>
      </c>
      <c r="D450" s="335"/>
      <c r="E450" s="313">
        <f>'analisa 2019'!$G$7090</f>
        <v>12242112.25</v>
      </c>
      <c r="G450" s="314">
        <v>10241786.15</v>
      </c>
      <c r="H450" s="315">
        <f t="shared" si="8"/>
        <v>2000326.0999999996</v>
      </c>
    </row>
    <row r="451" spans="2:8">
      <c r="B451" s="310" t="str">
        <f>'analisa 2019'!A7092</f>
        <v>A.8.4.3.3</v>
      </c>
      <c r="C451" s="334" t="str">
        <f>'analisa 2019'!B7092</f>
        <v>Pemasangan 1 buah Valve Ø 10" + 2 buah Flange socket Ø10"</v>
      </c>
      <c r="D451" s="335"/>
      <c r="E451" s="313">
        <f>'analisa 2019'!$G$7109</f>
        <v>22951832.25</v>
      </c>
      <c r="G451" s="314">
        <v>19170386.149999999</v>
      </c>
      <c r="H451" s="315">
        <f t="shared" si="8"/>
        <v>3781446.1000000015</v>
      </c>
    </row>
    <row r="452" spans="2:8">
      <c r="B452" s="310" t="str">
        <f>'analisa 2019'!A7111</f>
        <v>A.8.4.3.4</v>
      </c>
      <c r="C452" s="334" t="str">
        <f>'analisa 2019'!B7111</f>
        <v>Pemasangan 1 buah Valve Ø 12" + 2 buah Flange socket Ø12"</v>
      </c>
      <c r="D452" s="335"/>
      <c r="E452" s="313">
        <f>'analisa 2019'!G7128</f>
        <v>28462172.25</v>
      </c>
      <c r="G452" s="314">
        <v>23768086.149999999</v>
      </c>
      <c r="H452" s="315">
        <f t="shared" si="8"/>
        <v>4694086.1000000015</v>
      </c>
    </row>
    <row r="453" spans="2:8">
      <c r="B453" s="310" t="str">
        <f>'analisa 2019'!A7130</f>
        <v>A.8.4.3.5</v>
      </c>
      <c r="C453" s="334" t="str">
        <f>'analisa 2019'!B7130</f>
        <v>Pemasangan 1 buah Collar Ø90 mm</v>
      </c>
      <c r="D453" s="335"/>
      <c r="E453" s="313">
        <f>'analisa 2019'!$G$7146</f>
        <v>664073.25</v>
      </c>
      <c r="G453" s="314">
        <v>564269.35</v>
      </c>
      <c r="H453" s="315">
        <f t="shared" si="8"/>
        <v>99803.900000000023</v>
      </c>
    </row>
    <row r="454" spans="2:8">
      <c r="B454" s="310" t="str">
        <f>'analisa 2019'!A7148</f>
        <v>A.8.4.3.6</v>
      </c>
      <c r="C454" s="334" t="str">
        <f>'analisa 2019'!B7148</f>
        <v>Pemasangan 1 buah Collar Ø110 mm</v>
      </c>
      <c r="D454" s="335"/>
      <c r="E454" s="313">
        <f>'analisa 2019'!$G$7164</f>
        <v>864725.25</v>
      </c>
      <c r="G454" s="314">
        <v>731479.35</v>
      </c>
      <c r="H454" s="315">
        <f t="shared" si="8"/>
        <v>133245.90000000002</v>
      </c>
    </row>
    <row r="455" spans="2:8">
      <c r="B455" s="310" t="str">
        <f>'analisa 2019'!A7166</f>
        <v>A.8.4.3.7</v>
      </c>
      <c r="C455" s="334" t="str">
        <f>'analisa 2019'!B7166</f>
        <v>Pemasangan 1 buah Collar Ø160 mm</v>
      </c>
      <c r="D455" s="335"/>
      <c r="E455" s="313">
        <f>'analisa 2019'!$G$7182</f>
        <v>1538395.25</v>
      </c>
      <c r="G455" s="314">
        <v>1302454.3500000001</v>
      </c>
      <c r="H455" s="315">
        <f t="shared" si="8"/>
        <v>235940.89999999991</v>
      </c>
    </row>
    <row r="456" spans="2:8">
      <c r="B456" s="310" t="str">
        <f>'analisa 2019'!A7184</f>
        <v>A.8.4.3.8</v>
      </c>
      <c r="C456" s="334" t="str">
        <f>'analisa 2019'!B7184</f>
        <v>Pemasangan 1 buah Collar Ø200 mm</v>
      </c>
      <c r="D456" s="335"/>
      <c r="E456" s="313">
        <f>'analisa 2019'!$G$7200</f>
        <v>2177335.25</v>
      </c>
      <c r="G456" s="314">
        <v>1834904.35</v>
      </c>
      <c r="H456" s="315">
        <f t="shared" si="8"/>
        <v>342430.89999999991</v>
      </c>
    </row>
    <row r="457" spans="2:8">
      <c r="B457" s="310" t="str">
        <f>'analisa 2019'!A7202</f>
        <v>A.8.4.3.9</v>
      </c>
      <c r="C457" s="334" t="str">
        <f>'analisa 2019'!B7202</f>
        <v>Pemasangan 1 buah Collar Ø250 mm</v>
      </c>
      <c r="D457" s="335"/>
      <c r="E457" s="313">
        <f>'analisa 2019'!$G$7218</f>
        <v>3311327.25</v>
      </c>
      <c r="G457" s="314">
        <v>2799064.35</v>
      </c>
      <c r="H457" s="315">
        <f t="shared" si="8"/>
        <v>512262.89999999991</v>
      </c>
    </row>
    <row r="458" spans="2:8">
      <c r="B458" s="310" t="str">
        <f>'analisa 2019'!A7220</f>
        <v>A.8.4.3.10</v>
      </c>
      <c r="C458" s="334" t="str">
        <f>'analisa 2019'!B7220</f>
        <v>Pemasangan 1 buah Collar Ø300 mm</v>
      </c>
      <c r="D458" s="335"/>
      <c r="E458" s="313">
        <f>'analisa 2019'!$G$7236</f>
        <v>3833841.25</v>
      </c>
      <c r="G458" s="314">
        <v>3253659.35</v>
      </c>
      <c r="H458" s="315">
        <f t="shared" si="8"/>
        <v>580181.89999999991</v>
      </c>
    </row>
    <row r="459" spans="2:8">
      <c r="B459" s="310" t="str">
        <f>'analisa 2019'!A7238</f>
        <v>A.8.4.3.11</v>
      </c>
      <c r="C459" s="334" t="str">
        <f>'analisa 2019'!B7238</f>
        <v>Pemasangan 1 buah Valve cover A (beton preecast)</v>
      </c>
      <c r="D459" s="335"/>
      <c r="E459" s="313">
        <f>'analisa 2019'!$G$7254</f>
        <v>260377.25</v>
      </c>
      <c r="G459" s="314">
        <v>220189.35</v>
      </c>
      <c r="H459" s="315">
        <f t="shared" si="8"/>
        <v>40187.899999999994</v>
      </c>
    </row>
    <row r="460" spans="2:8">
      <c r="B460" s="310" t="str">
        <f>'analisa 2019'!A7256</f>
        <v>A.8.4.3.11 A</v>
      </c>
      <c r="C460" s="334" t="str">
        <f>'analisa 2019'!B7256</f>
        <v>Pemasangan 1 buah Valve cover CI</v>
      </c>
      <c r="D460" s="335"/>
      <c r="E460" s="313">
        <f>'analisa 2019'!$G$7272</f>
        <v>412867.25</v>
      </c>
      <c r="G460" s="314">
        <v>347264.35</v>
      </c>
      <c r="H460" s="315">
        <f t="shared" si="8"/>
        <v>65602.900000000023</v>
      </c>
    </row>
    <row r="461" spans="2:8">
      <c r="B461" s="310" t="str">
        <f>'analisa 2019'!A7274</f>
        <v>A.8.4.3.12</v>
      </c>
      <c r="C461" s="334" t="str">
        <f>'analisa 2019'!B7274</f>
        <v>Pemasangan 1 buah Single Air Valve Ø2"</v>
      </c>
      <c r="D461" s="335"/>
      <c r="E461" s="313">
        <f>'analisa 2019'!$G$7290</f>
        <v>3594756.25</v>
      </c>
      <c r="G461" s="314">
        <v>3022608.25</v>
      </c>
      <c r="H461" s="315">
        <f t="shared" si="8"/>
        <v>572148</v>
      </c>
    </row>
    <row r="462" spans="2:8">
      <c r="B462" s="310" t="str">
        <f>'analisa 2019'!A7292</f>
        <v>A.8.4.3.13</v>
      </c>
      <c r="C462" s="334" t="str">
        <f>'analisa 2019'!B7292</f>
        <v>Pemasangan 1 buah Single Air Valve Ø3"</v>
      </c>
      <c r="D462" s="335"/>
      <c r="E462" s="313">
        <f>'analisa 2019'!$G$7308</f>
        <v>3758240.25</v>
      </c>
      <c r="G462" s="314">
        <v>3168428.25</v>
      </c>
      <c r="H462" s="315">
        <f t="shared" si="8"/>
        <v>589812</v>
      </c>
    </row>
    <row r="463" spans="2:8">
      <c r="B463" s="310" t="str">
        <f>'analisa 2019'!A7310</f>
        <v>A.8.4.3.14</v>
      </c>
      <c r="C463" s="334" t="str">
        <f>'analisa 2019'!B7310</f>
        <v>Pemasangan 1 buah Single Air Valve Ø4"</v>
      </c>
      <c r="D463" s="335"/>
      <c r="E463" s="313">
        <f>'analisa 2019'!$G$7326</f>
        <v>5570640.25</v>
      </c>
      <c r="G463" s="314">
        <v>4697928.25</v>
      </c>
      <c r="H463" s="315">
        <f t="shared" si="8"/>
        <v>872712</v>
      </c>
    </row>
    <row r="464" spans="2:8">
      <c r="B464" s="310" t="str">
        <f>'analisa 2019'!A7328</f>
        <v>A.8.4.3.15</v>
      </c>
      <c r="C464" s="334" t="str">
        <f>'analisa 2019'!B7328</f>
        <v>Pemasangan 1 buah Single Air Valve Ø6"</v>
      </c>
      <c r="D464" s="335"/>
      <c r="E464" s="313">
        <f>'analisa 2019'!$G$7344</f>
        <v>8221016.5</v>
      </c>
      <c r="G464" s="314">
        <v>6943136.5</v>
      </c>
      <c r="H464" s="315">
        <f t="shared" si="8"/>
        <v>1277880</v>
      </c>
    </row>
    <row r="465" spans="2:8">
      <c r="B465" s="310" t="str">
        <f>'analisa 2019'!A7346</f>
        <v>A.8.4.3.16</v>
      </c>
      <c r="C465" s="334" t="str">
        <f>'analisa 2019'!B7346</f>
        <v>Pemasangan 1 buah Double Air Valve Ø2"</v>
      </c>
      <c r="D465" s="335"/>
      <c r="E465" s="313">
        <f>'analisa 2019'!$G$7362</f>
        <v>6842724.25</v>
      </c>
      <c r="G465" s="314">
        <v>5729248.25</v>
      </c>
      <c r="H465" s="315">
        <f t="shared" si="8"/>
        <v>1113476</v>
      </c>
    </row>
    <row r="466" spans="2:8">
      <c r="B466" s="310" t="str">
        <f>'analisa 2019'!A7364</f>
        <v>A.8.4.3.17</v>
      </c>
      <c r="C466" s="334" t="str">
        <f>'analisa 2019'!B7364</f>
        <v>Pemasangan 1 buah Double Air Valve Ø3"</v>
      </c>
      <c r="D466" s="335"/>
      <c r="E466" s="313">
        <f>'analisa 2019'!$G$7380</f>
        <v>7407834.25</v>
      </c>
      <c r="G466" s="314">
        <v>6200173.25</v>
      </c>
      <c r="H466" s="315">
        <f t="shared" si="8"/>
        <v>1207661</v>
      </c>
    </row>
    <row r="467" spans="2:8">
      <c r="B467" s="310" t="str">
        <f>'analisa 2019'!A7382</f>
        <v>A.8.4.3.18</v>
      </c>
      <c r="C467" s="334" t="str">
        <f>'analisa 2019'!B7382</f>
        <v>Pemasangan 1 buah Double Air Valve Ø4"</v>
      </c>
      <c r="D467" s="335"/>
      <c r="E467" s="313">
        <f>'analisa 2019'!$G$7398</f>
        <v>11098920.25</v>
      </c>
      <c r="G467" s="314">
        <v>9304828.25</v>
      </c>
      <c r="H467" s="315">
        <f t="shared" si="8"/>
        <v>1794092</v>
      </c>
    </row>
    <row r="468" spans="2:8">
      <c r="B468" s="310" t="str">
        <f>'analisa 2019'!A7400</f>
        <v>A.8.4.3.19</v>
      </c>
      <c r="C468" s="334" t="str">
        <f>'analisa 2019'!B7400</f>
        <v>Pemasangan 1 buah Double Air Valve Ø6"</v>
      </c>
      <c r="D468" s="335"/>
      <c r="E468" s="313">
        <f>'analisa 2019'!$G$7416</f>
        <v>18906494.5</v>
      </c>
      <c r="G468" s="314">
        <v>15847701.5</v>
      </c>
      <c r="H468" s="315">
        <f t="shared" si="8"/>
        <v>3058793</v>
      </c>
    </row>
    <row r="469" spans="2:8">
      <c r="B469" s="310" t="str">
        <f>'analisa 2019'!A7418</f>
        <v>A.8.4.3.23</v>
      </c>
      <c r="C469" s="334" t="str">
        <f>'analisa 2019'!B7418</f>
        <v>Pemasangan 1 titik Sambungan Pipa Air minum (standart pdam) existing pipa Ø2"</v>
      </c>
      <c r="D469" s="335"/>
      <c r="E469" s="313">
        <f>'analisa 2019'!$G$7450</f>
        <v>3003006.5</v>
      </c>
      <c r="G469" s="314">
        <v>2526538.5</v>
      </c>
      <c r="H469" s="315">
        <f t="shared" si="8"/>
        <v>476468</v>
      </c>
    </row>
    <row r="470" spans="2:8">
      <c r="B470" s="310" t="str">
        <f>'analisa 2019'!A7452</f>
        <v>A.8.4.3.24</v>
      </c>
      <c r="C470" s="334" t="str">
        <f>'analisa 2019'!B7452</f>
        <v>Pemasangan 1 titik Sambungan Pipa Air minum (standart pdam) existing pipa Ø3"</v>
      </c>
      <c r="D470" s="335"/>
      <c r="E470" s="313">
        <f>'analisa 2019'!$G$7484</f>
        <v>3104988.5</v>
      </c>
      <c r="G470" s="314">
        <v>2611523.5</v>
      </c>
      <c r="H470" s="315">
        <f t="shared" si="8"/>
        <v>493465</v>
      </c>
    </row>
    <row r="471" spans="2:8">
      <c r="B471" s="310" t="str">
        <f>'analisa 2019'!A7486</f>
        <v>A.8.4.3.25</v>
      </c>
      <c r="C471" s="334" t="str">
        <f>'analisa 2019'!B7486</f>
        <v>Pemasangan 1 titik Sambungan Pipa Air minum (standart pdam) existing pipa Ø4"</v>
      </c>
      <c r="D471" s="335"/>
      <c r="E471" s="313">
        <f>'analisa 2019'!$G$7518</f>
        <v>3227256.5</v>
      </c>
      <c r="G471" s="314">
        <v>2713413.5</v>
      </c>
      <c r="H471" s="315">
        <f t="shared" si="8"/>
        <v>513843</v>
      </c>
    </row>
    <row r="472" spans="2:8">
      <c r="B472" s="310" t="str">
        <f>'analisa 2019'!A7520</f>
        <v>A.8.4.3.26</v>
      </c>
      <c r="C472" s="334" t="str">
        <f>'analisa 2019'!B7520</f>
        <v>Pemasangan 1 titik Sambungan Pipa Air minum (standart pdam) existing pipa Ø6"</v>
      </c>
      <c r="D472" s="335"/>
      <c r="E472" s="313">
        <f>'analisa 2019'!$G$7552</f>
        <v>3247542.5</v>
      </c>
      <c r="G472" s="314">
        <v>2730318.5</v>
      </c>
      <c r="H472" s="315">
        <f t="shared" si="8"/>
        <v>517224</v>
      </c>
    </row>
    <row r="473" spans="2:8">
      <c r="B473" s="310"/>
      <c r="C473" s="334"/>
      <c r="D473" s="335"/>
      <c r="E473" s="313"/>
      <c r="G473" s="314"/>
      <c r="H473" s="315">
        <f t="shared" si="8"/>
        <v>0</v>
      </c>
    </row>
    <row r="474" spans="2:8" s="342" customFormat="1">
      <c r="B474" s="316" t="str">
        <f>'analisa 2019'!A7554</f>
        <v>A.8.4.3-1</v>
      </c>
      <c r="C474" s="339" t="str">
        <f>'analisa 2019'!B7554</f>
        <v xml:space="preserve"> HARGA SATUAN PEKERJAAN PEMASANGAN AKSESORIS PIPA AIR LIMBAH</v>
      </c>
      <c r="D474" s="340"/>
      <c r="E474" s="341"/>
      <c r="G474" s="314"/>
      <c r="H474" s="315">
        <f t="shared" si="8"/>
        <v>0</v>
      </c>
    </row>
    <row r="475" spans="2:8">
      <c r="B475" s="310" t="str">
        <f>'analisa 2019'!A7555</f>
        <v>A.8.4.3-1.1</v>
      </c>
      <c r="C475" s="334" t="str">
        <f>'analisa 2019'!B7555</f>
        <v>Pemasangan 1 buah Oblique wye</v>
      </c>
      <c r="D475" s="335"/>
      <c r="E475" s="313">
        <f>'analisa 2019'!$G$7572</f>
        <v>268676.8</v>
      </c>
      <c r="G475" s="314">
        <v>226911.1</v>
      </c>
      <c r="H475" s="315">
        <f t="shared" si="8"/>
        <v>41765.699999999983</v>
      </c>
    </row>
    <row r="476" spans="2:8">
      <c r="B476" s="310" t="str">
        <f>'analisa 2019'!A7574</f>
        <v>A.8.4.3-1.2</v>
      </c>
      <c r="C476" s="334" t="str">
        <f>'analisa 2019'!B7574</f>
        <v xml:space="preserve">Pemasangan 1 buah Oblique Saddle </v>
      </c>
      <c r="D476" s="335"/>
      <c r="E476" s="313">
        <f>'analisa 2019'!$G$7591</f>
        <v>625130.80000000005</v>
      </c>
      <c r="G476" s="314">
        <v>523956.1</v>
      </c>
      <c r="H476" s="315">
        <f t="shared" si="8"/>
        <v>101174.70000000007</v>
      </c>
    </row>
    <row r="477" spans="2:8" s="780" customFormat="1">
      <c r="B477" s="776" t="str">
        <f>'analisa 2019'!A7593</f>
        <v>A.8.4.3-1.3</v>
      </c>
      <c r="C477" s="783" t="str">
        <f>'analisa 2019'!B7593</f>
        <v>Pemasangan 1 buah Box Kontrol uk.30x30x40 cm</v>
      </c>
      <c r="D477" s="784"/>
      <c r="E477" s="779">
        <f>'analisa 2019'!$G$7616</f>
        <v>518032.80856999999</v>
      </c>
      <c r="G477" s="781">
        <v>652758.93000000005</v>
      </c>
      <c r="H477" s="782">
        <f t="shared" si="8"/>
        <v>-134726.12143000006</v>
      </c>
    </row>
    <row r="478" spans="2:8" s="780" customFormat="1">
      <c r="B478" s="776" t="str">
        <f>'analisa 2019'!$A$7618</f>
        <v>A.8.4.3-1.3 A</v>
      </c>
      <c r="C478" s="783" t="str">
        <f>'analisa 2019'!$B$7618</f>
        <v>Pemasangan 1 buah Box Kontrol uk.45x45x50 cm</v>
      </c>
      <c r="D478" s="784"/>
      <c r="E478" s="779">
        <f>'analisa 2019'!$G$7641</f>
        <v>795426.38366249995</v>
      </c>
      <c r="G478" s="781"/>
      <c r="H478" s="782"/>
    </row>
    <row r="479" spans="2:8" s="780" customFormat="1">
      <c r="B479" s="776" t="str">
        <f>'analisa 2019'!$A$7643</f>
        <v>A.8.4.3-1.3 B</v>
      </c>
      <c r="C479" s="783" t="str">
        <f>'analisa 2019'!$B$7643</f>
        <v>Pemasangan 1 buah Box Kontrol uk.60x60x65 cm</v>
      </c>
      <c r="D479" s="784"/>
      <c r="E479" s="779">
        <f>'analisa 2019'!$G$7666</f>
        <v>1216043.7605599998</v>
      </c>
      <c r="G479" s="781"/>
      <c r="H479" s="782"/>
    </row>
    <row r="480" spans="2:8" s="780" customFormat="1">
      <c r="B480" s="776" t="str">
        <f>'analisa 2019'!A7668</f>
        <v>A.8.4.3-1.3 C</v>
      </c>
      <c r="C480" s="783" t="str">
        <f>'analisa 2019'!B7668</f>
        <v>Pemasangan 1 buah Box Kontrol dia. 30cm precast concerte</v>
      </c>
      <c r="D480" s="784"/>
      <c r="E480" s="779">
        <f>'analisa 2019'!$G$7683</f>
        <v>1397480</v>
      </c>
      <c r="G480" s="781">
        <v>1168860</v>
      </c>
      <c r="H480" s="782">
        <f t="shared" si="8"/>
        <v>228620</v>
      </c>
    </row>
    <row r="481" spans="2:8" s="780" customFormat="1">
      <c r="B481" s="776" t="str">
        <f>'analisa 2019'!A7685</f>
        <v>A.8.4.3-1.4</v>
      </c>
      <c r="C481" s="783" t="str">
        <f>'analisa 2019'!B7685</f>
        <v>Pemasangan 1 buah Inspectin Box (IB) uk.40x40cm</v>
      </c>
      <c r="D481" s="784"/>
      <c r="E481" s="779">
        <f>'analisa 2019'!$G$7707</f>
        <v>1016468.6337019999</v>
      </c>
      <c r="G481" s="781">
        <v>1106642.49</v>
      </c>
      <c r="H481" s="782">
        <f t="shared" si="8"/>
        <v>-90173.856298000086</v>
      </c>
    </row>
    <row r="482" spans="2:8" s="780" customFormat="1">
      <c r="B482" s="776" t="str">
        <f>'analisa 2019'!A7709</f>
        <v>A.8.4.3-1.5</v>
      </c>
      <c r="C482" s="783" t="str">
        <f>'analisa 2019'!B7709</f>
        <v>Pemasangan 1 buah Dead end (DE) uk.40x40cm</v>
      </c>
      <c r="D482" s="784"/>
      <c r="E482" s="779">
        <f>'analisa 2019'!$G$7731</f>
        <v>949974.95570199995</v>
      </c>
      <c r="G482" s="781">
        <v>1017089.61</v>
      </c>
      <c r="H482" s="782">
        <f t="shared" si="8"/>
        <v>-67114.654298000038</v>
      </c>
    </row>
    <row r="483" spans="2:8" s="780" customFormat="1">
      <c r="B483" s="776" t="str">
        <f>'analisa 2019'!A7733</f>
        <v>A.8.4.3-1.6</v>
      </c>
      <c r="C483" s="783" t="str">
        <f>'analisa 2019'!B7733</f>
        <v>Pemasangan 1 buah Box Smell trap (BS) uk.40x40cm</v>
      </c>
      <c r="D483" s="784"/>
      <c r="E483" s="779">
        <f>'analisa 2019'!$G$7760</f>
        <v>1131366.9557019998</v>
      </c>
      <c r="G483" s="781">
        <v>1168249.6100000001</v>
      </c>
      <c r="H483" s="782">
        <f t="shared" si="8"/>
        <v>-36882.654298000271</v>
      </c>
    </row>
    <row r="484" spans="2:8" s="780" customFormat="1">
      <c r="B484" s="776" t="str">
        <f>'analisa 2019'!A7762</f>
        <v>A.8.4.3-1.7</v>
      </c>
      <c r="C484" s="783" t="str">
        <f>'analisa 2019'!B7762</f>
        <v>Pemasangan 1 buah Inspection Chamber (IC) uk.60x70cm</v>
      </c>
      <c r="D484" s="784"/>
      <c r="E484" s="779">
        <f>'analisa 2019'!$G$7784</f>
        <v>2842118.6125599998</v>
      </c>
      <c r="G484" s="781">
        <v>2950587.54</v>
      </c>
      <c r="H484" s="782">
        <f t="shared" si="8"/>
        <v>-108468.92744000023</v>
      </c>
    </row>
    <row r="485" spans="2:8">
      <c r="B485" s="310" t="str">
        <f>'analisa 2019'!A7786</f>
        <v>A.8.4.3-1.8</v>
      </c>
      <c r="C485" s="334" t="str">
        <f>'analisa 2019'!B7786</f>
        <v>Pemasangan 1 M' Shoring (penahan tanah) berbahan kayu kedalaman 1 - 2m</v>
      </c>
      <c r="D485" s="335"/>
      <c r="E485" s="313">
        <f>'analisa 2019'!$G$7806</f>
        <v>765785</v>
      </c>
      <c r="G485" s="314">
        <v>720156.83</v>
      </c>
      <c r="H485" s="315">
        <f t="shared" si="8"/>
        <v>45628.170000000042</v>
      </c>
    </row>
    <row r="486" spans="2:8">
      <c r="B486" s="310" t="str">
        <f>'analisa 2019'!A7808</f>
        <v>A.8.4.3-1.9</v>
      </c>
      <c r="C486" s="334" t="str">
        <f>'analisa 2019'!B7808</f>
        <v>Pemasangan 1 M' Shoring (penahan tanah) berbahan kayu kedalaman 2 - 3m</v>
      </c>
      <c r="D486" s="335"/>
      <c r="E486" s="313">
        <f>'analisa 2019'!$G$7828</f>
        <v>1137896.25</v>
      </c>
      <c r="G486" s="314">
        <v>1081138</v>
      </c>
      <c r="H486" s="315">
        <f t="shared" si="8"/>
        <v>56758.25</v>
      </c>
    </row>
    <row r="487" spans="2:8">
      <c r="B487" s="310" t="str">
        <f>'analisa 2019'!A7830</f>
        <v>A.8.4.3-1.10</v>
      </c>
      <c r="C487" s="334" t="str">
        <f>'analisa 2019'!B7830</f>
        <v>Pemasangan 1 M' Shoring (penahan tanah) berbahan kayu kedalaman 3 - 4m</v>
      </c>
      <c r="D487" s="335"/>
      <c r="E487" s="313">
        <f>'analisa 2019'!$G$7850</f>
        <v>1724534.25</v>
      </c>
      <c r="G487" s="314">
        <v>1647267.67</v>
      </c>
      <c r="H487" s="315">
        <f t="shared" si="8"/>
        <v>77266.580000000075</v>
      </c>
    </row>
    <row r="488" spans="2:8">
      <c r="B488" s="310"/>
      <c r="C488" s="334"/>
      <c r="D488" s="335"/>
      <c r="E488" s="313"/>
      <c r="G488" s="314"/>
      <c r="H488" s="315">
        <f t="shared" si="8"/>
        <v>0</v>
      </c>
    </row>
    <row r="489" spans="2:8" s="342" customFormat="1">
      <c r="B489" s="316" t="str">
        <f>'analisa 2019'!A7852</f>
        <v xml:space="preserve">A.8.4.4 </v>
      </c>
      <c r="C489" s="339" t="str">
        <f>'analisa 2019'!B7852</f>
        <v>HARGA SATUAN PEKERJAAN PENYAMBUNGAN PIPA BARU KE PIPA EXISTING</v>
      </c>
      <c r="D489" s="340"/>
      <c r="E489" s="341"/>
      <c r="G489" s="314"/>
      <c r="H489" s="315">
        <f t="shared" si="8"/>
        <v>0</v>
      </c>
    </row>
    <row r="490" spans="2:8">
      <c r="B490" s="310" t="str">
        <f>'analisa 2019'!A7853</f>
        <v>A.8.4.4.1</v>
      </c>
      <c r="C490" s="334" t="str">
        <f>'analisa 2019'!B7853</f>
        <v>Penyambungan 1 titik pipa baru ke pipa existing Ø 90 mm</v>
      </c>
      <c r="D490" s="335"/>
      <c r="E490" s="313">
        <f>'analisa 2019'!$G$7871</f>
        <v>1067964.75</v>
      </c>
      <c r="G490" s="314">
        <v>981898.75</v>
      </c>
      <c r="H490" s="315">
        <f t="shared" si="8"/>
        <v>86066</v>
      </c>
    </row>
    <row r="491" spans="2:8">
      <c r="B491" s="310" t="str">
        <f>'analisa 2019'!A7873</f>
        <v>A.8.4.4.2</v>
      </c>
      <c r="C491" s="334" t="str">
        <f>'analisa 2019'!B7873</f>
        <v>Penyambungan 1 titik pipa baru ke pipa existing Ø 110 mm</v>
      </c>
      <c r="D491" s="335"/>
      <c r="E491" s="313">
        <f>'analisa 2019'!$G$7891</f>
        <v>1220523.75</v>
      </c>
      <c r="G491" s="314">
        <v>1118564.75</v>
      </c>
      <c r="H491" s="315">
        <f t="shared" si="8"/>
        <v>101959</v>
      </c>
    </row>
    <row r="492" spans="2:8">
      <c r="B492" s="310" t="str">
        <f>'analisa 2019'!A7893</f>
        <v xml:space="preserve">A.8.4.4.3 </v>
      </c>
      <c r="C492" s="334" t="str">
        <f>'analisa 2019'!B7893</f>
        <v>Penyambungan 1 titik pipa baru ke pipa existing Ø 160 mm</v>
      </c>
      <c r="D492" s="335"/>
      <c r="E492" s="313">
        <f>'analisa 2019'!$G$7911</f>
        <v>1649324.25</v>
      </c>
      <c r="G492" s="314">
        <v>1499732.25</v>
      </c>
      <c r="H492" s="315">
        <f t="shared" si="8"/>
        <v>149592</v>
      </c>
    </row>
    <row r="493" spans="2:8">
      <c r="B493" s="310" t="str">
        <f>'analisa 2019'!A7913</f>
        <v>A.8.4.4.4</v>
      </c>
      <c r="C493" s="334" t="str">
        <f>'analisa 2019'!B7913</f>
        <v>Penyambungan 1 titik pipa baru ke pipa existing Ø 200 mm</v>
      </c>
      <c r="D493" s="335"/>
      <c r="E493" s="313">
        <f>'analisa 2019'!$G$7931</f>
        <v>2084472.75</v>
      </c>
      <c r="G493" s="314">
        <v>1886189.75</v>
      </c>
      <c r="H493" s="315">
        <f t="shared" si="8"/>
        <v>198283</v>
      </c>
    </row>
    <row r="494" spans="2:8">
      <c r="B494" s="310" t="str">
        <f>'analisa 2019'!A7933</f>
        <v>A.8.4.4.5</v>
      </c>
      <c r="C494" s="334" t="str">
        <f>'analisa 2019'!B7933</f>
        <v>Penyambungan 1 titik pipa baru ke pipa existing Ø 250 mm</v>
      </c>
      <c r="D494" s="335"/>
      <c r="E494" s="313">
        <f>'analisa 2019'!$G$7951</f>
        <v>2624915.25</v>
      </c>
      <c r="G494" s="314">
        <v>2360392.25</v>
      </c>
      <c r="H494" s="315">
        <f t="shared" si="8"/>
        <v>264523</v>
      </c>
    </row>
    <row r="495" spans="2:8">
      <c r="B495" s="310" t="str">
        <f>'analisa 2019'!A7953</f>
        <v>A.8.4.4.6</v>
      </c>
      <c r="C495" s="334" t="str">
        <f>'analisa 2019'!B7953</f>
        <v>Penyambungan 1 titik pipa baru ke pipa existing Ø 300 mm</v>
      </c>
      <c r="D495" s="335"/>
      <c r="E495" s="313">
        <f>'analisa 2019'!$G$7971</f>
        <v>3331647.75</v>
      </c>
      <c r="G495" s="314">
        <v>2973169.75</v>
      </c>
      <c r="H495" s="315">
        <f t="shared" si="8"/>
        <v>358478</v>
      </c>
    </row>
    <row r="496" spans="2:8">
      <c r="B496" s="310"/>
      <c r="C496" s="334"/>
      <c r="D496" s="335"/>
      <c r="E496" s="313"/>
      <c r="G496" s="314"/>
      <c r="H496" s="315">
        <f t="shared" si="8"/>
        <v>0</v>
      </c>
    </row>
    <row r="497" spans="2:8" s="342" customFormat="1">
      <c r="B497" s="316" t="str">
        <f>'analisa 2019'!A7973</f>
        <v>A.8.4.5</v>
      </c>
      <c r="C497" s="339" t="str">
        <f>'analisa 2019'!B7973</f>
        <v>HARGA SATUAN PEKERJAAN GALIAN DAN PERBAIKAN BEKAS GALIAN</v>
      </c>
      <c r="D497" s="340"/>
      <c r="E497" s="341"/>
      <c r="G497" s="314"/>
      <c r="H497" s="315">
        <f t="shared" si="8"/>
        <v>0</v>
      </c>
    </row>
    <row r="498" spans="2:8">
      <c r="B498" s="310" t="str">
        <f>'analisa 2019'!A7974</f>
        <v>A.8.4.5.1</v>
      </c>
      <c r="C498" s="1315" t="str">
        <f>'analisa 2019'!B7974</f>
        <v>Pekerjaan 1 meter galian dan perbaikan jalan kondisi Tanah keras pipa Ø  90mm - 160mm</v>
      </c>
      <c r="D498" s="1316"/>
      <c r="E498" s="313">
        <f>'analisa 2019'!$G$7985</f>
        <v>103454</v>
      </c>
      <c r="G498" s="314">
        <v>96462</v>
      </c>
      <c r="H498" s="315">
        <f t="shared" si="8"/>
        <v>6992</v>
      </c>
    </row>
    <row r="499" spans="2:8">
      <c r="B499" s="310" t="str">
        <f>'analisa 2019'!A7987</f>
        <v>A.8.4.5.2</v>
      </c>
      <c r="C499" s="1315" t="str">
        <f>'analisa 2019'!B7987</f>
        <v>Pekerjaan 1 meter galian dan perbaikan jalan kondisi Cor beton pipa Ø  90mm - 160mm</v>
      </c>
      <c r="D499" s="1316"/>
      <c r="E499" s="313">
        <f>'analisa 2019'!$G$8006</f>
        <v>194377.60000000001</v>
      </c>
      <c r="G499" s="314">
        <v>175728.05</v>
      </c>
      <c r="H499" s="315">
        <f t="shared" si="8"/>
        <v>18649.550000000017</v>
      </c>
    </row>
    <row r="500" spans="2:8">
      <c r="B500" s="310" t="str">
        <f>'analisa 2019'!A8008</f>
        <v>A.8.4.5.3</v>
      </c>
      <c r="C500" s="1315" t="str">
        <f>'analisa 2019'!B8008</f>
        <v>Pekerjaan 1 meter galian dan perbaikan jalan kondisi Hotmix pipa Ø  90mm - 160mm</v>
      </c>
      <c r="D500" s="1316"/>
      <c r="E500" s="313">
        <f>'analisa 2019'!$G$8027</f>
        <v>187491.4</v>
      </c>
      <c r="G500" s="314">
        <v>167752.79999999999</v>
      </c>
      <c r="H500" s="315">
        <f t="shared" si="8"/>
        <v>19738.600000000006</v>
      </c>
    </row>
    <row r="501" spans="2:8">
      <c r="B501" s="310" t="str">
        <f>'analisa 2019'!A8029</f>
        <v>A.8.4.5.4</v>
      </c>
      <c r="C501" s="1315" t="str">
        <f>'analisa 2019'!B8029</f>
        <v>Pekerjaan 1 meter galian dan perbaikan jalan kondisi Tanah pipa Ø  200mm - 400mm</v>
      </c>
      <c r="D501" s="1316"/>
      <c r="E501" s="313">
        <f>'analisa 2019'!$G$8040</f>
        <v>210680</v>
      </c>
      <c r="G501" s="314">
        <v>196966.25</v>
      </c>
      <c r="H501" s="315">
        <f t="shared" si="8"/>
        <v>13713.75</v>
      </c>
    </row>
    <row r="502" spans="2:8">
      <c r="B502" s="310" t="str">
        <f>'analisa 2019'!A8042</f>
        <v>A.8.4.5.5</v>
      </c>
      <c r="C502" s="1315" t="str">
        <f>'analisa 2019'!B8042</f>
        <v>Pekerjaan 1 meter galian dan perbaikan jalan kondisi Cor beton pipa Ø  200mm - 400mm</v>
      </c>
      <c r="D502" s="1316"/>
      <c r="E502" s="313">
        <f>'analisa 2019'!$G$8061</f>
        <v>514100.65</v>
      </c>
      <c r="G502" s="314">
        <v>445502.53</v>
      </c>
      <c r="H502" s="315">
        <f t="shared" si="8"/>
        <v>68598.12</v>
      </c>
    </row>
    <row r="503" spans="2:8">
      <c r="B503" s="310" t="str">
        <f>'analisa 2019'!A8063</f>
        <v>A.8.4.5.6</v>
      </c>
      <c r="C503" s="1317" t="str">
        <f>'analisa 2019'!B8063</f>
        <v>Pekerjaan 1 meter galian dan perbaikan jalan kondisi Hotmix pipa Ø  200mm - 400mm</v>
      </c>
      <c r="D503" s="1318"/>
      <c r="E503" s="313">
        <f>'analisa 2019'!$G$8082</f>
        <v>470492.6</v>
      </c>
      <c r="G503" s="314">
        <v>407692.25</v>
      </c>
      <c r="H503" s="315">
        <f t="shared" si="8"/>
        <v>62800.349999999977</v>
      </c>
    </row>
    <row r="504" spans="2:8">
      <c r="B504" s="310" t="str">
        <f>'analisa 2019'!A8084</f>
        <v>A.8.4.5.7</v>
      </c>
      <c r="C504" s="334" t="str">
        <f>'analisa 2019'!B8084</f>
        <v>Pekerjaan 1 meter Crossing jalan kondisi Cor beton pipa Ø  90mm - 160mm</v>
      </c>
      <c r="D504" s="335"/>
      <c r="E504" s="313">
        <f>'analisa 2019'!$G$8100</f>
        <v>228893.7</v>
      </c>
      <c r="G504" s="314">
        <v>214898.2</v>
      </c>
      <c r="H504" s="315">
        <f t="shared" si="8"/>
        <v>13995.5</v>
      </c>
    </row>
    <row r="505" spans="2:8">
      <c r="B505" s="310" t="str">
        <f>'analisa 2019'!A8102</f>
        <v>A.8.4.5.8</v>
      </c>
      <c r="C505" s="334" t="str">
        <f>'analisa 2019'!B8102</f>
        <v>Pekerjaan 1 meter Crossing jalan kondisi Hotmix pipa Ø  90mm - 160mm</v>
      </c>
      <c r="D505" s="335"/>
      <c r="E505" s="313">
        <f>'analisa 2019'!$G$8118</f>
        <v>228887.26</v>
      </c>
      <c r="G505" s="314">
        <v>214898.2</v>
      </c>
      <c r="H505" s="315">
        <f t="shared" si="8"/>
        <v>13989.059999999998</v>
      </c>
    </row>
    <row r="506" spans="2:8">
      <c r="B506" s="310" t="str">
        <f>'analisa 2019'!A8120</f>
        <v>A.8.4.5.9</v>
      </c>
      <c r="C506" s="334" t="str">
        <f>'analisa 2019'!B8120</f>
        <v>Pekerjaan 1 meter Crossing jalan kondisi Cor beton pipa Ø 200mm - 400mm</v>
      </c>
      <c r="D506" s="335"/>
      <c r="E506" s="313">
        <f>'analisa 2019'!$G$8136</f>
        <v>370468.82</v>
      </c>
      <c r="G506" s="314">
        <v>342804.65</v>
      </c>
      <c r="H506" s="315">
        <f t="shared" si="8"/>
        <v>27664.169999999984</v>
      </c>
    </row>
    <row r="507" spans="2:8">
      <c r="B507" s="310" t="str">
        <f>'analisa 2019'!A8138</f>
        <v>A.8.4.5.10</v>
      </c>
      <c r="C507" s="334" t="str">
        <f>'analisa 2019'!B8138</f>
        <v>Pekerjaan 1 meter Crossing jalan kondisi Hotmix pipa Ø 200mm - 400mm</v>
      </c>
      <c r="D507" s="335"/>
      <c r="E507" s="313">
        <f>'analisa 2019'!$G$8154</f>
        <v>399215.6</v>
      </c>
      <c r="G507" s="314">
        <v>371554.65</v>
      </c>
      <c r="H507" s="315">
        <f t="shared" si="8"/>
        <v>27660.949999999953</v>
      </c>
    </row>
    <row r="508" spans="2:8">
      <c r="B508" s="320"/>
      <c r="C508" s="343"/>
      <c r="D508" s="344"/>
      <c r="E508" s="323"/>
      <c r="G508" s="314"/>
      <c r="H508" s="315">
        <f t="shared" si="8"/>
        <v>0</v>
      </c>
    </row>
    <row r="509" spans="2:8" s="342" customFormat="1">
      <c r="B509" s="591" t="str">
        <f>'analisa 2019'!A8156</f>
        <v>A.8.4.6</v>
      </c>
      <c r="C509" s="594" t="str">
        <f>'analisa 2019'!B8156</f>
        <v xml:space="preserve">HARGA SATUAN PEKERJAAN PEMBUATAN SUMUR BOR DAN ASESORIS </v>
      </c>
      <c r="D509" s="595"/>
      <c r="E509" s="596"/>
      <c r="G509" s="314"/>
      <c r="H509" s="315">
        <f t="shared" si="8"/>
        <v>0</v>
      </c>
    </row>
    <row r="510" spans="2:8">
      <c r="B510" s="310" t="str">
        <f>'analisa 2019'!A8157</f>
        <v>A.8.4.6.1</v>
      </c>
      <c r="C510" s="334" t="str">
        <f>'analisa 2019'!B8157</f>
        <v>Pembuatan 1 titik Sumur Bor Kedalaman &gt; 200 meter</v>
      </c>
      <c r="D510" s="335"/>
      <c r="E510" s="313">
        <f>'analisa 2019'!$G$8194</f>
        <v>574261610.37</v>
      </c>
      <c r="G510" s="314">
        <v>478591539.23000002</v>
      </c>
      <c r="H510" s="315">
        <f t="shared" si="8"/>
        <v>95670071.139999986</v>
      </c>
    </row>
    <row r="511" spans="2:8">
      <c r="B511" s="310" t="str">
        <f>'analisa 2019'!A8196</f>
        <v>A.8.4.6.2</v>
      </c>
      <c r="C511" s="334" t="str">
        <f>'analisa 2019'!B8196</f>
        <v>Pembuatan 1 titik Sumur Bor Kedalaman 150 - 200 meter</v>
      </c>
      <c r="D511" s="335"/>
      <c r="E511" s="313">
        <f>'analisa 2019'!$G$8232</f>
        <v>491745614.37</v>
      </c>
      <c r="G511" s="314">
        <v>409828209.23000002</v>
      </c>
      <c r="H511" s="315">
        <f t="shared" si="8"/>
        <v>81917405.139999986</v>
      </c>
    </row>
    <row r="512" spans="2:8">
      <c r="B512" s="310" t="str">
        <f>'analisa 2019'!A8234</f>
        <v>A.8.4.6.3</v>
      </c>
      <c r="C512" s="334" t="str">
        <f>'analisa 2019'!B8234</f>
        <v>Pembuatan 1 unit Tangki Filter uk. Ø 180cm x 350cm</v>
      </c>
      <c r="D512" s="335"/>
      <c r="E512" s="313">
        <f>'analisa 2019'!$G$8267</f>
        <v>236432869.96000001</v>
      </c>
      <c r="G512" s="314">
        <v>194717444.91999999</v>
      </c>
      <c r="H512" s="315">
        <f t="shared" si="8"/>
        <v>41715425.040000021</v>
      </c>
    </row>
    <row r="513" spans="2:8">
      <c r="B513" s="310" t="str">
        <f>'analisa 2019'!A8269</f>
        <v>A.8.4.6.4</v>
      </c>
      <c r="C513" s="334" t="str">
        <f>'analisa 2019'!B8269</f>
        <v>Pembuatan 1 unit Tangki Filter uk. Ø 100cm x 200cm</v>
      </c>
      <c r="D513" s="335"/>
      <c r="E513" s="313">
        <f>'analisa 2019'!$G$8302</f>
        <v>105700873.20999999</v>
      </c>
      <c r="G513" s="314">
        <v>87217135.390000001</v>
      </c>
      <c r="H513" s="315">
        <f t="shared" ref="H513:H516" si="9">E513-G513</f>
        <v>18483737.819999993</v>
      </c>
    </row>
    <row r="514" spans="2:8">
      <c r="B514" s="310" t="str">
        <f>'analisa 2019'!A8304</f>
        <v>A.8.4.6.5</v>
      </c>
      <c r="C514" s="334" t="str">
        <f>'analisa 2019'!B8304</f>
        <v>Pembuatan 1 unit Tangki Aerator uk. Ø 60cm x 300cm</v>
      </c>
      <c r="D514" s="335"/>
      <c r="E514" s="313">
        <f>'analisa 2019'!$G$8326</f>
        <v>81994825.75</v>
      </c>
      <c r="G514" s="314">
        <v>68424854.790000007</v>
      </c>
      <c r="H514" s="315">
        <f t="shared" si="9"/>
        <v>13569970.959999993</v>
      </c>
    </row>
    <row r="515" spans="2:8">
      <c r="B515" s="310" t="str">
        <f>'analisa 2019'!A8328</f>
        <v>A.8.4.6.6</v>
      </c>
      <c r="C515" s="334" t="str">
        <f>'analisa 2019'!B8328</f>
        <v>Pembuatan 1 unit Tangki Aerator uk. Ø 60cm x 240cm</v>
      </c>
      <c r="D515" s="335"/>
      <c r="E515" s="313">
        <f>'analisa 2019'!$G$8350</f>
        <v>75439273.75</v>
      </c>
      <c r="G515" s="314">
        <v>62933144.789999999</v>
      </c>
      <c r="H515" s="315">
        <f t="shared" si="9"/>
        <v>12506128.960000001</v>
      </c>
    </row>
    <row r="516" spans="2:8">
      <c r="B516" s="310"/>
      <c r="C516" s="334"/>
      <c r="D516" s="335"/>
      <c r="E516" s="313"/>
      <c r="G516" s="314"/>
      <c r="H516" s="315">
        <f t="shared" si="9"/>
        <v>0</v>
      </c>
    </row>
    <row r="517" spans="2:8">
      <c r="B517" s="345" t="str">
        <f>'analisa 2019'!A8352</f>
        <v>SUPL</v>
      </c>
      <c r="C517" s="396" t="str">
        <f>'analisa 2019'!B8352</f>
        <v>HARGA SATUAN PEKERJAAN SUPLEMEN</v>
      </c>
      <c r="D517" s="397"/>
      <c r="E517" s="398"/>
      <c r="H517" s="315">
        <f t="shared" ref="H517:H524" si="10">E517-G517</f>
        <v>0</v>
      </c>
    </row>
    <row r="518" spans="2:8">
      <c r="B518" s="336" t="str">
        <f>'analisa 2019'!A8353</f>
        <v>PLL Supl. 6.1</v>
      </c>
      <c r="C518" s="334" t="str">
        <f>'analisa 2019'!B8353</f>
        <v>Memasang 1 m2  Rangka plafond gypsum board/calsiboard modul 60x60 cm</v>
      </c>
      <c r="D518" s="312"/>
      <c r="E518" s="346">
        <f>'analisa 2019'!$G$8371</f>
        <v>74831.53</v>
      </c>
      <c r="G518" s="305">
        <v>74831.53</v>
      </c>
      <c r="H518" s="315">
        <f t="shared" si="10"/>
        <v>0</v>
      </c>
    </row>
    <row r="519" spans="2:8">
      <c r="B519" s="336"/>
      <c r="C519" s="334"/>
      <c r="D519" s="312"/>
      <c r="E519" s="346"/>
      <c r="H519" s="315">
        <f t="shared" si="10"/>
        <v>0</v>
      </c>
    </row>
    <row r="520" spans="2:8" s="342" customFormat="1">
      <c r="B520" s="345"/>
      <c r="C520" s="339" t="s">
        <v>4519</v>
      </c>
      <c r="D520" s="329"/>
      <c r="E520" s="399"/>
      <c r="G520" s="400"/>
      <c r="H520" s="330">
        <f t="shared" si="10"/>
        <v>0</v>
      </c>
    </row>
    <row r="521" spans="2:8">
      <c r="B521" s="336" t="str">
        <f>'analisa 2019'!A8373</f>
        <v>PK Supl. 1</v>
      </c>
      <c r="C521" s="334" t="str">
        <f>'analisa 2019'!B8373</f>
        <v>Pasang 1 Titik Instalasi Penerangan dan Stop Kontak dengan Kabel NYM 3x2,5 mm²</v>
      </c>
      <c r="D521" s="312"/>
      <c r="E521" s="346">
        <f>'analisa 2019'!$G$8388</f>
        <v>258002.5</v>
      </c>
      <c r="G521" s="305">
        <v>356902.5</v>
      </c>
      <c r="H521" s="315">
        <f t="shared" si="10"/>
        <v>-98900</v>
      </c>
    </row>
    <row r="522" spans="2:8">
      <c r="B522" s="336" t="str">
        <f>'analisa 2019'!A8390</f>
        <v>PK Supl. 1 A</v>
      </c>
      <c r="C522" s="334" t="str">
        <f>'analisa 2019'!B8390</f>
        <v>Pasang 1 Titik Instalasi Penerangan dan Stop Kontak dengan Kabel NYM 3x1,5 mm²</v>
      </c>
      <c r="D522" s="312"/>
      <c r="E522" s="346">
        <f>'analisa 2019'!$G$8405</f>
        <v>196937.5</v>
      </c>
      <c r="H522" s="315"/>
    </row>
    <row r="523" spans="2:8">
      <c r="B523" s="336" t="str">
        <f>'analisa 2019'!A8407</f>
        <v>PK Supl. 1 B</v>
      </c>
      <c r="C523" s="334" t="str">
        <f>'analisa 2019'!B8407</f>
        <v>Pasang 1 Titik Instalasi Penerangan dan Stop Kontak dengan Kabel NYM 2x2,5 mm²</v>
      </c>
      <c r="D523" s="312"/>
      <c r="E523" s="346">
        <f>'analisa 2019'!$G$8422</f>
        <v>246617.5</v>
      </c>
      <c r="G523" s="305">
        <v>163357.5</v>
      </c>
      <c r="H523" s="315">
        <f t="shared" si="10"/>
        <v>83260</v>
      </c>
    </row>
    <row r="524" spans="2:8">
      <c r="B524" s="336" t="str">
        <f>'analisa 2019'!A8424</f>
        <v>PK Supl. 1 C</v>
      </c>
      <c r="C524" s="334" t="str">
        <f>'analisa 2019'!B8424</f>
        <v>Pasang 1 Titik Instalasi Penerangan dan Stop Kontak dengan Kabel NYM 2x1,5 mm²</v>
      </c>
      <c r="D524" s="312"/>
      <c r="E524" s="346">
        <f>'analisa 2019'!$G$8439</f>
        <v>180377.5</v>
      </c>
      <c r="G524" s="305">
        <v>225975</v>
      </c>
      <c r="H524" s="315">
        <f t="shared" si="10"/>
        <v>-45597.5</v>
      </c>
    </row>
    <row r="525" spans="2:8">
      <c r="B525" s="336" t="str">
        <f>'analisa 2019'!A8441</f>
        <v>PK Supl. 1 D</v>
      </c>
      <c r="C525" s="334" t="str">
        <f>'analisa 2019'!B8441</f>
        <v>Pasang 1 Titik Instalasi Penerangan dan Stop Kontak dengan Kabel NYA 3x2,5 mm²</v>
      </c>
      <c r="D525" s="312"/>
      <c r="E525" s="346">
        <f>'analisa 2019'!$G$8456</f>
        <v>332005</v>
      </c>
      <c r="H525" s="315"/>
    </row>
    <row r="526" spans="2:8">
      <c r="B526" s="336" t="str">
        <f>'analisa 2019'!A8458</f>
        <v>PK Supl. 1 E</v>
      </c>
      <c r="C526" s="334" t="str">
        <f>'analisa 2019'!B8458</f>
        <v>Pasang 1 Titik Instalasi Penerangan dan Stop Kontak dengan Kabel NYA 3x1,5 mm²</v>
      </c>
      <c r="D526" s="312"/>
      <c r="E526" s="346">
        <f>'analisa 2019'!$G$8473</f>
        <v>212462.5</v>
      </c>
      <c r="H526" s="315"/>
    </row>
    <row r="527" spans="2:8">
      <c r="B527" s="336" t="str">
        <f>'analisa 2019'!A8475</f>
        <v>PK Supl. 1 F</v>
      </c>
      <c r="C527" s="334" t="str">
        <f>'analisa 2019'!B8475</f>
        <v>Pasang 1 Titik Instalasi Penerangan dan Stop Kontak dengan Kabel NYA 2x2,5 mm²</v>
      </c>
      <c r="D527" s="312"/>
      <c r="E527" s="346">
        <f>'analisa 2019'!$G$8490</f>
        <v>258002.5</v>
      </c>
      <c r="H527" s="315"/>
    </row>
    <row r="528" spans="2:8">
      <c r="B528" s="336" t="str">
        <f>'analisa 2019'!A8492</f>
        <v>PK Supl. 1 G</v>
      </c>
      <c r="C528" s="334" t="str">
        <f>'analisa 2019'!B8492</f>
        <v>Pasang 1 Titik Instalasi Penerangan dan Stop Kontak dengan Kabel NYA 2x1,5 mm²</v>
      </c>
      <c r="D528" s="312"/>
      <c r="E528" s="346">
        <f>'analisa 2019'!$G$8507</f>
        <v>178307.5</v>
      </c>
      <c r="H528" s="315"/>
    </row>
    <row r="529" spans="2:8">
      <c r="B529" s="336" t="str">
        <f>'analisa 2019'!A8509</f>
        <v>PK Supl. 2</v>
      </c>
      <c r="C529" s="334" t="str">
        <f>'analisa 2019'!B8509</f>
        <v>Pasang 1 Lampu TL 1x36 Watt</v>
      </c>
      <c r="D529" s="312"/>
      <c r="E529" s="346">
        <f>'analisa 2019'!$G$8523</f>
        <v>196236</v>
      </c>
      <c r="G529" s="305">
        <v>192533</v>
      </c>
      <c r="H529" s="315">
        <f t="shared" ref="H529:H542" si="11">E529-G529</f>
        <v>3703</v>
      </c>
    </row>
    <row r="530" spans="2:8">
      <c r="B530" s="336" t="str">
        <f>'analisa 2019'!A8525</f>
        <v>PK Supl. 3</v>
      </c>
      <c r="C530" s="334" t="str">
        <f>'analisa 2019'!B8525</f>
        <v>Pasang 1 Lampu TL 2x36 Watt</v>
      </c>
      <c r="D530" s="312"/>
      <c r="E530" s="346">
        <f>'analisa 2019'!$G$8539</f>
        <v>246836</v>
      </c>
      <c r="G530" s="305">
        <v>356983</v>
      </c>
      <c r="H530" s="315">
        <f t="shared" si="11"/>
        <v>-110147</v>
      </c>
    </row>
    <row r="531" spans="2:8">
      <c r="B531" s="336" t="str">
        <f>'analisa 2019'!A8541</f>
        <v>PK Supl. 4</v>
      </c>
      <c r="C531" s="334" t="str">
        <f>'analisa 2019'!B8541</f>
        <v>Pasang 1 Lampu Downlight</v>
      </c>
      <c r="D531" s="312"/>
      <c r="E531" s="346">
        <f>'analisa 2019'!$G$8555</f>
        <v>106536</v>
      </c>
      <c r="G531" s="305">
        <v>102833</v>
      </c>
      <c r="H531" s="315">
        <f t="shared" si="11"/>
        <v>3703</v>
      </c>
    </row>
    <row r="532" spans="2:8">
      <c r="B532" s="336" t="str">
        <f>'analisa 2019'!A8557</f>
        <v>PK Supl. 5</v>
      </c>
      <c r="C532" s="334" t="str">
        <f>'analisa 2019'!B8557</f>
        <v>Pasang 1 Lampu Baret</v>
      </c>
      <c r="D532" s="312"/>
      <c r="E532" s="346">
        <f>'analisa 2019'!$G$8571</f>
        <v>367011</v>
      </c>
      <c r="G532" s="305">
        <v>363308</v>
      </c>
      <c r="H532" s="315">
        <f t="shared" si="11"/>
        <v>3703</v>
      </c>
    </row>
    <row r="533" spans="2:8">
      <c r="B533" s="336" t="str">
        <f>'analisa 2019'!A8573</f>
        <v>PK Supl. 6</v>
      </c>
      <c r="C533" s="334" t="str">
        <f>'analisa 2019'!B8573</f>
        <v>Pasang 1 bh Stop Kontak</v>
      </c>
      <c r="D533" s="312"/>
      <c r="E533" s="346">
        <f>'analisa 2019'!$G$8587</f>
        <v>52658.5</v>
      </c>
      <c r="G533" s="305">
        <v>48955.5</v>
      </c>
      <c r="H533" s="315">
        <f t="shared" si="11"/>
        <v>3703</v>
      </c>
    </row>
    <row r="534" spans="2:8">
      <c r="B534" s="336" t="str">
        <f>'analisa 2019'!A8589</f>
        <v>PK Supl. 7</v>
      </c>
      <c r="C534" s="334" t="str">
        <f>'analisa 2019'!B8589</f>
        <v>Pasang 1 bh Saklar Tunggal</v>
      </c>
      <c r="D534" s="312"/>
      <c r="E534" s="346">
        <f>'analisa 2019'!$G$8603</f>
        <v>48231</v>
      </c>
      <c r="G534" s="305">
        <v>44528</v>
      </c>
      <c r="H534" s="315">
        <f t="shared" si="11"/>
        <v>3703</v>
      </c>
    </row>
    <row r="535" spans="2:8">
      <c r="B535" s="336" t="str">
        <f>'analisa 2019'!A8605</f>
        <v>PK Supl. 8</v>
      </c>
      <c r="C535" s="334" t="str">
        <f>'analisa 2019'!B8605</f>
        <v>Pasang 1 bh Saklar Ganda</v>
      </c>
      <c r="D535" s="312"/>
      <c r="E535" s="346">
        <f>'analisa 2019'!$G$8619</f>
        <v>53291</v>
      </c>
      <c r="G535" s="305">
        <v>49588</v>
      </c>
      <c r="H535" s="315">
        <f t="shared" si="11"/>
        <v>3703</v>
      </c>
    </row>
    <row r="536" spans="2:8">
      <c r="B536" s="336" t="str">
        <f>'analisa 2019'!A8621</f>
        <v>PK Supl. 9</v>
      </c>
      <c r="C536" s="334" t="str">
        <f>'analisa 2019'!B8621</f>
        <v>Pasang 1 bh Saklar Triple</v>
      </c>
      <c r="D536" s="312"/>
      <c r="E536" s="346">
        <f>'analisa 2019'!$G$8635</f>
        <v>57086</v>
      </c>
      <c r="G536" s="305">
        <v>53383</v>
      </c>
      <c r="H536" s="315">
        <f t="shared" si="11"/>
        <v>3703</v>
      </c>
    </row>
    <row r="537" spans="2:8">
      <c r="B537" s="336" t="str">
        <f>'analisa 2019'!A8637</f>
        <v>PK Supl. 10</v>
      </c>
      <c r="C537" s="334" t="str">
        <f>'analisa 2019'!B8637</f>
        <v>Pasang 1M' Kabel Feeder NYY 4x10 mm²</v>
      </c>
      <c r="D537" s="312"/>
      <c r="E537" s="346">
        <f>'analisa 2019'!$G$8651</f>
        <v>151961</v>
      </c>
      <c r="G537" s="305">
        <v>148258</v>
      </c>
      <c r="H537" s="315">
        <f t="shared" si="11"/>
        <v>3703</v>
      </c>
    </row>
    <row r="538" spans="2:8">
      <c r="B538" s="336" t="str">
        <f>'analisa 2019'!A8653</f>
        <v>PK Supl. 11 PLN.1</v>
      </c>
      <c r="C538" s="334" t="str">
        <f>'analisa 2019'!B8653</f>
        <v>Penyambungan Listrik Pasca Bayar Daya 1300 VA</v>
      </c>
      <c r="D538" s="312"/>
      <c r="E538" s="346">
        <f>'analisa 2019'!$G$8660</f>
        <v>1400700</v>
      </c>
      <c r="G538" s="305">
        <v>1400700</v>
      </c>
      <c r="H538" s="315">
        <f t="shared" si="11"/>
        <v>0</v>
      </c>
    </row>
    <row r="539" spans="2:8">
      <c r="B539" s="347" t="str">
        <f>'analisa 2019'!A8662</f>
        <v>PK Supl. 11 PLN.2</v>
      </c>
      <c r="C539" s="337" t="str">
        <f>'analisa 2019'!B8662</f>
        <v>Penyambungan Listrik Pasca Bayar Daya 2200 VA</v>
      </c>
      <c r="D539" s="348"/>
      <c r="E539" s="349">
        <f>'analisa 2019'!$G$8669</f>
        <v>2371300</v>
      </c>
      <c r="G539" s="305">
        <v>2371300</v>
      </c>
      <c r="H539" s="315">
        <f t="shared" si="11"/>
        <v>0</v>
      </c>
    </row>
    <row r="540" spans="2:8">
      <c r="B540" s="347" t="str">
        <f>'analisa 2019'!A8671</f>
        <v>PK Supl. 11 PLN.3</v>
      </c>
      <c r="C540" s="337" t="str">
        <f>'analisa 2019'!B8671</f>
        <v>Penyambungan Listrik Pasca Bayar Daya 3500 VA</v>
      </c>
      <c r="D540" s="338"/>
      <c r="E540" s="349">
        <f>'analisa 2019'!$G$8681</f>
        <v>4886350</v>
      </c>
      <c r="G540" s="305">
        <v>4886350</v>
      </c>
      <c r="H540" s="315">
        <f t="shared" si="11"/>
        <v>0</v>
      </c>
    </row>
    <row r="541" spans="2:8">
      <c r="B541" s="310" t="str">
        <f>'analisa 2019'!A8683</f>
        <v>PK Supl. 12 PLN.1</v>
      </c>
      <c r="C541" s="334" t="str">
        <f>'analisa 2019'!B8683</f>
        <v>Penyambungan Listrik Pasca Bayar Daya 13200 VA</v>
      </c>
      <c r="D541" s="335"/>
      <c r="E541" s="346">
        <f>'analisa 2019'!$G$8711</f>
        <v>70012920</v>
      </c>
      <c r="G541" s="305">
        <v>70012920</v>
      </c>
      <c r="H541" s="315">
        <f t="shared" si="11"/>
        <v>0</v>
      </c>
    </row>
    <row r="542" spans="2:8">
      <c r="B542" s="310" t="str">
        <f>'analisa 2019'!A8713</f>
        <v>PK Supl. 12 PLN.2</v>
      </c>
      <c r="C542" s="395" t="str">
        <f>'analisa 2019'!B8713</f>
        <v>Penyambungan Listrik Pasca Bayar Daya 16500 VA</v>
      </c>
      <c r="D542" s="335"/>
      <c r="E542" s="346">
        <f>'analisa 2019'!$G$8741</f>
        <v>84395050</v>
      </c>
      <c r="G542" s="305">
        <v>84395050</v>
      </c>
      <c r="H542" s="315">
        <f t="shared" si="11"/>
        <v>0</v>
      </c>
    </row>
    <row r="543" spans="2:8">
      <c r="B543" s="320"/>
      <c r="C543" s="343"/>
      <c r="D543" s="344"/>
      <c r="E543" s="320"/>
    </row>
    <row r="544" spans="2:8">
      <c r="C544" s="350"/>
    </row>
    <row r="545" spans="3:3">
      <c r="C545" s="350" t="str">
        <f>'UPAD-BAHAN-ALAT'!H824</f>
        <v>Medan,                                                          2019</v>
      </c>
    </row>
    <row r="546" spans="3:3">
      <c r="C546" s="350" t="str">
        <f>'UPAD-BAHAN-ALAT'!H825</f>
        <v>Diketahui / Disetujui Oleh;</v>
      </c>
    </row>
    <row r="547" spans="3:3">
      <c r="C547" s="350" t="str">
        <f>'UPAD-BAHAN-ALAT'!H826</f>
        <v>Plt. KEPALA DINAS</v>
      </c>
    </row>
    <row r="548" spans="3:3">
      <c r="C548" s="1313" t="str">
        <f>'UPAD-BAHAN-ALAT'!H827</f>
        <v>PERUMAHAN, KAWASAN PERMUKIMAN DAN PENATAAN RUANG KOTA MEDAN</v>
      </c>
    </row>
    <row r="549" spans="3:3">
      <c r="C549" s="1313"/>
    </row>
    <row r="555" spans="3:3">
      <c r="C555" s="590" t="str">
        <f>'UPAD-BAHAN-ALAT'!H836</f>
        <v>BENNY ISKANDAR, ST, MT</v>
      </c>
    </row>
    <row r="556" spans="3:3">
      <c r="C556" s="590" t="str">
        <f>'UPAD-BAHAN-ALAT'!H837</f>
        <v>Pembina</v>
      </c>
    </row>
    <row r="557" spans="3:3">
      <c r="C557" s="590" t="str">
        <f>'UPAD-BAHAN-ALAT'!H838</f>
        <v>NIP. 19740429 200003 1 008</v>
      </c>
    </row>
  </sheetData>
  <mergeCells count="12">
    <mergeCell ref="C548:C549"/>
    <mergeCell ref="B1:E1"/>
    <mergeCell ref="C501:D501"/>
    <mergeCell ref="C502:D502"/>
    <mergeCell ref="C503:D503"/>
    <mergeCell ref="C500:D500"/>
    <mergeCell ref="C311:D311"/>
    <mergeCell ref="C312:D312"/>
    <mergeCell ref="C243:D243"/>
    <mergeCell ref="C249:D249"/>
    <mergeCell ref="C498:D498"/>
    <mergeCell ref="C499:D499"/>
  </mergeCells>
  <pageMargins left="0.59055118110236227" right="0.23622047244094491" top="0.3" bottom="0.15" header="0.23" footer="0.12"/>
  <pageSetup paperSize="400" scale="82" orientation="portrait" horizontalDpi="4294967294" r:id="rId1"/>
  <rowBreaks count="8" manualBreakCount="8">
    <brk id="65" max="4" man="1"/>
    <brk id="131" max="4" man="1"/>
    <brk id="195" max="4" man="1"/>
    <brk id="256" max="4" man="1"/>
    <brk id="319" max="4" man="1"/>
    <brk id="382" max="4" man="1"/>
    <brk id="445" max="4" man="1"/>
    <brk id="508" max="4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9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9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7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5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6.5703125" customWidth="1"/>
    <col min="5" max="5" width="7.85546875" customWidth="1"/>
    <col min="6" max="7" width="10.140625" customWidth="1"/>
  </cols>
  <sheetData>
    <row r="1" spans="1:7">
      <c r="A1" s="65" t="s">
        <v>2310</v>
      </c>
    </row>
    <row r="3" spans="1:7" ht="35.1" customHeight="1">
      <c r="A3" s="6" t="s">
        <v>762</v>
      </c>
      <c r="B3" s="135" t="s">
        <v>763</v>
      </c>
      <c r="C3" s="112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3" t="s">
        <v>671</v>
      </c>
      <c r="B4" s="141" t="s">
        <v>672</v>
      </c>
      <c r="C4" s="109"/>
      <c r="D4" s="130"/>
      <c r="E4" s="130"/>
      <c r="F4" s="130"/>
      <c r="G4" s="152"/>
    </row>
    <row r="5" spans="1:7" ht="13.7" customHeight="1">
      <c r="A5" s="5"/>
      <c r="B5" s="141" t="s">
        <v>673</v>
      </c>
      <c r="C5" s="110" t="s">
        <v>674</v>
      </c>
      <c r="D5" s="141" t="s">
        <v>675</v>
      </c>
      <c r="E5" s="141" t="s">
        <v>740</v>
      </c>
      <c r="F5" s="130"/>
      <c r="G5" s="152"/>
    </row>
    <row r="6" spans="1:7" ht="13.9" customHeight="1">
      <c r="A6" s="5"/>
      <c r="B6" s="141" t="s">
        <v>677</v>
      </c>
      <c r="C6" s="110" t="s">
        <v>681</v>
      </c>
      <c r="D6" s="141" t="s">
        <v>675</v>
      </c>
      <c r="E6" s="141" t="s">
        <v>753</v>
      </c>
      <c r="F6" s="130"/>
      <c r="G6" s="152"/>
    </row>
    <row r="7" spans="1:7" ht="13.7" customHeight="1">
      <c r="A7" s="5"/>
      <c r="B7" s="141" t="s">
        <v>751</v>
      </c>
      <c r="C7" s="110" t="s">
        <v>1202</v>
      </c>
      <c r="D7" s="141" t="s">
        <v>675</v>
      </c>
      <c r="E7" s="141" t="s">
        <v>693</v>
      </c>
      <c r="F7" s="130"/>
      <c r="G7" s="152"/>
    </row>
    <row r="8" spans="1:7" ht="13.7" customHeight="1">
      <c r="A8" s="5"/>
      <c r="B8" s="141" t="s">
        <v>683</v>
      </c>
      <c r="C8" s="110" t="s">
        <v>1204</v>
      </c>
      <c r="D8" s="141" t="s">
        <v>675</v>
      </c>
      <c r="E8" s="141" t="s">
        <v>868</v>
      </c>
      <c r="F8" s="130"/>
      <c r="G8" s="152"/>
    </row>
    <row r="9" spans="1:7" ht="12" customHeight="1">
      <c r="A9" s="5"/>
      <c r="B9" s="130"/>
      <c r="C9" s="109"/>
      <c r="D9" s="130"/>
      <c r="E9" s="141" t="s">
        <v>685</v>
      </c>
      <c r="F9" s="147"/>
      <c r="G9" s="152"/>
    </row>
    <row r="10" spans="1:7" ht="12" customHeight="1">
      <c r="A10" s="3" t="s">
        <v>686</v>
      </c>
      <c r="B10" s="141" t="s">
        <v>687</v>
      </c>
      <c r="C10" s="109"/>
      <c r="D10" s="130"/>
      <c r="E10" s="130"/>
      <c r="F10" s="130"/>
      <c r="G10" s="152"/>
    </row>
    <row r="11" spans="1:7" ht="13.9" customHeight="1">
      <c r="A11" s="5"/>
      <c r="B11" s="141" t="s">
        <v>1263</v>
      </c>
      <c r="C11" s="109"/>
      <c r="D11" s="141" t="s">
        <v>1264</v>
      </c>
      <c r="E11" s="141" t="s">
        <v>1140</v>
      </c>
      <c r="F11" s="130"/>
      <c r="G11" s="152"/>
    </row>
    <row r="12" spans="1:7" ht="12" customHeight="1">
      <c r="A12" s="5"/>
      <c r="B12" s="130"/>
      <c r="C12" s="109"/>
      <c r="D12" s="130"/>
      <c r="E12" s="141" t="s">
        <v>702</v>
      </c>
      <c r="F12" s="147"/>
      <c r="G12" s="152"/>
    </row>
    <row r="13" spans="1:7" ht="12" customHeight="1">
      <c r="A13" s="3" t="s">
        <v>703</v>
      </c>
      <c r="B13" s="141" t="s">
        <v>704</v>
      </c>
      <c r="C13" s="109"/>
      <c r="D13" s="130"/>
      <c r="E13" s="130"/>
      <c r="F13" s="130"/>
      <c r="G13" s="152"/>
    </row>
    <row r="14" spans="1:7" ht="12" customHeight="1">
      <c r="A14" s="5"/>
      <c r="B14" s="130"/>
      <c r="C14" s="109"/>
      <c r="D14" s="130"/>
      <c r="E14" s="130"/>
      <c r="F14" s="130"/>
      <c r="G14" s="152"/>
    </row>
    <row r="15" spans="1:7" ht="12" customHeight="1">
      <c r="A15" s="5"/>
      <c r="B15" s="130"/>
      <c r="C15" s="109"/>
      <c r="D15" s="130"/>
      <c r="E15" s="141" t="s">
        <v>705</v>
      </c>
      <c r="F15" s="147"/>
      <c r="G15" s="152"/>
    </row>
    <row r="16" spans="1:7" ht="12" customHeight="1">
      <c r="A16" s="5"/>
      <c r="B16" s="130"/>
      <c r="C16" s="109"/>
      <c r="D16" s="130"/>
      <c r="E16" s="130"/>
      <c r="F16" s="130"/>
      <c r="G16" s="152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52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52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5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96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.2851562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 ht="12" customHeight="1">
      <c r="A1" s="157" t="s">
        <v>2311</v>
      </c>
      <c r="B1" s="68"/>
      <c r="C1" s="68"/>
      <c r="D1" s="68"/>
      <c r="E1" s="68"/>
      <c r="F1" s="68"/>
      <c r="G1" s="66"/>
    </row>
    <row r="2" spans="1:7" ht="12" customHeight="1">
      <c r="A2" s="158" t="s">
        <v>2312</v>
      </c>
      <c r="B2" s="68"/>
      <c r="C2" s="68"/>
      <c r="D2" s="68"/>
      <c r="E2" s="68"/>
      <c r="F2" s="68"/>
      <c r="G2" s="66"/>
    </row>
    <row r="3" spans="1:7" ht="12" customHeight="1">
      <c r="A3" s="145"/>
      <c r="B3" s="145"/>
      <c r="C3" s="145"/>
      <c r="D3" s="145"/>
      <c r="E3" s="145"/>
      <c r="F3" s="145"/>
      <c r="G3" s="140"/>
    </row>
    <row r="4" spans="1:7" ht="40.15" customHeight="1">
      <c r="A4" s="112" t="s">
        <v>762</v>
      </c>
      <c r="B4" s="112" t="s">
        <v>763</v>
      </c>
      <c r="C4" s="135" t="s">
        <v>764</v>
      </c>
      <c r="D4" s="135" t="s">
        <v>765</v>
      </c>
      <c r="E4" s="135" t="s">
        <v>766</v>
      </c>
      <c r="F4" s="135" t="s">
        <v>767</v>
      </c>
      <c r="G4" s="113" t="s">
        <v>768</v>
      </c>
    </row>
    <row r="5" spans="1:7" ht="13.7" customHeight="1">
      <c r="A5" s="110" t="s">
        <v>671</v>
      </c>
      <c r="B5" s="110" t="s">
        <v>672</v>
      </c>
      <c r="C5" s="130"/>
      <c r="D5" s="130"/>
      <c r="E5" s="130"/>
      <c r="F5" s="130"/>
      <c r="G5" s="109"/>
    </row>
    <row r="6" spans="1:7" ht="13.9" customHeight="1">
      <c r="A6" s="109"/>
      <c r="B6" s="110" t="s">
        <v>673</v>
      </c>
      <c r="C6" s="141" t="s">
        <v>674</v>
      </c>
      <c r="D6" s="141" t="s">
        <v>675</v>
      </c>
      <c r="E6" s="141" t="s">
        <v>999</v>
      </c>
      <c r="F6" s="130"/>
      <c r="G6" s="109"/>
    </row>
    <row r="7" spans="1:7" ht="13.7" customHeight="1">
      <c r="A7" s="109"/>
      <c r="B7" s="110" t="s">
        <v>871</v>
      </c>
      <c r="C7" s="141" t="s">
        <v>681</v>
      </c>
      <c r="D7" s="141" t="s">
        <v>675</v>
      </c>
      <c r="E7" s="141" t="s">
        <v>1265</v>
      </c>
      <c r="F7" s="130"/>
      <c r="G7" s="109"/>
    </row>
    <row r="8" spans="1:7" ht="13.9" customHeight="1">
      <c r="A8" s="109"/>
      <c r="B8" s="110" t="s">
        <v>751</v>
      </c>
      <c r="C8" s="141" t="s">
        <v>681</v>
      </c>
      <c r="D8" s="141" t="s">
        <v>675</v>
      </c>
      <c r="E8" s="141" t="s">
        <v>844</v>
      </c>
      <c r="F8" s="130"/>
      <c r="G8" s="109"/>
    </row>
    <row r="9" spans="1:7" ht="13.7" customHeight="1">
      <c r="A9" s="109"/>
      <c r="B9" s="110" t="s">
        <v>683</v>
      </c>
      <c r="C9" s="141" t="s">
        <v>684</v>
      </c>
      <c r="D9" s="141" t="s">
        <v>675</v>
      </c>
      <c r="E9" s="141" t="s">
        <v>845</v>
      </c>
      <c r="F9" s="130"/>
      <c r="G9" s="109"/>
    </row>
    <row r="10" spans="1:7" ht="13.7" customHeight="1">
      <c r="A10" s="109"/>
      <c r="B10" s="109"/>
      <c r="C10" s="130"/>
      <c r="D10" s="130"/>
      <c r="E10" s="141" t="s">
        <v>685</v>
      </c>
      <c r="F10" s="147"/>
      <c r="G10" s="109"/>
    </row>
    <row r="11" spans="1:7" ht="13.9" customHeight="1">
      <c r="A11" s="110" t="s">
        <v>686</v>
      </c>
      <c r="B11" s="110" t="s">
        <v>687</v>
      </c>
      <c r="C11" s="130"/>
      <c r="D11" s="130"/>
      <c r="E11" s="130"/>
      <c r="F11" s="130"/>
      <c r="G11" s="109"/>
    </row>
    <row r="12" spans="1:7" ht="13.7" customHeight="1">
      <c r="A12" s="109"/>
      <c r="B12" s="110" t="s">
        <v>1266</v>
      </c>
      <c r="C12" s="130"/>
      <c r="D12" s="146" t="s">
        <v>815</v>
      </c>
      <c r="E12" s="141" t="s">
        <v>737</v>
      </c>
      <c r="F12" s="130"/>
      <c r="G12" s="109"/>
    </row>
    <row r="13" spans="1:7" ht="13.7" customHeight="1">
      <c r="A13" s="109"/>
      <c r="B13" s="110" t="s">
        <v>1267</v>
      </c>
      <c r="C13" s="130"/>
      <c r="D13" s="141" t="s">
        <v>690</v>
      </c>
      <c r="E13" s="141" t="s">
        <v>713</v>
      </c>
      <c r="F13" s="130"/>
      <c r="G13" s="109"/>
    </row>
    <row r="14" spans="1:7" ht="13.9" customHeight="1">
      <c r="A14" s="109"/>
      <c r="B14" s="110" t="s">
        <v>1268</v>
      </c>
      <c r="C14" s="130"/>
      <c r="D14" s="141" t="s">
        <v>690</v>
      </c>
      <c r="E14" s="141" t="s">
        <v>775</v>
      </c>
      <c r="F14" s="130"/>
      <c r="G14" s="109"/>
    </row>
    <row r="15" spans="1:7" ht="13.7" customHeight="1">
      <c r="A15" s="109"/>
      <c r="B15" s="109"/>
      <c r="C15" s="130"/>
      <c r="D15" s="130"/>
      <c r="E15" s="141" t="s">
        <v>702</v>
      </c>
      <c r="F15" s="147"/>
      <c r="G15" s="109"/>
    </row>
    <row r="16" spans="1:7" ht="13.7" customHeight="1">
      <c r="A16" s="110" t="s">
        <v>703</v>
      </c>
      <c r="B16" s="110" t="s">
        <v>704</v>
      </c>
      <c r="C16" s="130"/>
      <c r="D16" s="130"/>
      <c r="E16" s="130"/>
      <c r="F16" s="130"/>
      <c r="G16" s="109"/>
    </row>
    <row r="17" spans="1:7" ht="13.9" customHeight="1">
      <c r="A17" s="109"/>
      <c r="B17" s="109"/>
      <c r="C17" s="130"/>
      <c r="D17" s="130"/>
      <c r="E17" s="141" t="s">
        <v>705</v>
      </c>
      <c r="F17" s="147"/>
      <c r="G17" s="109"/>
    </row>
    <row r="18" spans="1:7" ht="13.7" customHeight="1">
      <c r="A18" s="109"/>
      <c r="B18" s="109"/>
      <c r="C18" s="130"/>
      <c r="D18" s="130"/>
      <c r="E18" s="130"/>
      <c r="F18" s="130"/>
      <c r="G18" s="109"/>
    </row>
    <row r="19" spans="1:7" ht="13.9" customHeight="1">
      <c r="A19" s="110" t="s">
        <v>706</v>
      </c>
      <c r="B19" s="141" t="s">
        <v>707</v>
      </c>
      <c r="C19" s="147"/>
      <c r="D19" s="147"/>
      <c r="E19" s="147"/>
      <c r="F19" s="147"/>
      <c r="G19" s="109"/>
    </row>
    <row r="20" spans="1:7" ht="13.7" customHeight="1">
      <c r="A20" s="110" t="s">
        <v>708</v>
      </c>
      <c r="B20" s="136" t="s">
        <v>876</v>
      </c>
      <c r="C20" s="137"/>
      <c r="D20" s="137"/>
      <c r="E20" s="141" t="s">
        <v>710</v>
      </c>
      <c r="F20" s="147"/>
      <c r="G20" s="109"/>
    </row>
    <row r="21" spans="1:7" ht="13.7" customHeight="1">
      <c r="A21" s="26" t="s">
        <v>711</v>
      </c>
      <c r="B21" s="1331" t="s">
        <v>712</v>
      </c>
      <c r="C21" s="1331"/>
      <c r="D21" s="1331"/>
      <c r="E21" s="1331"/>
      <c r="F21" s="1331"/>
      <c r="G21" s="28"/>
    </row>
  </sheetData>
  <mergeCells count="1">
    <mergeCell ref="B21:F21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9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2313</v>
      </c>
    </row>
    <row r="3" spans="1:7" ht="40.15" customHeight="1">
      <c r="A3" s="11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13" t="s">
        <v>768</v>
      </c>
    </row>
    <row r="4" spans="1:7" ht="13.7" customHeight="1">
      <c r="A4" s="110" t="s">
        <v>671</v>
      </c>
      <c r="B4" s="141" t="s">
        <v>672</v>
      </c>
      <c r="C4" s="130"/>
      <c r="D4" s="130"/>
      <c r="E4" s="130"/>
      <c r="F4" s="130"/>
      <c r="G4" s="109"/>
    </row>
    <row r="5" spans="1:7" ht="13.7" customHeight="1">
      <c r="A5" s="109"/>
      <c r="B5" s="141" t="s">
        <v>673</v>
      </c>
      <c r="C5" s="141" t="s">
        <v>674</v>
      </c>
      <c r="D5" s="141" t="s">
        <v>675</v>
      </c>
      <c r="E5" s="141" t="s">
        <v>813</v>
      </c>
      <c r="F5" s="130"/>
      <c r="G5" s="109"/>
    </row>
    <row r="6" spans="1:7" ht="13.9" customHeight="1">
      <c r="A6" s="109"/>
      <c r="B6" s="141" t="s">
        <v>871</v>
      </c>
      <c r="C6" s="141" t="s">
        <v>681</v>
      </c>
      <c r="D6" s="141" t="s">
        <v>675</v>
      </c>
      <c r="E6" s="141" t="s">
        <v>1269</v>
      </c>
      <c r="F6" s="130"/>
      <c r="G6" s="109"/>
    </row>
    <row r="7" spans="1:7" ht="13.7" customHeight="1">
      <c r="A7" s="109"/>
      <c r="B7" s="141" t="s">
        <v>751</v>
      </c>
      <c r="C7" s="141" t="s">
        <v>681</v>
      </c>
      <c r="D7" s="141" t="s">
        <v>675</v>
      </c>
      <c r="E7" s="141" t="s">
        <v>836</v>
      </c>
      <c r="F7" s="130"/>
      <c r="G7" s="109"/>
    </row>
    <row r="8" spans="1:7" ht="13.7" customHeight="1">
      <c r="A8" s="109"/>
      <c r="B8" s="141" t="s">
        <v>683</v>
      </c>
      <c r="C8" s="141" t="s">
        <v>684</v>
      </c>
      <c r="D8" s="141" t="s">
        <v>675</v>
      </c>
      <c r="E8" s="141" t="s">
        <v>718</v>
      </c>
      <c r="F8" s="130"/>
      <c r="G8" s="109"/>
    </row>
    <row r="9" spans="1:7" ht="13.9" customHeight="1">
      <c r="A9" s="109"/>
      <c r="B9" s="130"/>
      <c r="C9" s="130"/>
      <c r="D9" s="130"/>
      <c r="E9" s="141" t="s">
        <v>685</v>
      </c>
      <c r="F9" s="147"/>
      <c r="G9" s="109"/>
    </row>
    <row r="10" spans="1:7" ht="13.7" customHeight="1">
      <c r="A10" s="110" t="s">
        <v>686</v>
      </c>
      <c r="B10" s="141" t="s">
        <v>687</v>
      </c>
      <c r="C10" s="130"/>
      <c r="D10" s="130"/>
      <c r="E10" s="130"/>
      <c r="F10" s="130"/>
      <c r="G10" s="109"/>
    </row>
    <row r="11" spans="1:7" ht="13.9" customHeight="1">
      <c r="A11" s="109"/>
      <c r="B11" s="141" t="s">
        <v>1266</v>
      </c>
      <c r="C11" s="130"/>
      <c r="D11" s="146" t="s">
        <v>815</v>
      </c>
      <c r="E11" s="141" t="s">
        <v>800</v>
      </c>
      <c r="F11" s="130"/>
      <c r="G11" s="109"/>
    </row>
    <row r="12" spans="1:7" ht="13.7" customHeight="1">
      <c r="A12" s="109"/>
      <c r="B12" s="141" t="s">
        <v>1267</v>
      </c>
      <c r="C12" s="130"/>
      <c r="D12" s="141" t="s">
        <v>690</v>
      </c>
      <c r="E12" s="141" t="s">
        <v>713</v>
      </c>
      <c r="F12" s="130"/>
      <c r="G12" s="109"/>
    </row>
    <row r="13" spans="1:7" ht="13.7" customHeight="1">
      <c r="A13" s="109"/>
      <c r="B13" s="141" t="s">
        <v>1268</v>
      </c>
      <c r="C13" s="130"/>
      <c r="D13" s="141" t="s">
        <v>690</v>
      </c>
      <c r="E13" s="141" t="s">
        <v>775</v>
      </c>
      <c r="F13" s="130"/>
      <c r="G13" s="109"/>
    </row>
    <row r="14" spans="1:7" ht="13.9" customHeight="1">
      <c r="A14" s="109"/>
      <c r="B14" s="130"/>
      <c r="C14" s="130"/>
      <c r="D14" s="130"/>
      <c r="E14" s="141" t="s">
        <v>702</v>
      </c>
      <c r="F14" s="147"/>
      <c r="G14" s="109"/>
    </row>
    <row r="15" spans="1:7" ht="13.7" customHeight="1">
      <c r="A15" s="110" t="s">
        <v>703</v>
      </c>
      <c r="B15" s="141" t="s">
        <v>704</v>
      </c>
      <c r="C15" s="130"/>
      <c r="D15" s="130"/>
      <c r="E15" s="130"/>
      <c r="F15" s="130"/>
      <c r="G15" s="109"/>
    </row>
    <row r="16" spans="1:7" ht="13.7" customHeight="1">
      <c r="A16" s="109"/>
      <c r="B16" s="130"/>
      <c r="C16" s="130"/>
      <c r="D16" s="130"/>
      <c r="E16" s="141" t="s">
        <v>705</v>
      </c>
      <c r="F16" s="147"/>
      <c r="G16" s="109"/>
    </row>
    <row r="17" spans="1:7" ht="13.9" customHeight="1">
      <c r="A17" s="109"/>
      <c r="B17" s="130"/>
      <c r="C17" s="130"/>
      <c r="D17" s="131"/>
      <c r="E17" s="130"/>
      <c r="F17" s="130"/>
      <c r="G17" s="109"/>
    </row>
    <row r="18" spans="1:7" ht="13.7" customHeight="1">
      <c r="A18" s="110" t="s">
        <v>706</v>
      </c>
      <c r="B18" s="141" t="s">
        <v>707</v>
      </c>
      <c r="C18" s="147"/>
      <c r="D18" s="147"/>
      <c r="E18" s="147"/>
      <c r="F18" s="147"/>
      <c r="G18" s="109"/>
    </row>
    <row r="19" spans="1:7" ht="13.7" customHeight="1">
      <c r="A19" s="110" t="s">
        <v>708</v>
      </c>
      <c r="B19" s="136" t="s">
        <v>876</v>
      </c>
      <c r="C19" s="137"/>
      <c r="D19" s="137"/>
      <c r="E19" s="141" t="s">
        <v>710</v>
      </c>
      <c r="F19" s="147"/>
      <c r="G19" s="109"/>
    </row>
    <row r="20" spans="1:7" ht="13.9" customHeight="1">
      <c r="A20" s="110" t="s">
        <v>711</v>
      </c>
      <c r="B20" s="141" t="s">
        <v>712</v>
      </c>
      <c r="C20" s="147"/>
      <c r="D20" s="147"/>
      <c r="E20" s="147"/>
      <c r="F20" s="147"/>
      <c r="G20" s="109"/>
    </row>
    <row r="21" spans="1:7" ht="13.9" customHeight="1">
      <c r="A21" s="110"/>
      <c r="B21" s="111"/>
      <c r="C21" s="111"/>
      <c r="D21" s="111"/>
      <c r="E21" s="111"/>
      <c r="F21" s="111"/>
      <c r="G21" s="109"/>
    </row>
    <row r="22" spans="1:7" ht="13.9" customHeight="1">
      <c r="A22" s="71" t="s">
        <v>2314</v>
      </c>
      <c r="B22" s="111"/>
      <c r="C22" s="111"/>
      <c r="D22" s="111"/>
      <c r="E22" s="111"/>
      <c r="F22" s="111"/>
      <c r="G22" s="109"/>
    </row>
    <row r="23" spans="1:7" ht="13.9" customHeight="1">
      <c r="A23" s="110"/>
      <c r="B23" s="111"/>
      <c r="C23" s="111"/>
      <c r="D23" s="111"/>
      <c r="E23" s="111"/>
      <c r="F23" s="111"/>
      <c r="G23" s="109"/>
    </row>
    <row r="24" spans="1:7" ht="40.15" customHeight="1">
      <c r="A24" s="112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154" t="s">
        <v>768</v>
      </c>
    </row>
    <row r="25" spans="1:7" ht="13.7" customHeight="1">
      <c r="A25" s="110" t="s">
        <v>671</v>
      </c>
      <c r="B25" s="110" t="s">
        <v>672</v>
      </c>
      <c r="C25" s="130"/>
      <c r="D25" s="130"/>
      <c r="E25" s="130"/>
      <c r="F25" s="131"/>
      <c r="G25" s="131"/>
    </row>
    <row r="26" spans="1:7" ht="13.9" customHeight="1">
      <c r="A26" s="109"/>
      <c r="B26" s="110" t="s">
        <v>673</v>
      </c>
      <c r="C26" s="141" t="s">
        <v>674</v>
      </c>
      <c r="D26" s="141" t="s">
        <v>675</v>
      </c>
      <c r="E26" s="141" t="s">
        <v>845</v>
      </c>
      <c r="F26" s="131"/>
      <c r="G26" s="131"/>
    </row>
    <row r="27" spans="1:7" ht="13.7" customHeight="1">
      <c r="A27" s="109"/>
      <c r="B27" s="110" t="s">
        <v>871</v>
      </c>
      <c r="C27" s="141" t="s">
        <v>681</v>
      </c>
      <c r="D27" s="141" t="s">
        <v>675</v>
      </c>
      <c r="E27" s="141" t="s">
        <v>797</v>
      </c>
      <c r="F27" s="131"/>
      <c r="G27" s="131"/>
    </row>
    <row r="28" spans="1:7" ht="13.9" customHeight="1">
      <c r="A28" s="109"/>
      <c r="B28" s="110" t="s">
        <v>751</v>
      </c>
      <c r="C28" s="141" t="s">
        <v>681</v>
      </c>
      <c r="D28" s="141" t="s">
        <v>675</v>
      </c>
      <c r="E28" s="141" t="s">
        <v>847</v>
      </c>
      <c r="F28" s="131"/>
      <c r="G28" s="131"/>
    </row>
    <row r="29" spans="1:7" ht="13.7" customHeight="1">
      <c r="A29" s="109"/>
      <c r="B29" s="110" t="s">
        <v>683</v>
      </c>
      <c r="C29" s="141" t="s">
        <v>684</v>
      </c>
      <c r="D29" s="141" t="s">
        <v>675</v>
      </c>
      <c r="E29" s="141" t="s">
        <v>865</v>
      </c>
      <c r="F29" s="131"/>
      <c r="G29" s="131"/>
    </row>
    <row r="30" spans="1:7" ht="13.7" customHeight="1">
      <c r="A30" s="109"/>
      <c r="B30" s="109"/>
      <c r="C30" s="130"/>
      <c r="D30" s="130"/>
      <c r="E30" s="141" t="s">
        <v>685</v>
      </c>
      <c r="F30" s="142"/>
      <c r="G30" s="131"/>
    </row>
    <row r="31" spans="1:7" ht="13.9" customHeight="1">
      <c r="A31" s="110" t="s">
        <v>686</v>
      </c>
      <c r="B31" s="110" t="s">
        <v>687</v>
      </c>
      <c r="C31" s="131"/>
      <c r="D31" s="130"/>
      <c r="E31" s="130"/>
      <c r="F31" s="131"/>
      <c r="G31" s="131"/>
    </row>
    <row r="32" spans="1:7" ht="14.45" customHeight="1">
      <c r="A32" s="109"/>
      <c r="B32" s="110" t="s">
        <v>1270</v>
      </c>
      <c r="C32" s="131"/>
      <c r="D32" s="160" t="s">
        <v>1271</v>
      </c>
      <c r="E32" s="141" t="s">
        <v>805</v>
      </c>
      <c r="F32" s="131"/>
      <c r="G32" s="131"/>
    </row>
    <row r="33" spans="1:7" ht="13.7" customHeight="1">
      <c r="A33" s="109"/>
      <c r="B33" s="110" t="s">
        <v>1272</v>
      </c>
      <c r="C33" s="131"/>
      <c r="D33" s="141" t="s">
        <v>690</v>
      </c>
      <c r="E33" s="141" t="s">
        <v>801</v>
      </c>
      <c r="F33" s="131"/>
      <c r="G33" s="131"/>
    </row>
    <row r="34" spans="1:7" ht="13.9" customHeight="1">
      <c r="A34" s="109"/>
      <c r="B34" s="109"/>
      <c r="C34" s="131"/>
      <c r="D34" s="130"/>
      <c r="E34" s="141" t="s">
        <v>702</v>
      </c>
      <c r="F34" s="142"/>
      <c r="G34" s="131"/>
    </row>
    <row r="35" spans="1:7" ht="13.7" customHeight="1">
      <c r="A35" s="110" t="s">
        <v>703</v>
      </c>
      <c r="B35" s="110" t="s">
        <v>704</v>
      </c>
      <c r="C35" s="131"/>
      <c r="D35" s="130"/>
      <c r="E35" s="130"/>
      <c r="F35" s="131"/>
      <c r="G35" s="131"/>
    </row>
    <row r="36" spans="1:7" ht="13.7" customHeight="1">
      <c r="A36" s="109"/>
      <c r="B36" s="109"/>
      <c r="C36" s="131"/>
      <c r="D36" s="130"/>
      <c r="E36" s="130"/>
      <c r="F36" s="131"/>
      <c r="G36" s="131"/>
    </row>
    <row r="37" spans="1:7" ht="13.9" customHeight="1">
      <c r="A37" s="109"/>
      <c r="B37" s="109"/>
      <c r="C37" s="131"/>
      <c r="D37" s="130"/>
      <c r="E37" s="141" t="s">
        <v>705</v>
      </c>
      <c r="F37" s="142"/>
      <c r="G37" s="131"/>
    </row>
    <row r="38" spans="1:7" ht="13.7" customHeight="1">
      <c r="A38" s="109"/>
      <c r="B38" s="109"/>
      <c r="C38" s="131"/>
      <c r="D38" s="130"/>
      <c r="E38" s="130"/>
      <c r="F38" s="131"/>
      <c r="G38" s="131"/>
    </row>
    <row r="39" spans="1:7" ht="13.7" customHeight="1">
      <c r="A39" s="110" t="s">
        <v>706</v>
      </c>
      <c r="B39" s="141" t="s">
        <v>707</v>
      </c>
      <c r="C39" s="147"/>
      <c r="D39" s="147"/>
      <c r="E39" s="147"/>
      <c r="F39" s="142"/>
      <c r="G39" s="131"/>
    </row>
    <row r="40" spans="1:7" ht="13.9" customHeight="1">
      <c r="A40" s="110" t="s">
        <v>708</v>
      </c>
      <c r="B40" s="136" t="s">
        <v>876</v>
      </c>
      <c r="C40" s="137"/>
      <c r="D40" s="137"/>
      <c r="E40" s="141" t="s">
        <v>710</v>
      </c>
      <c r="F40" s="142"/>
      <c r="G40" s="131"/>
    </row>
    <row r="41" spans="1:7" ht="13.7" customHeight="1">
      <c r="A41" s="110" t="s">
        <v>711</v>
      </c>
      <c r="B41" s="141" t="s">
        <v>712</v>
      </c>
      <c r="C41" s="147"/>
      <c r="D41" s="147"/>
      <c r="E41" s="147"/>
      <c r="F41" s="142"/>
      <c r="G41" s="131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7" customHeight="1">
      <c r="A9" s="5"/>
      <c r="B9" s="5"/>
      <c r="C9" s="5"/>
      <c r="D9" s="5"/>
      <c r="E9" s="1332" t="s">
        <v>685</v>
      </c>
      <c r="F9" s="1332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7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3.7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3.9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2316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7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3.7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3.9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9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2317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7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7" customHeight="1">
      <c r="A9" s="5"/>
      <c r="B9" s="5"/>
      <c r="C9" s="5"/>
      <c r="D9" s="5"/>
      <c r="E9" s="1332" t="s">
        <v>685</v>
      </c>
      <c r="F9" s="1332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7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7" customHeight="1">
      <c r="A15" s="5"/>
      <c r="B15" s="5"/>
      <c r="C15" s="5"/>
      <c r="D15" s="5"/>
      <c r="E15" s="5"/>
      <c r="F15" s="5"/>
      <c r="G15" s="5"/>
    </row>
    <row r="16" spans="1:7" ht="13.9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7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3.9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3.7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3.7" customHeight="1">
      <c r="A21" s="26"/>
      <c r="B21" s="30"/>
      <c r="C21" s="30"/>
      <c r="D21" s="30"/>
      <c r="E21" s="30"/>
      <c r="F21" s="30"/>
      <c r="G21" s="28"/>
    </row>
    <row r="22" spans="1:7" ht="13.7" customHeight="1">
      <c r="A22" s="64" t="s">
        <v>2318</v>
      </c>
      <c r="B22" s="30"/>
      <c r="C22" s="30"/>
      <c r="D22" s="30"/>
      <c r="E22" s="30"/>
      <c r="F22" s="30"/>
      <c r="G22" s="28"/>
    </row>
    <row r="23" spans="1:7" ht="13.7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7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3.7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3.7" customHeight="1">
      <c r="A38" s="3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3.9" customHeight="1">
      <c r="A39" s="3" t="s">
        <v>708</v>
      </c>
      <c r="B39" s="1329" t="s">
        <v>876</v>
      </c>
      <c r="C39" s="1329"/>
      <c r="D39" s="1329"/>
      <c r="E39" s="1330" t="s">
        <v>710</v>
      </c>
      <c r="F39" s="1330"/>
      <c r="G39" s="5"/>
    </row>
    <row r="40" spans="1:7" ht="13.7" customHeight="1">
      <c r="A40" s="3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4:F34"/>
    <mergeCell ref="E37:F37"/>
    <mergeCell ref="B38:F38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0"/>
  <dimension ref="A1:G44"/>
  <sheetViews>
    <sheetView topLeftCell="A32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2319</v>
      </c>
    </row>
    <row r="2" spans="1:7">
      <c r="A2" s="64"/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7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755</v>
      </c>
      <c r="F5" s="130"/>
      <c r="G5" s="118"/>
    </row>
    <row r="6" spans="1:7" ht="13.7" customHeight="1">
      <c r="A6" s="118"/>
      <c r="B6" s="141" t="s">
        <v>871</v>
      </c>
      <c r="C6" s="141" t="s">
        <v>681</v>
      </c>
      <c r="D6" s="141" t="s">
        <v>675</v>
      </c>
      <c r="E6" s="141" t="s">
        <v>844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760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846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1002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802</v>
      </c>
      <c r="F13" s="130"/>
      <c r="G13" s="118"/>
    </row>
    <row r="14" spans="1:7" ht="23.45" customHeight="1">
      <c r="A14" s="118"/>
      <c r="B14" s="161" t="s">
        <v>1273</v>
      </c>
      <c r="C14" s="130"/>
      <c r="D14" s="141" t="s">
        <v>888</v>
      </c>
      <c r="E14" s="141" t="s">
        <v>775</v>
      </c>
      <c r="F14" s="130"/>
      <c r="G14" s="118"/>
    </row>
    <row r="15" spans="1:7" ht="13.9" customHeight="1">
      <c r="A15" s="118"/>
      <c r="B15" s="130"/>
      <c r="C15" s="130"/>
      <c r="D15" s="130"/>
      <c r="E15" s="141" t="s">
        <v>702</v>
      </c>
      <c r="F15" s="147"/>
      <c r="G15" s="118"/>
    </row>
    <row r="16" spans="1:7" ht="13.7" customHeight="1">
      <c r="A16" s="119" t="s">
        <v>703</v>
      </c>
      <c r="B16" s="141" t="s">
        <v>704</v>
      </c>
      <c r="C16" s="130"/>
      <c r="D16" s="130"/>
      <c r="E16" s="130"/>
      <c r="F16" s="130"/>
      <c r="G16" s="118"/>
    </row>
    <row r="17" spans="1:7" ht="13.9" customHeight="1">
      <c r="A17" s="118"/>
      <c r="B17" s="130"/>
      <c r="C17" s="130"/>
      <c r="D17" s="130"/>
      <c r="E17" s="141" t="s">
        <v>705</v>
      </c>
      <c r="F17" s="147"/>
      <c r="G17" s="118"/>
    </row>
    <row r="18" spans="1:7" ht="13.7" customHeight="1">
      <c r="A18" s="118"/>
      <c r="B18" s="130"/>
      <c r="C18" s="130"/>
      <c r="D18" s="130"/>
      <c r="E18" s="130"/>
      <c r="F18" s="130"/>
      <c r="G18" s="118"/>
    </row>
    <row r="19" spans="1:7" ht="13.7" customHeight="1">
      <c r="A19" s="119" t="s">
        <v>706</v>
      </c>
      <c r="B19" s="141" t="s">
        <v>707</v>
      </c>
      <c r="C19" s="147"/>
      <c r="D19" s="147"/>
      <c r="E19" s="147"/>
      <c r="F19" s="147"/>
      <c r="G19" s="118"/>
    </row>
    <row r="20" spans="1:7" ht="13.9" customHeight="1">
      <c r="A20" s="119" t="s">
        <v>708</v>
      </c>
      <c r="B20" s="136" t="s">
        <v>876</v>
      </c>
      <c r="C20" s="137"/>
      <c r="D20" s="137"/>
      <c r="E20" s="141" t="s">
        <v>710</v>
      </c>
      <c r="F20" s="147"/>
      <c r="G20" s="118"/>
    </row>
    <row r="21" spans="1:7" ht="13.7" customHeight="1">
      <c r="A21" s="119" t="s">
        <v>711</v>
      </c>
      <c r="B21" s="141" t="s">
        <v>712</v>
      </c>
      <c r="C21" s="147"/>
      <c r="D21" s="147"/>
      <c r="E21" s="147"/>
      <c r="F21" s="147"/>
      <c r="G21" s="118"/>
    </row>
    <row r="22" spans="1:7" ht="13.7" customHeight="1">
      <c r="A22" s="119"/>
      <c r="B22" s="120"/>
      <c r="C22" s="120"/>
      <c r="D22" s="120"/>
      <c r="E22" s="120"/>
      <c r="F22" s="120"/>
      <c r="G22" s="118"/>
    </row>
    <row r="23" spans="1:7" ht="13.7" customHeight="1">
      <c r="A23" s="64" t="s">
        <v>2320</v>
      </c>
      <c r="B23" s="120"/>
      <c r="C23" s="120"/>
      <c r="D23" s="120"/>
      <c r="E23" s="120"/>
      <c r="F23" s="120"/>
      <c r="G23" s="118"/>
    </row>
    <row r="24" spans="1:7" ht="13.7" customHeight="1">
      <c r="A24" s="119"/>
      <c r="B24" s="120"/>
      <c r="C24" s="120"/>
      <c r="D24" s="120"/>
      <c r="E24" s="120"/>
      <c r="F24" s="120"/>
      <c r="G24" s="118"/>
    </row>
    <row r="25" spans="1:7" ht="40.15" customHeight="1">
      <c r="A25" s="135" t="s">
        <v>762</v>
      </c>
      <c r="B25" s="122" t="s">
        <v>763</v>
      </c>
      <c r="C25" s="135" t="s">
        <v>764</v>
      </c>
      <c r="D25" s="135" t="s">
        <v>765</v>
      </c>
      <c r="E25" s="135" t="s">
        <v>766</v>
      </c>
      <c r="F25" s="135" t="s">
        <v>767</v>
      </c>
      <c r="G25" s="123" t="s">
        <v>768</v>
      </c>
    </row>
    <row r="26" spans="1:7" ht="13.9" customHeight="1">
      <c r="A26" s="141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7" customHeight="1">
      <c r="A27" s="130"/>
      <c r="B27" s="119" t="s">
        <v>673</v>
      </c>
      <c r="C27" s="141" t="s">
        <v>674</v>
      </c>
      <c r="D27" s="141" t="s">
        <v>675</v>
      </c>
      <c r="E27" s="141" t="s">
        <v>804</v>
      </c>
      <c r="F27" s="133"/>
      <c r="G27" s="131"/>
    </row>
    <row r="28" spans="1:7" ht="13.7" customHeight="1">
      <c r="A28" s="130"/>
      <c r="B28" s="119" t="s">
        <v>871</v>
      </c>
      <c r="C28" s="141" t="s">
        <v>681</v>
      </c>
      <c r="D28" s="141" t="s">
        <v>675</v>
      </c>
      <c r="E28" s="141" t="s">
        <v>837</v>
      </c>
      <c r="F28" s="133"/>
      <c r="G28" s="131"/>
    </row>
    <row r="29" spans="1:7" ht="13.9" customHeight="1">
      <c r="A29" s="130"/>
      <c r="B29" s="119" t="s">
        <v>751</v>
      </c>
      <c r="C29" s="141" t="s">
        <v>681</v>
      </c>
      <c r="D29" s="141" t="s">
        <v>675</v>
      </c>
      <c r="E29" s="141" t="s">
        <v>890</v>
      </c>
      <c r="F29" s="133"/>
      <c r="G29" s="131"/>
    </row>
    <row r="30" spans="1:7" ht="13.7" customHeight="1">
      <c r="A30" s="130"/>
      <c r="B30" s="119" t="s">
        <v>683</v>
      </c>
      <c r="C30" s="141" t="s">
        <v>684</v>
      </c>
      <c r="D30" s="141" t="s">
        <v>675</v>
      </c>
      <c r="E30" s="141" t="s">
        <v>805</v>
      </c>
      <c r="F30" s="133"/>
      <c r="G30" s="131"/>
    </row>
    <row r="31" spans="1:7" ht="13.9" customHeight="1">
      <c r="A31" s="130"/>
      <c r="B31" s="118"/>
      <c r="C31" s="130"/>
      <c r="D31" s="130"/>
      <c r="E31" s="141" t="s">
        <v>685</v>
      </c>
      <c r="F31" s="148"/>
      <c r="G31" s="131"/>
    </row>
    <row r="32" spans="1:7" ht="13.7" customHeight="1">
      <c r="A32" s="141" t="s">
        <v>686</v>
      </c>
      <c r="B32" s="119" t="s">
        <v>687</v>
      </c>
      <c r="C32" s="131"/>
      <c r="D32" s="130"/>
      <c r="E32" s="130"/>
      <c r="F32" s="133"/>
      <c r="G32" s="131"/>
    </row>
    <row r="33" spans="1:7" ht="13.7" customHeight="1">
      <c r="A33" s="130"/>
      <c r="B33" s="119" t="s">
        <v>1270</v>
      </c>
      <c r="C33" s="131"/>
      <c r="D33" s="146" t="s">
        <v>815</v>
      </c>
      <c r="E33" s="141" t="s">
        <v>1274</v>
      </c>
      <c r="F33" s="133"/>
      <c r="G33" s="131"/>
    </row>
    <row r="34" spans="1:7" ht="23.45" customHeight="1">
      <c r="A34" s="130"/>
      <c r="B34" s="124" t="s">
        <v>1275</v>
      </c>
      <c r="C34" s="131"/>
      <c r="D34" s="141" t="s">
        <v>773</v>
      </c>
      <c r="E34" s="141" t="s">
        <v>851</v>
      </c>
      <c r="F34" s="133"/>
      <c r="G34" s="131"/>
    </row>
    <row r="35" spans="1:7" ht="13.7" customHeight="1">
      <c r="A35" s="130"/>
      <c r="B35" s="119" t="s">
        <v>1268</v>
      </c>
      <c r="C35" s="131"/>
      <c r="D35" s="141" t="s">
        <v>773</v>
      </c>
      <c r="E35" s="141" t="s">
        <v>802</v>
      </c>
      <c r="F35" s="133"/>
      <c r="G35" s="131"/>
    </row>
    <row r="36" spans="1:7" ht="23.45" customHeight="1">
      <c r="A36" s="130"/>
      <c r="B36" s="126" t="s">
        <v>1276</v>
      </c>
      <c r="C36" s="131"/>
      <c r="D36" s="149" t="s">
        <v>1277</v>
      </c>
      <c r="E36" s="149" t="s">
        <v>1278</v>
      </c>
      <c r="F36" s="133"/>
      <c r="G36" s="131"/>
    </row>
    <row r="37" spans="1:7" ht="13.9" customHeight="1">
      <c r="A37" s="130"/>
      <c r="B37" s="118"/>
      <c r="C37" s="131"/>
      <c r="D37" s="130"/>
      <c r="E37" s="141" t="s">
        <v>702</v>
      </c>
      <c r="F37" s="148"/>
      <c r="G37" s="131"/>
    </row>
    <row r="38" spans="1:7" ht="13.7" customHeight="1">
      <c r="A38" s="141" t="s">
        <v>703</v>
      </c>
      <c r="B38" s="119" t="s">
        <v>704</v>
      </c>
      <c r="C38" s="131"/>
      <c r="D38" s="130"/>
      <c r="E38" s="130"/>
      <c r="F38" s="133"/>
      <c r="G38" s="131"/>
    </row>
    <row r="39" spans="1:7" ht="13.7" customHeight="1">
      <c r="A39" s="130"/>
      <c r="B39" s="118"/>
      <c r="C39" s="131"/>
      <c r="D39" s="130"/>
      <c r="E39" s="130"/>
      <c r="F39" s="133"/>
      <c r="G39" s="131"/>
    </row>
    <row r="40" spans="1:7" ht="13.9" customHeight="1">
      <c r="A40" s="130"/>
      <c r="B40" s="118"/>
      <c r="C40" s="131"/>
      <c r="D40" s="131"/>
      <c r="E40" s="141" t="s">
        <v>705</v>
      </c>
      <c r="F40" s="148"/>
      <c r="G40" s="131"/>
    </row>
    <row r="41" spans="1:7" ht="13.7" customHeight="1">
      <c r="A41" s="130"/>
      <c r="B41" s="118"/>
      <c r="C41" s="131"/>
      <c r="D41" s="131"/>
      <c r="E41" s="130"/>
      <c r="F41" s="133"/>
      <c r="G41" s="131"/>
    </row>
    <row r="42" spans="1:7" ht="13.7" customHeight="1">
      <c r="A42" s="141" t="s">
        <v>706</v>
      </c>
      <c r="B42" s="141" t="s">
        <v>707</v>
      </c>
      <c r="C42" s="147"/>
      <c r="D42" s="147"/>
      <c r="E42" s="147"/>
      <c r="F42" s="148"/>
      <c r="G42" s="131"/>
    </row>
    <row r="43" spans="1:7" ht="13.9" customHeight="1">
      <c r="A43" s="141" t="s">
        <v>708</v>
      </c>
      <c r="B43" s="136" t="s">
        <v>876</v>
      </c>
      <c r="C43" s="137"/>
      <c r="D43" s="138"/>
      <c r="E43" s="141" t="s">
        <v>710</v>
      </c>
      <c r="F43" s="148"/>
      <c r="G43" s="131"/>
    </row>
    <row r="44" spans="1:7" ht="13.7" customHeight="1">
      <c r="A44" s="141" t="s">
        <v>711</v>
      </c>
      <c r="B44" s="141" t="s">
        <v>712</v>
      </c>
      <c r="C44" s="147"/>
      <c r="D44" s="147"/>
      <c r="E44" s="147"/>
      <c r="F44" s="148"/>
      <c r="G44" s="131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1"/>
  <dimension ref="A1:G42"/>
  <sheetViews>
    <sheetView topLeftCell="A37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2321</v>
      </c>
    </row>
    <row r="3" spans="1:7" ht="40.15" customHeight="1">
      <c r="A3" s="122" t="s">
        <v>762</v>
      </c>
      <c r="B3" s="122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119" t="s">
        <v>672</v>
      </c>
      <c r="C4" s="5"/>
      <c r="D4" s="5"/>
      <c r="E4" s="5"/>
      <c r="F4" s="5"/>
      <c r="G4" s="5"/>
    </row>
    <row r="5" spans="1:7" ht="13.7" customHeight="1">
      <c r="A5" s="118"/>
      <c r="B5" s="119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7" customHeight="1">
      <c r="A6" s="118"/>
      <c r="B6" s="119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" customHeight="1">
      <c r="A7" s="118"/>
      <c r="B7" s="119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7" customHeight="1">
      <c r="A8" s="118"/>
      <c r="B8" s="119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118"/>
      <c r="B9" s="118"/>
      <c r="C9" s="5"/>
      <c r="D9" s="5"/>
      <c r="E9" s="1332" t="s">
        <v>685</v>
      </c>
      <c r="F9" s="1332"/>
      <c r="G9" s="5"/>
    </row>
    <row r="10" spans="1:7" ht="13.9" customHeight="1">
      <c r="A10" s="119" t="s">
        <v>686</v>
      </c>
      <c r="B10" s="119" t="s">
        <v>687</v>
      </c>
      <c r="C10" s="5"/>
      <c r="D10" s="5"/>
      <c r="E10" s="5"/>
      <c r="F10" s="5"/>
      <c r="G10" s="5"/>
    </row>
    <row r="11" spans="1:7" ht="13.7" customHeight="1">
      <c r="A11" s="118"/>
      <c r="B11" s="119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7" customHeight="1">
      <c r="A12" s="118"/>
      <c r="B12" s="119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" customHeight="1">
      <c r="A13" s="118"/>
      <c r="B13" s="118"/>
      <c r="C13" s="5"/>
      <c r="D13" s="5"/>
      <c r="E13" s="1332" t="s">
        <v>702</v>
      </c>
      <c r="F13" s="1332"/>
      <c r="G13" s="5"/>
    </row>
    <row r="14" spans="1:7" ht="13.7" customHeight="1">
      <c r="A14" s="119" t="s">
        <v>703</v>
      </c>
      <c r="B14" s="119" t="s">
        <v>704</v>
      </c>
      <c r="C14" s="5"/>
      <c r="D14" s="5"/>
      <c r="E14" s="5"/>
      <c r="F14" s="5"/>
      <c r="G14" s="5"/>
    </row>
    <row r="15" spans="1:7" ht="13.9" customHeight="1">
      <c r="A15" s="118"/>
      <c r="B15" s="118"/>
      <c r="C15" s="5"/>
      <c r="D15" s="5"/>
      <c r="E15" s="5"/>
      <c r="F15" s="5"/>
      <c r="G15" s="5"/>
    </row>
    <row r="16" spans="1:7" ht="13.7" customHeight="1">
      <c r="A16" s="118"/>
      <c r="B16" s="118"/>
      <c r="C16" s="5"/>
      <c r="D16" s="5"/>
      <c r="E16" s="1332" t="s">
        <v>705</v>
      </c>
      <c r="F16" s="1332"/>
      <c r="G16" s="5"/>
    </row>
    <row r="17" spans="1:7" ht="13.7" customHeight="1">
      <c r="A17" s="118"/>
      <c r="B17" s="118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3.7" customHeight="1">
      <c r="A19" s="119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3.9" customHeight="1">
      <c r="A20" s="119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71" t="s">
        <v>2322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30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41" t="s">
        <v>674</v>
      </c>
      <c r="D26" s="121" t="s">
        <v>675</v>
      </c>
      <c r="E26" s="119" t="s">
        <v>804</v>
      </c>
      <c r="F26" s="118"/>
      <c r="G26" s="5"/>
    </row>
    <row r="27" spans="1:7" ht="13.9" customHeight="1">
      <c r="A27" s="5"/>
      <c r="B27" s="141" t="s">
        <v>871</v>
      </c>
      <c r="C27" s="141" t="s">
        <v>681</v>
      </c>
      <c r="D27" s="121" t="s">
        <v>675</v>
      </c>
      <c r="E27" s="119" t="s">
        <v>837</v>
      </c>
      <c r="F27" s="118"/>
      <c r="G27" s="5"/>
    </row>
    <row r="28" spans="1:7" ht="13.7" customHeight="1">
      <c r="A28" s="5"/>
      <c r="B28" s="141" t="s">
        <v>751</v>
      </c>
      <c r="C28" s="141" t="s">
        <v>681</v>
      </c>
      <c r="D28" s="121" t="s">
        <v>675</v>
      </c>
      <c r="E28" s="119" t="s">
        <v>890</v>
      </c>
      <c r="F28" s="118"/>
      <c r="G28" s="5"/>
    </row>
    <row r="29" spans="1:7" ht="13.7" customHeight="1">
      <c r="A29" s="5"/>
      <c r="B29" s="141" t="s">
        <v>683</v>
      </c>
      <c r="C29" s="141" t="s">
        <v>684</v>
      </c>
      <c r="D29" s="121" t="s">
        <v>675</v>
      </c>
      <c r="E29" s="119" t="s">
        <v>805</v>
      </c>
      <c r="F29" s="118"/>
      <c r="G29" s="5"/>
    </row>
    <row r="30" spans="1:7" ht="13.9" customHeight="1">
      <c r="A30" s="5"/>
      <c r="B30" s="130"/>
      <c r="C30" s="130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31"/>
      <c r="D31" s="118"/>
      <c r="E31" s="118"/>
      <c r="F31" s="118"/>
      <c r="G31" s="5"/>
    </row>
    <row r="32" spans="1:7" ht="13.7" customHeight="1">
      <c r="A32" s="5"/>
      <c r="B32" s="141" t="s">
        <v>1270</v>
      </c>
      <c r="C32" s="131"/>
      <c r="D32" s="125" t="s">
        <v>815</v>
      </c>
      <c r="E32" s="119" t="s">
        <v>794</v>
      </c>
      <c r="F32" s="118"/>
      <c r="G32" s="5"/>
    </row>
    <row r="33" spans="1:7" ht="13.9" customHeight="1">
      <c r="A33" s="5"/>
      <c r="B33" s="141" t="s">
        <v>1281</v>
      </c>
      <c r="C33" s="131"/>
      <c r="D33" s="121" t="s">
        <v>773</v>
      </c>
      <c r="E33" s="119" t="s">
        <v>851</v>
      </c>
      <c r="F33" s="118"/>
      <c r="G33" s="5"/>
    </row>
    <row r="34" spans="1:7" ht="13.7" customHeight="1">
      <c r="A34" s="5"/>
      <c r="B34" s="141" t="s">
        <v>1268</v>
      </c>
      <c r="C34" s="131"/>
      <c r="D34" s="121" t="s">
        <v>773</v>
      </c>
      <c r="E34" s="119" t="s">
        <v>718</v>
      </c>
      <c r="F34" s="118"/>
      <c r="G34" s="5"/>
    </row>
    <row r="35" spans="1:7" ht="23.45" customHeight="1">
      <c r="A35" s="5"/>
      <c r="B35" s="149" t="s">
        <v>1282</v>
      </c>
      <c r="C35" s="131"/>
      <c r="D35" s="124" t="s">
        <v>1277</v>
      </c>
      <c r="E35" s="124" t="s">
        <v>1278</v>
      </c>
      <c r="F35" s="118"/>
      <c r="G35" s="5"/>
    </row>
    <row r="36" spans="1:7" ht="13.7" customHeight="1">
      <c r="A36" s="5"/>
      <c r="B36" s="130"/>
      <c r="C36" s="131"/>
      <c r="D36" s="118"/>
      <c r="E36" s="141" t="s">
        <v>702</v>
      </c>
      <c r="F36" s="142"/>
      <c r="G36" s="5"/>
    </row>
    <row r="37" spans="1:7" ht="13.9" customHeight="1">
      <c r="A37" s="3" t="s">
        <v>703</v>
      </c>
      <c r="B37" s="141" t="s">
        <v>704</v>
      </c>
      <c r="C37" s="131"/>
      <c r="D37" s="118"/>
      <c r="E37" s="118"/>
      <c r="F37" s="118"/>
      <c r="G37" s="5"/>
    </row>
    <row r="38" spans="1:7" ht="13.7" customHeight="1">
      <c r="A38" s="5"/>
      <c r="B38" s="130"/>
      <c r="C38" s="131"/>
      <c r="D38" s="118"/>
      <c r="E38" s="141" t="s">
        <v>705</v>
      </c>
      <c r="F38" s="142"/>
      <c r="G38" s="5"/>
    </row>
    <row r="39" spans="1:7" ht="13.7" customHeight="1">
      <c r="A39" s="5"/>
      <c r="B39" s="130"/>
      <c r="C39" s="131"/>
      <c r="D39" s="118"/>
      <c r="E39" s="118"/>
      <c r="F39" s="118"/>
      <c r="G39" s="5"/>
    </row>
    <row r="40" spans="1:7" ht="13.9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3.7" customHeight="1">
      <c r="A41" s="3" t="s">
        <v>708</v>
      </c>
      <c r="B41" s="136" t="s">
        <v>876</v>
      </c>
      <c r="C41" s="137"/>
      <c r="D41" s="138"/>
      <c r="E41" s="141" t="s">
        <v>710</v>
      </c>
      <c r="F41" s="142"/>
      <c r="G41" s="5"/>
    </row>
    <row r="42" spans="1:7" ht="13.9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2"/>
  <dimension ref="A1:G44"/>
  <sheetViews>
    <sheetView topLeftCell="A28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9.42578125" customWidth="1"/>
    <col min="6" max="6" width="14.28515625" customWidth="1"/>
    <col min="7" max="7" width="16.7109375" customWidth="1"/>
  </cols>
  <sheetData>
    <row r="1" spans="1:7">
      <c r="A1" s="64" t="s">
        <v>2323</v>
      </c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9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7" customHeight="1">
      <c r="A5" s="118"/>
      <c r="B5" s="141" t="s">
        <v>1283</v>
      </c>
      <c r="C5" s="141" t="s">
        <v>674</v>
      </c>
      <c r="D5" s="141" t="s">
        <v>675</v>
      </c>
      <c r="E5" s="141" t="s">
        <v>828</v>
      </c>
      <c r="F5" s="130"/>
      <c r="G5" s="118"/>
    </row>
    <row r="6" spans="1:7" ht="13.7" customHeight="1">
      <c r="A6" s="118"/>
      <c r="B6" s="141" t="s">
        <v>1284</v>
      </c>
      <c r="C6" s="141" t="s">
        <v>681</v>
      </c>
      <c r="D6" s="141" t="s">
        <v>675</v>
      </c>
      <c r="E6" s="141" t="s">
        <v>1285</v>
      </c>
      <c r="F6" s="130"/>
      <c r="G6" s="118"/>
    </row>
    <row r="7" spans="1:7" ht="13.9" customHeight="1">
      <c r="A7" s="118"/>
      <c r="B7" s="141" t="s">
        <v>1286</v>
      </c>
      <c r="C7" s="141" t="s">
        <v>681</v>
      </c>
      <c r="D7" s="141" t="s">
        <v>675</v>
      </c>
      <c r="E7" s="141" t="s">
        <v>1287</v>
      </c>
      <c r="F7" s="130"/>
      <c r="G7" s="118"/>
    </row>
    <row r="8" spans="1:7" ht="13.7" customHeight="1">
      <c r="A8" s="118"/>
      <c r="B8" s="141" t="s">
        <v>1288</v>
      </c>
      <c r="C8" s="141" t="s">
        <v>684</v>
      </c>
      <c r="D8" s="141" t="s">
        <v>675</v>
      </c>
      <c r="E8" s="141" t="s">
        <v>907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1281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804</v>
      </c>
      <c r="F13" s="130"/>
      <c r="G13" s="118"/>
    </row>
    <row r="14" spans="1:7" ht="23.45" customHeight="1">
      <c r="A14" s="118"/>
      <c r="B14" s="149" t="s">
        <v>1282</v>
      </c>
      <c r="C14" s="130"/>
      <c r="D14" s="149" t="s">
        <v>1277</v>
      </c>
      <c r="E14" s="149" t="s">
        <v>1278</v>
      </c>
      <c r="F14" s="130"/>
      <c r="G14" s="118"/>
    </row>
    <row r="15" spans="1:7" ht="13.7" customHeight="1">
      <c r="A15" s="118"/>
      <c r="B15" s="141" t="s">
        <v>1289</v>
      </c>
      <c r="C15" s="130"/>
      <c r="D15" s="141" t="s">
        <v>888</v>
      </c>
      <c r="E15" s="141" t="s">
        <v>802</v>
      </c>
      <c r="F15" s="130"/>
      <c r="G15" s="118"/>
    </row>
    <row r="16" spans="1:7" ht="13.7" customHeight="1">
      <c r="A16" s="118"/>
      <c r="B16" s="130"/>
      <c r="C16" s="130"/>
      <c r="D16" s="130"/>
      <c r="E16" s="141" t="s">
        <v>702</v>
      </c>
      <c r="F16" s="147"/>
      <c r="G16" s="118"/>
    </row>
    <row r="17" spans="1:7" ht="13.9" customHeight="1">
      <c r="A17" s="119" t="s">
        <v>703</v>
      </c>
      <c r="B17" s="141" t="s">
        <v>704</v>
      </c>
      <c r="C17" s="130"/>
      <c r="D17" s="130"/>
      <c r="E17" s="130"/>
      <c r="F17" s="130"/>
      <c r="G17" s="118"/>
    </row>
    <row r="18" spans="1:7" ht="13.7" customHeight="1">
      <c r="A18" s="118"/>
      <c r="B18" s="130"/>
      <c r="C18" s="130"/>
      <c r="D18" s="130"/>
      <c r="E18" s="141" t="s">
        <v>705</v>
      </c>
      <c r="F18" s="147"/>
      <c r="G18" s="118"/>
    </row>
    <row r="19" spans="1:7" ht="13.7" customHeight="1">
      <c r="A19" s="118"/>
      <c r="B19" s="130"/>
      <c r="C19" s="130"/>
      <c r="D19" s="130"/>
      <c r="E19" s="130"/>
      <c r="F19" s="130"/>
      <c r="G19" s="118"/>
    </row>
    <row r="20" spans="1:7" ht="13.9" customHeight="1">
      <c r="A20" s="119" t="s">
        <v>706</v>
      </c>
      <c r="B20" s="141" t="s">
        <v>707</v>
      </c>
      <c r="C20" s="147"/>
      <c r="D20" s="147"/>
      <c r="E20" s="147"/>
      <c r="F20" s="147"/>
      <c r="G20" s="118"/>
    </row>
    <row r="21" spans="1:7" ht="13.7" customHeight="1">
      <c r="A21" s="119" t="s">
        <v>708</v>
      </c>
      <c r="B21" s="136" t="s">
        <v>876</v>
      </c>
      <c r="C21" s="137"/>
      <c r="D21" s="137"/>
      <c r="E21" s="141" t="s">
        <v>710</v>
      </c>
      <c r="F21" s="147"/>
      <c r="G21" s="118"/>
    </row>
    <row r="22" spans="1:7" ht="13.9" customHeight="1">
      <c r="A22" s="119" t="s">
        <v>711</v>
      </c>
      <c r="B22" s="141" t="s">
        <v>712</v>
      </c>
      <c r="C22" s="147"/>
      <c r="D22" s="147"/>
      <c r="E22" s="147"/>
      <c r="F22" s="147"/>
      <c r="G22" s="11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13.9" customHeight="1">
      <c r="A24" s="71" t="s">
        <v>2324</v>
      </c>
      <c r="B24" s="30"/>
      <c r="C24" s="30"/>
      <c r="D24" s="30"/>
      <c r="E24" s="30"/>
      <c r="F24" s="30"/>
      <c r="G24" s="28"/>
    </row>
    <row r="25" spans="1:7" ht="13.9" customHeight="1">
      <c r="A25" s="64"/>
      <c r="B25" s="30"/>
      <c r="C25" s="30"/>
      <c r="D25" s="30"/>
      <c r="E25" s="30"/>
      <c r="F25" s="30"/>
      <c r="G25" s="28"/>
    </row>
    <row r="26" spans="1:7" ht="40.15" customHeight="1">
      <c r="A26" s="122" t="s">
        <v>762</v>
      </c>
      <c r="B26" s="6" t="s">
        <v>763</v>
      </c>
      <c r="C26" s="135" t="s">
        <v>764</v>
      </c>
      <c r="D26" s="135" t="s">
        <v>765</v>
      </c>
      <c r="E26" s="135" t="s">
        <v>766</v>
      </c>
      <c r="F26" s="153" t="s">
        <v>767</v>
      </c>
      <c r="G26" s="123"/>
    </row>
    <row r="27" spans="1:7" ht="13.7" customHeight="1">
      <c r="A27" s="119" t="s">
        <v>671</v>
      </c>
      <c r="B27" s="3" t="s">
        <v>672</v>
      </c>
      <c r="C27" s="130"/>
      <c r="D27" s="130"/>
      <c r="E27" s="130"/>
      <c r="F27" s="133"/>
      <c r="G27" s="118"/>
    </row>
    <row r="28" spans="1:7" ht="13.9" customHeight="1">
      <c r="A28" s="118"/>
      <c r="B28" s="3" t="s">
        <v>673</v>
      </c>
      <c r="C28" s="141" t="s">
        <v>674</v>
      </c>
      <c r="D28" s="141" t="s">
        <v>675</v>
      </c>
      <c r="E28" s="141" t="s">
        <v>867</v>
      </c>
      <c r="F28" s="133"/>
      <c r="G28" s="118"/>
    </row>
    <row r="29" spans="1:7" ht="13.7" customHeight="1">
      <c r="A29" s="118"/>
      <c r="B29" s="3" t="s">
        <v>871</v>
      </c>
      <c r="C29" s="141" t="s">
        <v>681</v>
      </c>
      <c r="D29" s="141" t="s">
        <v>675</v>
      </c>
      <c r="E29" s="141" t="s">
        <v>1290</v>
      </c>
      <c r="F29" s="133"/>
      <c r="G29" s="118"/>
    </row>
    <row r="30" spans="1:7" ht="13.7" customHeight="1">
      <c r="A30" s="118"/>
      <c r="B30" s="3" t="s">
        <v>751</v>
      </c>
      <c r="C30" s="141" t="s">
        <v>681</v>
      </c>
      <c r="D30" s="141" t="s">
        <v>675</v>
      </c>
      <c r="E30" s="141" t="s">
        <v>800</v>
      </c>
      <c r="F30" s="133"/>
      <c r="G30" s="118"/>
    </row>
    <row r="31" spans="1:7" ht="13.9" customHeight="1">
      <c r="A31" s="118"/>
      <c r="B31" s="3" t="s">
        <v>683</v>
      </c>
      <c r="C31" s="141" t="s">
        <v>684</v>
      </c>
      <c r="D31" s="141" t="s">
        <v>675</v>
      </c>
      <c r="E31" s="141" t="s">
        <v>679</v>
      </c>
      <c r="F31" s="133"/>
      <c r="G31" s="118"/>
    </row>
    <row r="32" spans="1:7" ht="13.7" customHeight="1">
      <c r="A32" s="118"/>
      <c r="B32" s="5"/>
      <c r="C32" s="130"/>
      <c r="D32" s="130"/>
      <c r="E32" s="141" t="s">
        <v>685</v>
      </c>
      <c r="F32" s="148"/>
      <c r="G32" s="118"/>
    </row>
    <row r="33" spans="1:7" ht="13.7" customHeight="1">
      <c r="A33" s="119" t="s">
        <v>686</v>
      </c>
      <c r="B33" s="3" t="s">
        <v>687</v>
      </c>
      <c r="C33" s="130"/>
      <c r="D33" s="130"/>
      <c r="E33" s="130"/>
      <c r="F33" s="133"/>
      <c r="G33" s="118"/>
    </row>
    <row r="34" spans="1:7" ht="13.9" customHeight="1">
      <c r="A34" s="118"/>
      <c r="B34" s="3" t="s">
        <v>1266</v>
      </c>
      <c r="C34" s="130"/>
      <c r="D34" s="146" t="s">
        <v>815</v>
      </c>
      <c r="E34" s="141" t="s">
        <v>737</v>
      </c>
      <c r="F34" s="133"/>
      <c r="G34" s="118"/>
    </row>
    <row r="35" spans="1:7" ht="13.7" customHeight="1">
      <c r="A35" s="118"/>
      <c r="B35" s="3" t="s">
        <v>1291</v>
      </c>
      <c r="C35" s="131"/>
      <c r="D35" s="141" t="s">
        <v>773</v>
      </c>
      <c r="E35" s="141" t="s">
        <v>952</v>
      </c>
      <c r="F35" s="133"/>
      <c r="G35" s="118"/>
    </row>
    <row r="36" spans="1:7" ht="13.7" customHeight="1">
      <c r="A36" s="118"/>
      <c r="B36" s="3" t="s">
        <v>1292</v>
      </c>
      <c r="C36" s="131"/>
      <c r="D36" s="141" t="s">
        <v>773</v>
      </c>
      <c r="E36" s="141" t="s">
        <v>1293</v>
      </c>
      <c r="F36" s="133"/>
      <c r="G36" s="118"/>
    </row>
    <row r="37" spans="1:7" ht="13.9" customHeight="1">
      <c r="A37" s="118"/>
      <c r="B37" s="5"/>
      <c r="C37" s="118"/>
      <c r="D37" s="130"/>
      <c r="E37" s="141" t="s">
        <v>702</v>
      </c>
      <c r="F37" s="148"/>
      <c r="G37" s="118"/>
    </row>
    <row r="38" spans="1:7" ht="13.7" customHeight="1">
      <c r="A38" s="119" t="s">
        <v>703</v>
      </c>
      <c r="B38" s="3" t="s">
        <v>704</v>
      </c>
      <c r="C38" s="118"/>
      <c r="D38" s="130"/>
      <c r="E38" s="130"/>
      <c r="F38" s="133"/>
      <c r="G38" s="118"/>
    </row>
    <row r="39" spans="1:7" ht="13.9" customHeight="1">
      <c r="A39" s="118"/>
      <c r="B39" s="5"/>
      <c r="C39" s="118"/>
      <c r="D39" s="130"/>
      <c r="E39" s="130"/>
      <c r="F39" s="133"/>
      <c r="G39" s="118"/>
    </row>
    <row r="40" spans="1:7" ht="13.7" customHeight="1">
      <c r="A40" s="118"/>
      <c r="B40" s="5"/>
      <c r="C40" s="118"/>
      <c r="D40" s="118"/>
      <c r="E40" s="141" t="s">
        <v>705</v>
      </c>
      <c r="F40" s="148"/>
      <c r="G40" s="118"/>
    </row>
    <row r="41" spans="1:7" ht="13.7" customHeight="1">
      <c r="A41" s="118"/>
      <c r="B41" s="5"/>
      <c r="C41" s="118"/>
      <c r="D41" s="118"/>
      <c r="E41" s="132"/>
      <c r="F41" s="133"/>
      <c r="G41" s="118"/>
    </row>
    <row r="42" spans="1:7" ht="13.9" customHeight="1">
      <c r="A42" s="119" t="s">
        <v>706</v>
      </c>
      <c r="B42" s="1332" t="s">
        <v>707</v>
      </c>
      <c r="C42" s="1332"/>
      <c r="D42" s="1332"/>
      <c r="E42" s="1332"/>
      <c r="F42" s="1332"/>
      <c r="G42" s="118"/>
    </row>
    <row r="43" spans="1:7" ht="13.7" customHeight="1">
      <c r="A43" s="119" t="s">
        <v>708</v>
      </c>
      <c r="B43" s="1329" t="s">
        <v>876</v>
      </c>
      <c r="C43" s="1329"/>
      <c r="D43" s="1329"/>
      <c r="E43" s="1330"/>
      <c r="F43" s="1330"/>
      <c r="G43" s="118"/>
    </row>
    <row r="44" spans="1:7" ht="13.9" customHeight="1">
      <c r="A44" s="119" t="s">
        <v>711</v>
      </c>
      <c r="B44" s="1331" t="s">
        <v>712</v>
      </c>
      <c r="C44" s="1331"/>
      <c r="D44" s="1331"/>
      <c r="E44" s="1331"/>
      <c r="F44" s="1331"/>
      <c r="G44" s="118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276"/>
  <sheetViews>
    <sheetView view="pageBreakPreview" topLeftCell="A211" zoomScale="85" zoomScaleSheetLayoutView="85" workbookViewId="0">
      <selection activeCell="F233" sqref="F233"/>
    </sheetView>
  </sheetViews>
  <sheetFormatPr defaultRowHeight="15"/>
  <cols>
    <col min="1" max="1" width="9.140625" style="227"/>
    <col min="2" max="2" width="28.28515625" style="227" bestFit="1" customWidth="1"/>
    <col min="3" max="5" width="9.140625" style="227"/>
    <col min="6" max="6" width="16.140625" style="227" bestFit="1" customWidth="1"/>
    <col min="7" max="7" width="16.28515625" style="227" bestFit="1" customWidth="1"/>
    <col min="8" max="8" width="15.42578125" style="227" customWidth="1"/>
    <col min="9" max="16384" width="9.140625" style="227"/>
  </cols>
  <sheetData>
    <row r="1" spans="1:7" ht="21">
      <c r="A1" s="228" t="s">
        <v>3699</v>
      </c>
    </row>
    <row r="2" spans="1:7" ht="12" customHeight="1"/>
    <row r="3" spans="1:7" s="205" customFormat="1" ht="12">
      <c r="A3" s="204" t="s">
        <v>3667</v>
      </c>
      <c r="B3" s="204" t="s">
        <v>3687</v>
      </c>
      <c r="D3" s="206"/>
      <c r="E3" s="207"/>
      <c r="F3" s="208"/>
      <c r="G3" s="208"/>
    </row>
    <row r="4" spans="1:7" s="205" customFormat="1" ht="12">
      <c r="D4" s="206"/>
      <c r="E4" s="207"/>
      <c r="F4" s="208"/>
      <c r="G4" s="208"/>
    </row>
    <row r="5" spans="1:7" s="205" customFormat="1" ht="12">
      <c r="A5" s="209" t="s">
        <v>1003</v>
      </c>
      <c r="B5" s="209" t="s">
        <v>1004</v>
      </c>
      <c r="C5" s="210" t="s">
        <v>1005</v>
      </c>
      <c r="D5" s="211" t="s">
        <v>1006</v>
      </c>
      <c r="E5" s="212" t="s">
        <v>1007</v>
      </c>
      <c r="F5" s="213" t="s">
        <v>2637</v>
      </c>
      <c r="G5" s="214" t="s">
        <v>2638</v>
      </c>
    </row>
    <row r="6" spans="1:7" s="205" customFormat="1" ht="12">
      <c r="A6" s="215" t="s">
        <v>671</v>
      </c>
      <c r="B6" s="215" t="s">
        <v>672</v>
      </c>
      <c r="C6" s="216"/>
      <c r="D6" s="217"/>
      <c r="E6" s="218"/>
      <c r="F6" s="219"/>
      <c r="G6" s="220"/>
    </row>
    <row r="7" spans="1:7" s="205" customFormat="1" ht="12">
      <c r="A7" s="215"/>
      <c r="B7" s="215" t="s">
        <v>673</v>
      </c>
      <c r="C7" s="216" t="s">
        <v>674</v>
      </c>
      <c r="D7" s="217" t="s">
        <v>675</v>
      </c>
      <c r="E7" s="218">
        <v>0.3</v>
      </c>
      <c r="F7" s="220">
        <f>'[42]UPAD-BAHAN-ALAT'!$I$12</f>
        <v>96000</v>
      </c>
      <c r="G7" s="220">
        <f>F7*E7</f>
        <v>28800</v>
      </c>
    </row>
    <row r="8" spans="1:7" s="205" customFormat="1" ht="12">
      <c r="A8" s="215"/>
      <c r="B8" s="215" t="s">
        <v>683</v>
      </c>
      <c r="C8" s="216" t="s">
        <v>684</v>
      </c>
      <c r="D8" s="217" t="s">
        <v>675</v>
      </c>
      <c r="E8" s="218">
        <v>0.01</v>
      </c>
      <c r="F8" s="220">
        <f>'[42]UPAD-BAHAN-ALAT'!$I$14</f>
        <v>115000</v>
      </c>
      <c r="G8" s="220">
        <f>F8*E8</f>
        <v>1150</v>
      </c>
    </row>
    <row r="9" spans="1:7" s="205" customFormat="1" ht="12">
      <c r="A9" s="215"/>
      <c r="B9" s="215"/>
      <c r="C9" s="216"/>
      <c r="D9" s="217"/>
      <c r="E9" s="1325" t="s">
        <v>685</v>
      </c>
      <c r="F9" s="1325"/>
      <c r="G9" s="220">
        <f>SUM(G7:G8)</f>
        <v>29950</v>
      </c>
    </row>
    <row r="10" spans="1:7" s="205" customFormat="1" ht="12">
      <c r="A10" s="215" t="s">
        <v>686</v>
      </c>
      <c r="B10" s="215" t="s">
        <v>687</v>
      </c>
      <c r="C10" s="216"/>
      <c r="D10" s="217"/>
      <c r="E10" s="218"/>
      <c r="F10" s="219"/>
      <c r="G10" s="220"/>
    </row>
    <row r="11" spans="1:7" s="205" customFormat="1" ht="12">
      <c r="A11" s="215"/>
      <c r="B11" s="215" t="s">
        <v>3688</v>
      </c>
      <c r="C11" s="216"/>
      <c r="D11" s="217"/>
      <c r="E11" s="218">
        <v>1.2</v>
      </c>
      <c r="F11" s="219">
        <f>'UPAD-BAHAN-ALAT'!I81</f>
        <v>126500</v>
      </c>
      <c r="G11" s="220">
        <f>F11*E11</f>
        <v>151800</v>
      </c>
    </row>
    <row r="12" spans="1:7" s="205" customFormat="1" ht="12">
      <c r="A12" s="215"/>
      <c r="B12" s="215"/>
      <c r="C12" s="216"/>
      <c r="D12" s="217"/>
      <c r="E12" s="1328" t="s">
        <v>702</v>
      </c>
      <c r="F12" s="1328"/>
      <c r="G12" s="220">
        <f>SUM(G11)</f>
        <v>151800</v>
      </c>
    </row>
    <row r="13" spans="1:7" s="205" customFormat="1" ht="12" hidden="1">
      <c r="A13" s="215" t="s">
        <v>703</v>
      </c>
      <c r="B13" s="215" t="s">
        <v>704</v>
      </c>
      <c r="C13" s="216"/>
      <c r="D13" s="217"/>
      <c r="E13" s="221"/>
      <c r="F13" s="222"/>
      <c r="G13" s="220"/>
    </row>
    <row r="14" spans="1:7" s="205" customFormat="1" ht="12" hidden="1">
      <c r="A14" s="215"/>
      <c r="B14" s="215"/>
      <c r="C14" s="216"/>
      <c r="D14" s="217"/>
      <c r="E14" s="218"/>
      <c r="F14" s="219"/>
      <c r="G14" s="220"/>
    </row>
    <row r="15" spans="1:7" s="205" customFormat="1" ht="12" hidden="1">
      <c r="A15" s="215"/>
      <c r="B15" s="215"/>
      <c r="C15" s="216"/>
      <c r="D15" s="217"/>
      <c r="E15" s="1324" t="s">
        <v>705</v>
      </c>
      <c r="F15" s="1324"/>
      <c r="G15" s="220"/>
    </row>
    <row r="16" spans="1:7" s="205" customFormat="1" ht="12">
      <c r="A16" s="215" t="s">
        <v>706</v>
      </c>
      <c r="B16" s="1325" t="s">
        <v>707</v>
      </c>
      <c r="C16" s="1325"/>
      <c r="D16" s="1325"/>
      <c r="E16" s="1325"/>
      <c r="F16" s="1325"/>
      <c r="G16" s="220">
        <f>G9+G12+G15</f>
        <v>181750</v>
      </c>
    </row>
    <row r="17" spans="1:8" s="205" customFormat="1" ht="12">
      <c r="A17" s="215" t="s">
        <v>708</v>
      </c>
      <c r="B17" s="1327" t="s">
        <v>709</v>
      </c>
      <c r="C17" s="1327"/>
      <c r="D17" s="1327"/>
      <c r="E17" s="1326" t="s">
        <v>710</v>
      </c>
      <c r="F17" s="1326"/>
      <c r="G17" s="220">
        <f>G16*15%</f>
        <v>27262.5</v>
      </c>
    </row>
    <row r="18" spans="1:8" s="205" customFormat="1" ht="12">
      <c r="A18" s="215" t="s">
        <v>711</v>
      </c>
      <c r="B18" s="1324" t="s">
        <v>712</v>
      </c>
      <c r="C18" s="1324"/>
      <c r="D18" s="1324"/>
      <c r="E18" s="1324"/>
      <c r="F18" s="1324"/>
      <c r="G18" s="233">
        <f>ROUND(H18,2)</f>
        <v>209012.5</v>
      </c>
      <c r="H18" s="220">
        <f>SUM(G16:G17)</f>
        <v>209012.5</v>
      </c>
    </row>
    <row r="20" spans="1:8" s="205" customFormat="1" ht="12">
      <c r="A20" s="204" t="s">
        <v>3668</v>
      </c>
      <c r="B20" s="204" t="s">
        <v>3683</v>
      </c>
      <c r="D20" s="206"/>
      <c r="E20" s="207"/>
      <c r="F20" s="208"/>
      <c r="G20" s="208"/>
    </row>
    <row r="21" spans="1:8" s="205" customFormat="1" ht="12">
      <c r="D21" s="206"/>
      <c r="E21" s="207"/>
      <c r="F21" s="208"/>
      <c r="G21" s="208"/>
    </row>
    <row r="22" spans="1:8" s="205" customFormat="1" ht="12">
      <c r="A22" s="209" t="s">
        <v>1003</v>
      </c>
      <c r="B22" s="209" t="s">
        <v>1004</v>
      </c>
      <c r="C22" s="209" t="s">
        <v>1005</v>
      </c>
      <c r="D22" s="223" t="s">
        <v>1006</v>
      </c>
      <c r="E22" s="224" t="s">
        <v>1007</v>
      </c>
      <c r="F22" s="214" t="s">
        <v>2637</v>
      </c>
      <c r="G22" s="214" t="s">
        <v>2638</v>
      </c>
    </row>
    <row r="23" spans="1:8" s="205" customFormat="1" ht="12">
      <c r="A23" s="215" t="s">
        <v>671</v>
      </c>
      <c r="B23" s="215" t="s">
        <v>672</v>
      </c>
      <c r="C23" s="215"/>
      <c r="D23" s="225"/>
      <c r="E23" s="226"/>
      <c r="F23" s="220"/>
      <c r="G23" s="220"/>
    </row>
    <row r="24" spans="1:8" s="205" customFormat="1" ht="12">
      <c r="A24" s="215"/>
      <c r="B24" s="215" t="s">
        <v>673</v>
      </c>
      <c r="C24" s="215" t="s">
        <v>674</v>
      </c>
      <c r="D24" s="225" t="s">
        <v>675</v>
      </c>
      <c r="E24" s="226">
        <v>0.2</v>
      </c>
      <c r="F24" s="220">
        <f>'[42]UPAD-BAHAN-ALAT'!$I$12</f>
        <v>96000</v>
      </c>
      <c r="G24" s="220">
        <f>F24*E24</f>
        <v>19200</v>
      </c>
    </row>
    <row r="25" spans="1:8" s="205" customFormat="1" ht="12">
      <c r="A25" s="215"/>
      <c r="B25" s="215" t="s">
        <v>677</v>
      </c>
      <c r="C25" s="215" t="s">
        <v>678</v>
      </c>
      <c r="D25" s="225" t="s">
        <v>675</v>
      </c>
      <c r="E25" s="226">
        <v>0.1</v>
      </c>
      <c r="F25" s="220">
        <f>'[42]UPAD-BAHAN-ALAT'!$I$13</f>
        <v>115000</v>
      </c>
      <c r="G25" s="220">
        <f>F25*E25</f>
        <v>11500</v>
      </c>
    </row>
    <row r="26" spans="1:8" s="205" customFormat="1" ht="12">
      <c r="A26" s="215"/>
      <c r="B26" s="215" t="s">
        <v>751</v>
      </c>
      <c r="C26" s="215" t="s">
        <v>681</v>
      </c>
      <c r="D26" s="225" t="s">
        <v>675</v>
      </c>
      <c r="E26" s="226">
        <v>0.01</v>
      </c>
      <c r="F26" s="220">
        <f>'[42]UPAD-BAHAN-ALAT'!$I$15</f>
        <v>127500</v>
      </c>
      <c r="G26" s="220">
        <f>F26*E26</f>
        <v>1275</v>
      </c>
    </row>
    <row r="27" spans="1:8" s="205" customFormat="1" ht="12">
      <c r="A27" s="215"/>
      <c r="B27" s="215" t="s">
        <v>683</v>
      </c>
      <c r="C27" s="215" t="s">
        <v>684</v>
      </c>
      <c r="D27" s="225" t="s">
        <v>675</v>
      </c>
      <c r="E27" s="226">
        <v>1E-3</v>
      </c>
      <c r="F27" s="220">
        <f>'[42]UPAD-BAHAN-ALAT'!$I$14</f>
        <v>115000</v>
      </c>
      <c r="G27" s="220">
        <f>F27*E27</f>
        <v>115</v>
      </c>
    </row>
    <row r="28" spans="1:8" s="205" customFormat="1" ht="12">
      <c r="A28" s="215"/>
      <c r="B28" s="215"/>
      <c r="C28" s="215"/>
      <c r="D28" s="225"/>
      <c r="E28" s="1325" t="s">
        <v>685</v>
      </c>
      <c r="F28" s="1325"/>
      <c r="G28" s="220">
        <f>SUM(G24:G27)</f>
        <v>32090</v>
      </c>
    </row>
    <row r="29" spans="1:8" s="205" customFormat="1" ht="12">
      <c r="A29" s="215" t="s">
        <v>686</v>
      </c>
      <c r="B29" s="215" t="s">
        <v>687</v>
      </c>
      <c r="C29" s="215"/>
      <c r="D29" s="225"/>
      <c r="E29" s="226"/>
      <c r="F29" s="220"/>
      <c r="G29" s="220"/>
    </row>
    <row r="30" spans="1:8" s="205" customFormat="1" ht="12">
      <c r="A30" s="215"/>
      <c r="B30" s="215" t="s">
        <v>3684</v>
      </c>
      <c r="C30" s="215"/>
      <c r="D30" s="225" t="s">
        <v>3128</v>
      </c>
      <c r="E30" s="226">
        <v>5.04</v>
      </c>
      <c r="F30" s="220">
        <f>'UPAD-BAHAN-ALAT'!I300</f>
        <v>11475</v>
      </c>
      <c r="G30" s="220">
        <f>F30*E30</f>
        <v>57834</v>
      </c>
    </row>
    <row r="31" spans="1:8" s="205" customFormat="1" ht="12">
      <c r="A31" s="215"/>
      <c r="B31" s="246" t="s">
        <v>3713</v>
      </c>
      <c r="C31" s="215"/>
      <c r="D31" s="225" t="s">
        <v>690</v>
      </c>
      <c r="E31" s="226">
        <v>0.2</v>
      </c>
      <c r="F31" s="220">
        <f>'UPAD-BAHAN-ALAT'!I143</f>
        <v>37800</v>
      </c>
      <c r="G31" s="220">
        <f>F31*E31</f>
        <v>7560</v>
      </c>
    </row>
    <row r="32" spans="1:8" s="205" customFormat="1" ht="12">
      <c r="A32" s="215"/>
      <c r="B32" s="215"/>
      <c r="C32" s="215"/>
      <c r="D32" s="225"/>
      <c r="E32" s="1325" t="s">
        <v>702</v>
      </c>
      <c r="F32" s="1325"/>
      <c r="G32" s="220">
        <f>SUM(G30:G31)</f>
        <v>65394</v>
      </c>
    </row>
    <row r="33" spans="1:8" s="205" customFormat="1" ht="12" hidden="1">
      <c r="A33" s="215" t="s">
        <v>703</v>
      </c>
      <c r="B33" s="215" t="s">
        <v>704</v>
      </c>
      <c r="C33" s="215"/>
      <c r="D33" s="225"/>
      <c r="E33" s="226"/>
      <c r="F33" s="220"/>
      <c r="G33" s="220"/>
    </row>
    <row r="34" spans="1:8" s="205" customFormat="1" ht="12" hidden="1">
      <c r="A34" s="215"/>
      <c r="B34" s="215"/>
      <c r="C34" s="215"/>
      <c r="D34" s="225"/>
      <c r="E34" s="226"/>
      <c r="F34" s="220"/>
      <c r="G34" s="220"/>
    </row>
    <row r="35" spans="1:8" s="205" customFormat="1" ht="12" hidden="1">
      <c r="A35" s="215"/>
      <c r="B35" s="215"/>
      <c r="C35" s="215"/>
      <c r="D35" s="225"/>
      <c r="E35" s="1325" t="s">
        <v>705</v>
      </c>
      <c r="F35" s="1325"/>
      <c r="G35" s="220"/>
    </row>
    <row r="36" spans="1:8" s="205" customFormat="1" ht="12">
      <c r="A36" s="215"/>
      <c r="B36" s="215"/>
      <c r="C36" s="215"/>
      <c r="D36" s="225"/>
      <c r="E36" s="226"/>
      <c r="F36" s="220"/>
      <c r="G36" s="220"/>
    </row>
    <row r="37" spans="1:8" s="205" customFormat="1" ht="12">
      <c r="A37" s="215" t="s">
        <v>706</v>
      </c>
      <c r="B37" s="1325" t="s">
        <v>707</v>
      </c>
      <c r="C37" s="1325"/>
      <c r="D37" s="1325"/>
      <c r="E37" s="1325"/>
      <c r="F37" s="1325"/>
      <c r="G37" s="220">
        <f>G28+G32+G35</f>
        <v>97484</v>
      </c>
    </row>
    <row r="38" spans="1:8" s="205" customFormat="1" ht="12">
      <c r="A38" s="215" t="s">
        <v>708</v>
      </c>
      <c r="B38" s="1327" t="s">
        <v>876</v>
      </c>
      <c r="C38" s="1327"/>
      <c r="D38" s="1327"/>
      <c r="E38" s="1326" t="s">
        <v>710</v>
      </c>
      <c r="F38" s="1326"/>
      <c r="G38" s="220">
        <f>G37*15%</f>
        <v>14622.6</v>
      </c>
    </row>
    <row r="39" spans="1:8" s="205" customFormat="1" ht="12">
      <c r="A39" s="215" t="s">
        <v>711</v>
      </c>
      <c r="B39" s="1324" t="s">
        <v>712</v>
      </c>
      <c r="C39" s="1324"/>
      <c r="D39" s="1324"/>
      <c r="E39" s="1324"/>
      <c r="F39" s="1324"/>
      <c r="G39" s="233">
        <f>ROUND(H39,2)</f>
        <v>112106.6</v>
      </c>
      <c r="H39" s="220">
        <f>SUM(G37:G38)</f>
        <v>112106.6</v>
      </c>
    </row>
    <row r="41" spans="1:8" s="205" customFormat="1" ht="12">
      <c r="A41" s="204" t="s">
        <v>3669</v>
      </c>
      <c r="B41" s="204" t="s">
        <v>3685</v>
      </c>
      <c r="D41" s="206"/>
      <c r="E41" s="207"/>
      <c r="F41" s="208"/>
      <c r="G41" s="208"/>
    </row>
    <row r="42" spans="1:8" s="205" customFormat="1" ht="12">
      <c r="D42" s="206"/>
      <c r="E42" s="207"/>
      <c r="F42" s="208"/>
      <c r="G42" s="208"/>
    </row>
    <row r="43" spans="1:8" s="205" customFormat="1" ht="12">
      <c r="A43" s="209" t="s">
        <v>1003</v>
      </c>
      <c r="B43" s="209" t="s">
        <v>1004</v>
      </c>
      <c r="C43" s="209" t="s">
        <v>1005</v>
      </c>
      <c r="D43" s="223" t="s">
        <v>1006</v>
      </c>
      <c r="E43" s="224" t="s">
        <v>1007</v>
      </c>
      <c r="F43" s="214" t="s">
        <v>2637</v>
      </c>
      <c r="G43" s="214" t="s">
        <v>2638</v>
      </c>
    </row>
    <row r="44" spans="1:8" s="205" customFormat="1" ht="12">
      <c r="A44" s="215" t="s">
        <v>671</v>
      </c>
      <c r="B44" s="215" t="s">
        <v>672</v>
      </c>
      <c r="C44" s="215"/>
      <c r="D44" s="225"/>
      <c r="E44" s="226"/>
      <c r="F44" s="220"/>
      <c r="G44" s="220"/>
    </row>
    <row r="45" spans="1:8" s="205" customFormat="1" ht="12">
      <c r="A45" s="215"/>
      <c r="B45" s="215" t="s">
        <v>673</v>
      </c>
      <c r="C45" s="215" t="s">
        <v>674</v>
      </c>
      <c r="D45" s="225" t="s">
        <v>675</v>
      </c>
      <c r="E45" s="226">
        <v>0.25</v>
      </c>
      <c r="F45" s="220">
        <f>'[42]UPAD-BAHAN-ALAT'!$I$12</f>
        <v>96000</v>
      </c>
      <c r="G45" s="220">
        <f>F45*E45</f>
        <v>24000</v>
      </c>
    </row>
    <row r="46" spans="1:8" s="205" customFormat="1" ht="12">
      <c r="A46" s="215"/>
      <c r="B46" s="215" t="s">
        <v>677</v>
      </c>
      <c r="C46" s="215" t="s">
        <v>678</v>
      </c>
      <c r="D46" s="225" t="s">
        <v>675</v>
      </c>
      <c r="E46" s="226">
        <v>0.15</v>
      </c>
      <c r="F46" s="220">
        <f>'[42]UPAD-BAHAN-ALAT'!$I$13</f>
        <v>115000</v>
      </c>
      <c r="G46" s="220">
        <f>F46*E46</f>
        <v>17250</v>
      </c>
    </row>
    <row r="47" spans="1:8" s="205" customFormat="1" ht="12">
      <c r="A47" s="215"/>
      <c r="B47" s="215" t="s">
        <v>751</v>
      </c>
      <c r="C47" s="215" t="s">
        <v>681</v>
      </c>
      <c r="D47" s="225" t="s">
        <v>675</v>
      </c>
      <c r="E47" s="226">
        <v>1.4999999999999999E-2</v>
      </c>
      <c r="F47" s="220">
        <f>'[42]UPAD-BAHAN-ALAT'!$I$15</f>
        <v>127500</v>
      </c>
      <c r="G47" s="220">
        <f>F47*E47</f>
        <v>1912.5</v>
      </c>
    </row>
    <row r="48" spans="1:8" s="205" customFormat="1" ht="12">
      <c r="A48" s="215"/>
      <c r="B48" s="215" t="s">
        <v>683</v>
      </c>
      <c r="C48" s="215" t="s">
        <v>684</v>
      </c>
      <c r="D48" s="225" t="s">
        <v>675</v>
      </c>
      <c r="E48" s="226">
        <v>1.2999999999999999E-2</v>
      </c>
      <c r="F48" s="220">
        <f>'[42]UPAD-BAHAN-ALAT'!$I$14</f>
        <v>115000</v>
      </c>
      <c r="G48" s="220">
        <f>F48*E48</f>
        <v>1495</v>
      </c>
    </row>
    <row r="49" spans="1:8" s="205" customFormat="1" ht="12">
      <c r="A49" s="215"/>
      <c r="B49" s="215"/>
      <c r="C49" s="215"/>
      <c r="D49" s="225"/>
      <c r="E49" s="1325" t="s">
        <v>685</v>
      </c>
      <c r="F49" s="1325"/>
      <c r="G49" s="220">
        <f>SUM(G45:G48)</f>
        <v>44657.5</v>
      </c>
    </row>
    <row r="50" spans="1:8" s="205" customFormat="1" ht="12">
      <c r="A50" s="215" t="s">
        <v>686</v>
      </c>
      <c r="B50" s="215" t="s">
        <v>687</v>
      </c>
      <c r="C50" s="215"/>
      <c r="D50" s="225"/>
      <c r="E50" s="226"/>
      <c r="F50" s="220"/>
      <c r="G50" s="220"/>
    </row>
    <row r="51" spans="1:8" s="205" customFormat="1" ht="12">
      <c r="A51" s="215"/>
      <c r="B51" s="215" t="s">
        <v>3686</v>
      </c>
      <c r="C51" s="215"/>
      <c r="D51" s="225" t="s">
        <v>743</v>
      </c>
      <c r="E51" s="226">
        <v>1.1000000000000001</v>
      </c>
      <c r="F51" s="220">
        <f>'UPAD-BAHAN-ALAT'!I309</f>
        <v>26350</v>
      </c>
      <c r="G51" s="220">
        <f>F51*E51</f>
        <v>28985.000000000004</v>
      </c>
    </row>
    <row r="52" spans="1:8" s="205" customFormat="1" ht="12">
      <c r="A52" s="215"/>
      <c r="B52" s="246" t="s">
        <v>3713</v>
      </c>
      <c r="C52" s="215"/>
      <c r="D52" s="225" t="s">
        <v>690</v>
      </c>
      <c r="E52" s="226">
        <v>0.05</v>
      </c>
      <c r="F52" s="220">
        <f>'UPAD-BAHAN-ALAT'!I143</f>
        <v>37800</v>
      </c>
      <c r="G52" s="220">
        <f>F52*E52</f>
        <v>1890</v>
      </c>
    </row>
    <row r="53" spans="1:8" s="205" customFormat="1" ht="12">
      <c r="A53" s="215"/>
      <c r="B53" s="215"/>
      <c r="C53" s="215"/>
      <c r="D53" s="225"/>
      <c r="E53" s="1325" t="s">
        <v>702</v>
      </c>
      <c r="F53" s="1325"/>
      <c r="G53" s="220">
        <f>SUM(G51:G52)</f>
        <v>30875.000000000004</v>
      </c>
    </row>
    <row r="54" spans="1:8" s="205" customFormat="1" ht="12" hidden="1">
      <c r="A54" s="215" t="s">
        <v>703</v>
      </c>
      <c r="B54" s="215" t="s">
        <v>704</v>
      </c>
      <c r="C54" s="215"/>
      <c r="D54" s="225"/>
      <c r="E54" s="226"/>
      <c r="F54" s="220"/>
      <c r="G54" s="220"/>
    </row>
    <row r="55" spans="1:8" s="205" customFormat="1" ht="12" hidden="1">
      <c r="A55" s="215"/>
      <c r="B55" s="215"/>
      <c r="C55" s="215"/>
      <c r="D55" s="225"/>
      <c r="E55" s="226"/>
      <c r="F55" s="220"/>
      <c r="G55" s="220"/>
    </row>
    <row r="56" spans="1:8" s="205" customFormat="1" ht="12" hidden="1">
      <c r="A56" s="215"/>
      <c r="B56" s="215"/>
      <c r="C56" s="215"/>
      <c r="D56" s="225"/>
      <c r="E56" s="1325" t="s">
        <v>705</v>
      </c>
      <c r="F56" s="1325"/>
      <c r="G56" s="220"/>
    </row>
    <row r="57" spans="1:8" s="205" customFormat="1" ht="12">
      <c r="A57" s="215"/>
      <c r="B57" s="215"/>
      <c r="C57" s="215"/>
      <c r="D57" s="225"/>
      <c r="E57" s="226"/>
      <c r="F57" s="220"/>
      <c r="G57" s="220"/>
    </row>
    <row r="58" spans="1:8" s="205" customFormat="1" ht="12">
      <c r="A58" s="215" t="s">
        <v>706</v>
      </c>
      <c r="B58" s="1325" t="s">
        <v>707</v>
      </c>
      <c r="C58" s="1325"/>
      <c r="D58" s="1325"/>
      <c r="E58" s="1325"/>
      <c r="F58" s="1325"/>
      <c r="G58" s="220">
        <f>G49+G53+G56</f>
        <v>75532.5</v>
      </c>
    </row>
    <row r="59" spans="1:8" s="205" customFormat="1" ht="12">
      <c r="A59" s="215" t="s">
        <v>708</v>
      </c>
      <c r="B59" s="1327" t="s">
        <v>876</v>
      </c>
      <c r="C59" s="1327"/>
      <c r="D59" s="1327"/>
      <c r="E59" s="1326" t="s">
        <v>710</v>
      </c>
      <c r="F59" s="1326"/>
      <c r="G59" s="220">
        <f>G58*15%</f>
        <v>11329.875</v>
      </c>
    </row>
    <row r="60" spans="1:8" s="205" customFormat="1" ht="12">
      <c r="A60" s="215" t="s">
        <v>711</v>
      </c>
      <c r="B60" s="1324" t="s">
        <v>712</v>
      </c>
      <c r="C60" s="1324"/>
      <c r="D60" s="1324"/>
      <c r="E60" s="1324"/>
      <c r="F60" s="1324"/>
      <c r="G60" s="233">
        <f>ROUND(H60,2)</f>
        <v>86862.38</v>
      </c>
      <c r="H60" s="220">
        <f>SUM(G58:G59)</f>
        <v>86862.375</v>
      </c>
    </row>
    <row r="62" spans="1:8" s="169" customFormat="1" ht="12">
      <c r="A62" s="204" t="s">
        <v>3671</v>
      </c>
      <c r="B62" s="173" t="s">
        <v>3690</v>
      </c>
      <c r="D62" s="170"/>
      <c r="E62" s="171"/>
      <c r="F62" s="172"/>
      <c r="G62" s="172"/>
    </row>
    <row r="63" spans="1:8" s="169" customFormat="1" ht="12">
      <c r="D63" s="170"/>
      <c r="E63" s="171"/>
      <c r="F63" s="172"/>
      <c r="G63" s="172"/>
    </row>
    <row r="64" spans="1:8" s="169" customFormat="1" ht="12">
      <c r="A64" s="177" t="s">
        <v>1003</v>
      </c>
      <c r="B64" s="177" t="s">
        <v>1004</v>
      </c>
      <c r="C64" s="177" t="s">
        <v>1005</v>
      </c>
      <c r="D64" s="178" t="s">
        <v>1006</v>
      </c>
      <c r="E64" s="179" t="s">
        <v>1007</v>
      </c>
      <c r="F64" s="180" t="s">
        <v>2637</v>
      </c>
      <c r="G64" s="180" t="s">
        <v>2638</v>
      </c>
    </row>
    <row r="65" spans="1:7" s="169" customFormat="1" ht="12">
      <c r="A65" s="168" t="s">
        <v>671</v>
      </c>
      <c r="B65" s="203" t="s">
        <v>672</v>
      </c>
      <c r="C65" s="203"/>
      <c r="D65" s="168"/>
      <c r="E65" s="174"/>
      <c r="F65" s="175"/>
      <c r="G65" s="175"/>
    </row>
    <row r="66" spans="1:7" s="169" customFormat="1" ht="12">
      <c r="A66" s="203"/>
      <c r="B66" s="203" t="s">
        <v>673</v>
      </c>
      <c r="C66" s="203" t="s">
        <v>674</v>
      </c>
      <c r="D66" s="168" t="s">
        <v>675</v>
      </c>
      <c r="E66" s="174">
        <v>0.1</v>
      </c>
      <c r="F66" s="175">
        <f>'UPAD-BAHAN-ALAT'!$I$12</f>
        <v>110000</v>
      </c>
      <c r="G66" s="175">
        <f>F66*E66</f>
        <v>11000</v>
      </c>
    </row>
    <row r="67" spans="1:7" s="169" customFormat="1" ht="12">
      <c r="A67" s="203"/>
      <c r="B67" s="203" t="s">
        <v>871</v>
      </c>
      <c r="C67" s="203" t="s">
        <v>678</v>
      </c>
      <c r="D67" s="168" t="s">
        <v>675</v>
      </c>
      <c r="E67" s="174">
        <v>0.05</v>
      </c>
      <c r="F67" s="175">
        <f>'UPAD-BAHAN-ALAT'!$I$13</f>
        <v>140000</v>
      </c>
      <c r="G67" s="175">
        <f>F67*E67</f>
        <v>7000</v>
      </c>
    </row>
    <row r="68" spans="1:7" s="169" customFormat="1" ht="12">
      <c r="A68" s="203"/>
      <c r="B68" s="203" t="s">
        <v>751</v>
      </c>
      <c r="C68" s="203" t="s">
        <v>681</v>
      </c>
      <c r="D68" s="168" t="s">
        <v>675</v>
      </c>
      <c r="E68" s="174">
        <v>5.0000000000000001E-3</v>
      </c>
      <c r="F68" s="175">
        <f>'UPAD-BAHAN-ALAT'!$I$15</f>
        <v>150000</v>
      </c>
      <c r="G68" s="175">
        <f>F68*E68</f>
        <v>750</v>
      </c>
    </row>
    <row r="69" spans="1:7" s="169" customFormat="1" ht="12">
      <c r="A69" s="203"/>
      <c r="B69" s="203" t="s">
        <v>683</v>
      </c>
      <c r="C69" s="203" t="s">
        <v>684</v>
      </c>
      <c r="D69" s="168" t="s">
        <v>675</v>
      </c>
      <c r="E69" s="174">
        <v>5.0000000000000001E-3</v>
      </c>
      <c r="F69" s="175">
        <f>'UPAD-BAHAN-ALAT'!$I$14</f>
        <v>140000</v>
      </c>
      <c r="G69" s="175">
        <f>F69*E69</f>
        <v>700</v>
      </c>
    </row>
    <row r="70" spans="1:7" s="169" customFormat="1" ht="12">
      <c r="A70" s="203"/>
      <c r="B70" s="203"/>
      <c r="C70" s="203"/>
      <c r="D70" s="168"/>
      <c r="E70" s="1322" t="s">
        <v>685</v>
      </c>
      <c r="F70" s="1322"/>
      <c r="G70" s="175">
        <f>SUM(G66:G69)</f>
        <v>19450</v>
      </c>
    </row>
    <row r="71" spans="1:7" s="169" customFormat="1" ht="12">
      <c r="A71" s="168" t="s">
        <v>686</v>
      </c>
      <c r="B71" s="203" t="s">
        <v>687</v>
      </c>
      <c r="C71" s="203"/>
      <c r="D71" s="168"/>
      <c r="E71" s="174"/>
      <c r="F71" s="175"/>
      <c r="G71" s="175"/>
    </row>
    <row r="72" spans="1:7" s="169" customFormat="1" ht="12">
      <c r="A72" s="203"/>
      <c r="B72" s="203" t="s">
        <v>1193</v>
      </c>
      <c r="C72" s="203"/>
      <c r="D72" s="168" t="s">
        <v>888</v>
      </c>
      <c r="E72" s="174">
        <v>0.36399999999999999</v>
      </c>
      <c r="F72" s="175">
        <f>'UPAD-BAHAN-ALAT'!I339</f>
        <v>72250</v>
      </c>
      <c r="G72" s="175">
        <f>F72*E72</f>
        <v>26299</v>
      </c>
    </row>
    <row r="73" spans="1:7" s="169" customFormat="1" ht="12">
      <c r="A73" s="203"/>
      <c r="B73" s="203" t="s">
        <v>1194</v>
      </c>
      <c r="C73" s="203"/>
      <c r="D73" s="168" t="s">
        <v>773</v>
      </c>
      <c r="E73" s="174">
        <v>0.11</v>
      </c>
      <c r="F73" s="175">
        <f>'UPAD-BAHAN-ALAT'!I140</f>
        <v>27500</v>
      </c>
      <c r="G73" s="175">
        <f>F73*E73</f>
        <v>3025</v>
      </c>
    </row>
    <row r="74" spans="1:7" s="169" customFormat="1" ht="12">
      <c r="A74" s="203"/>
      <c r="B74" s="203"/>
      <c r="C74" s="203"/>
      <c r="D74" s="168"/>
      <c r="E74" s="1323" t="s">
        <v>702</v>
      </c>
      <c r="F74" s="1323"/>
      <c r="G74" s="175">
        <f>SUM(G72:G73)</f>
        <v>29324</v>
      </c>
    </row>
    <row r="75" spans="1:7" s="169" customFormat="1" ht="12" hidden="1">
      <c r="A75" s="168" t="s">
        <v>703</v>
      </c>
      <c r="B75" s="203" t="s">
        <v>704</v>
      </c>
      <c r="C75" s="203"/>
      <c r="D75" s="168"/>
      <c r="E75" s="201"/>
      <c r="F75" s="176"/>
      <c r="G75" s="175"/>
    </row>
    <row r="76" spans="1:7" s="169" customFormat="1" ht="12" hidden="1">
      <c r="A76" s="203"/>
      <c r="B76" s="203"/>
      <c r="C76" s="203"/>
      <c r="D76" s="168"/>
      <c r="E76" s="174"/>
      <c r="F76" s="175"/>
      <c r="G76" s="175"/>
    </row>
    <row r="77" spans="1:7" s="169" customFormat="1" ht="12" hidden="1">
      <c r="A77" s="203"/>
      <c r="B77" s="203"/>
      <c r="C77" s="203"/>
      <c r="D77" s="168"/>
      <c r="E77" s="1322" t="s">
        <v>705</v>
      </c>
      <c r="F77" s="1322"/>
      <c r="G77" s="175"/>
    </row>
    <row r="78" spans="1:7" s="169" customFormat="1" ht="12" hidden="1">
      <c r="A78" s="203"/>
      <c r="B78" s="203"/>
      <c r="C78" s="203"/>
      <c r="D78" s="168"/>
      <c r="E78" s="174"/>
      <c r="F78" s="175"/>
      <c r="G78" s="175"/>
    </row>
    <row r="79" spans="1:7" s="169" customFormat="1" ht="12">
      <c r="A79" s="168" t="s">
        <v>706</v>
      </c>
      <c r="B79" s="1322" t="s">
        <v>707</v>
      </c>
      <c r="C79" s="1322"/>
      <c r="D79" s="1322"/>
      <c r="E79" s="1322"/>
      <c r="F79" s="1322"/>
      <c r="G79" s="175">
        <f>G70+G74+G77</f>
        <v>48774</v>
      </c>
    </row>
    <row r="80" spans="1:7" s="169" customFormat="1" ht="12">
      <c r="A80" s="168" t="s">
        <v>708</v>
      </c>
      <c r="B80" s="1319" t="s">
        <v>876</v>
      </c>
      <c r="C80" s="1319"/>
      <c r="D80" s="1319"/>
      <c r="E80" s="1320" t="s">
        <v>710</v>
      </c>
      <c r="F80" s="1320"/>
      <c r="G80" s="175">
        <f>G79*15%</f>
        <v>7316.0999999999995</v>
      </c>
    </row>
    <row r="81" spans="1:8" s="169" customFormat="1" ht="12">
      <c r="A81" s="168" t="s">
        <v>711</v>
      </c>
      <c r="B81" s="1321" t="s">
        <v>712</v>
      </c>
      <c r="C81" s="1321"/>
      <c r="D81" s="1321"/>
      <c r="E81" s="1321"/>
      <c r="F81" s="1321"/>
      <c r="G81" s="233">
        <f>ROUND(H81,2)</f>
        <v>56090.1</v>
      </c>
      <c r="H81" s="175">
        <f>SUM(G79:G80)</f>
        <v>56090.1</v>
      </c>
    </row>
    <row r="83" spans="1:8" s="169" customFormat="1" ht="12">
      <c r="A83" s="204" t="s">
        <v>3672</v>
      </c>
      <c r="B83" s="173" t="s">
        <v>3691</v>
      </c>
      <c r="D83" s="170"/>
      <c r="E83" s="171"/>
      <c r="F83" s="172"/>
      <c r="G83" s="172"/>
    </row>
    <row r="84" spans="1:8" s="169" customFormat="1" ht="12">
      <c r="D84" s="170"/>
      <c r="E84" s="171"/>
      <c r="F84" s="172"/>
      <c r="G84" s="172"/>
    </row>
    <row r="85" spans="1:8" s="169" customFormat="1" ht="12">
      <c r="A85" s="177" t="s">
        <v>1003</v>
      </c>
      <c r="B85" s="177" t="s">
        <v>1004</v>
      </c>
      <c r="C85" s="177" t="s">
        <v>1005</v>
      </c>
      <c r="D85" s="178" t="s">
        <v>1006</v>
      </c>
      <c r="E85" s="179" t="s">
        <v>1007</v>
      </c>
      <c r="F85" s="180" t="s">
        <v>2637</v>
      </c>
      <c r="G85" s="180" t="s">
        <v>2638</v>
      </c>
    </row>
    <row r="86" spans="1:8" s="169" customFormat="1" ht="12">
      <c r="A86" s="168" t="s">
        <v>671</v>
      </c>
      <c r="B86" s="203" t="s">
        <v>672</v>
      </c>
      <c r="C86" s="203"/>
      <c r="D86" s="168"/>
      <c r="E86" s="174"/>
      <c r="F86" s="175"/>
      <c r="G86" s="175"/>
    </row>
    <row r="87" spans="1:8" s="169" customFormat="1" ht="12">
      <c r="A87" s="203"/>
      <c r="B87" s="203" t="s">
        <v>673</v>
      </c>
      <c r="C87" s="203" t="s">
        <v>674</v>
      </c>
      <c r="D87" s="168" t="s">
        <v>675</v>
      </c>
      <c r="E87" s="174">
        <v>0.1</v>
      </c>
      <c r="F87" s="175">
        <f>'UPAD-BAHAN-ALAT'!$I$12</f>
        <v>110000</v>
      </c>
      <c r="G87" s="175">
        <f>F87*E87</f>
        <v>11000</v>
      </c>
    </row>
    <row r="88" spans="1:8" s="169" customFormat="1" ht="12">
      <c r="A88" s="203"/>
      <c r="B88" s="203" t="s">
        <v>871</v>
      </c>
      <c r="C88" s="203" t="s">
        <v>678</v>
      </c>
      <c r="D88" s="168" t="s">
        <v>675</v>
      </c>
      <c r="E88" s="174">
        <v>0.05</v>
      </c>
      <c r="F88" s="175">
        <f>'UPAD-BAHAN-ALAT'!$I$13</f>
        <v>140000</v>
      </c>
      <c r="G88" s="175">
        <f>F88*E88</f>
        <v>7000</v>
      </c>
    </row>
    <row r="89" spans="1:8" s="169" customFormat="1" ht="12">
      <c r="A89" s="203"/>
      <c r="B89" s="203" t="s">
        <v>751</v>
      </c>
      <c r="C89" s="203" t="s">
        <v>681</v>
      </c>
      <c r="D89" s="168" t="s">
        <v>675</v>
      </c>
      <c r="E89" s="174">
        <v>5.0000000000000001E-3</v>
      </c>
      <c r="F89" s="175">
        <f>'UPAD-BAHAN-ALAT'!$I$15</f>
        <v>150000</v>
      </c>
      <c r="G89" s="175">
        <f>F89*E89</f>
        <v>750</v>
      </c>
    </row>
    <row r="90" spans="1:8" s="169" customFormat="1" ht="12">
      <c r="A90" s="203"/>
      <c r="B90" s="203" t="s">
        <v>683</v>
      </c>
      <c r="C90" s="203" t="s">
        <v>684</v>
      </c>
      <c r="D90" s="168" t="s">
        <v>675</v>
      </c>
      <c r="E90" s="174">
        <v>5.0000000000000001E-3</v>
      </c>
      <c r="F90" s="175">
        <f>'UPAD-BAHAN-ALAT'!$I$14</f>
        <v>140000</v>
      </c>
      <c r="G90" s="175">
        <f>F90*E90</f>
        <v>700</v>
      </c>
    </row>
    <row r="91" spans="1:8" s="169" customFormat="1" ht="12">
      <c r="A91" s="203"/>
      <c r="B91" s="203"/>
      <c r="C91" s="203"/>
      <c r="D91" s="168"/>
      <c r="E91" s="1322" t="s">
        <v>685</v>
      </c>
      <c r="F91" s="1322"/>
      <c r="G91" s="175">
        <f>SUM(G87:G90)</f>
        <v>19450</v>
      </c>
    </row>
    <row r="92" spans="1:8" s="169" customFormat="1" ht="12">
      <c r="A92" s="168" t="s">
        <v>686</v>
      </c>
      <c r="B92" s="203" t="s">
        <v>687</v>
      </c>
      <c r="C92" s="203"/>
      <c r="D92" s="168"/>
      <c r="E92" s="174"/>
      <c r="F92" s="175"/>
      <c r="G92" s="175"/>
    </row>
    <row r="93" spans="1:8" s="169" customFormat="1" ht="12">
      <c r="A93" s="203"/>
      <c r="B93" s="203" t="s">
        <v>3698</v>
      </c>
      <c r="C93" s="203"/>
      <c r="D93" s="168" t="s">
        <v>888</v>
      </c>
      <c r="E93" s="174">
        <v>0.36399999999999999</v>
      </c>
      <c r="F93" s="175">
        <f>'UPAD-BAHAN-ALAT'!I361</f>
        <v>102000</v>
      </c>
      <c r="G93" s="175">
        <f>F93*E93</f>
        <v>37128</v>
      </c>
    </row>
    <row r="94" spans="1:8" s="169" customFormat="1" ht="12">
      <c r="A94" s="203"/>
      <c r="B94" s="203" t="s">
        <v>1194</v>
      </c>
      <c r="C94" s="203"/>
      <c r="D94" s="168" t="s">
        <v>773</v>
      </c>
      <c r="E94" s="174">
        <v>0.11</v>
      </c>
      <c r="F94" s="175">
        <f>'UPAD-BAHAN-ALAT'!I140</f>
        <v>27500</v>
      </c>
      <c r="G94" s="175">
        <f>F94*E94</f>
        <v>3025</v>
      </c>
    </row>
    <row r="95" spans="1:8" s="169" customFormat="1" ht="12">
      <c r="A95" s="203"/>
      <c r="B95" s="203"/>
      <c r="C95" s="203"/>
      <c r="D95" s="168"/>
      <c r="E95" s="1323" t="s">
        <v>702</v>
      </c>
      <c r="F95" s="1323"/>
      <c r="G95" s="175">
        <f>SUM(G93:G94)</f>
        <v>40153</v>
      </c>
    </row>
    <row r="96" spans="1:8" s="169" customFormat="1" ht="12" hidden="1">
      <c r="A96" s="168" t="s">
        <v>703</v>
      </c>
      <c r="B96" s="203" t="s">
        <v>704</v>
      </c>
      <c r="C96" s="203"/>
      <c r="D96" s="168"/>
      <c r="E96" s="201"/>
      <c r="F96" s="176"/>
      <c r="G96" s="175"/>
    </row>
    <row r="97" spans="1:8" s="169" customFormat="1" ht="12" hidden="1">
      <c r="A97" s="203"/>
      <c r="B97" s="203"/>
      <c r="C97" s="203"/>
      <c r="D97" s="168"/>
      <c r="E97" s="174"/>
      <c r="F97" s="175"/>
      <c r="G97" s="175"/>
    </row>
    <row r="98" spans="1:8" s="169" customFormat="1" ht="12" hidden="1">
      <c r="A98" s="203"/>
      <c r="B98" s="203"/>
      <c r="C98" s="203"/>
      <c r="D98" s="168"/>
      <c r="E98" s="1322" t="s">
        <v>705</v>
      </c>
      <c r="F98" s="1322"/>
      <c r="G98" s="175"/>
    </row>
    <row r="99" spans="1:8" s="169" customFormat="1" ht="12" hidden="1">
      <c r="A99" s="203"/>
      <c r="B99" s="203"/>
      <c r="C99" s="203"/>
      <c r="D99" s="168"/>
      <c r="E99" s="174"/>
      <c r="F99" s="175"/>
      <c r="G99" s="175"/>
    </row>
    <row r="100" spans="1:8" s="169" customFormat="1" ht="12">
      <c r="A100" s="168" t="s">
        <v>706</v>
      </c>
      <c r="B100" s="1322" t="s">
        <v>707</v>
      </c>
      <c r="C100" s="1322"/>
      <c r="D100" s="1322"/>
      <c r="E100" s="1322"/>
      <c r="F100" s="1322"/>
      <c r="G100" s="175">
        <f>G91+G95+G98</f>
        <v>59603</v>
      </c>
    </row>
    <row r="101" spans="1:8" s="169" customFormat="1" ht="12">
      <c r="A101" s="168" t="s">
        <v>708</v>
      </c>
      <c r="B101" s="1319" t="s">
        <v>876</v>
      </c>
      <c r="C101" s="1319"/>
      <c r="D101" s="1319"/>
      <c r="E101" s="1320" t="s">
        <v>710</v>
      </c>
      <c r="F101" s="1320"/>
      <c r="G101" s="175">
        <f>G100*15%</f>
        <v>8940.4499999999989</v>
      </c>
    </row>
    <row r="102" spans="1:8" s="169" customFormat="1" ht="12">
      <c r="A102" s="168" t="s">
        <v>711</v>
      </c>
      <c r="B102" s="1321" t="s">
        <v>712</v>
      </c>
      <c r="C102" s="1321"/>
      <c r="D102" s="1321"/>
      <c r="E102" s="1321"/>
      <c r="F102" s="1321"/>
      <c r="G102" s="233">
        <f>ROUND(H102,2)</f>
        <v>68543.45</v>
      </c>
      <c r="H102" s="175">
        <f>SUM(G100:G101)</f>
        <v>68543.45</v>
      </c>
    </row>
    <row r="104" spans="1:8" s="169" customFormat="1" ht="12">
      <c r="A104" s="204" t="s">
        <v>3673</v>
      </c>
      <c r="B104" s="173" t="s">
        <v>3692</v>
      </c>
      <c r="D104" s="170"/>
      <c r="E104" s="171"/>
      <c r="F104" s="172"/>
      <c r="G104" s="172"/>
    </row>
    <row r="105" spans="1:8" s="169" customFormat="1" ht="12">
      <c r="D105" s="170"/>
      <c r="E105" s="171"/>
      <c r="F105" s="172"/>
      <c r="G105" s="172"/>
    </row>
    <row r="106" spans="1:8" s="169" customFormat="1" ht="12">
      <c r="A106" s="177" t="s">
        <v>1003</v>
      </c>
      <c r="B106" s="177" t="s">
        <v>1004</v>
      </c>
      <c r="C106" s="177" t="s">
        <v>1005</v>
      </c>
      <c r="D106" s="178" t="s">
        <v>1006</v>
      </c>
      <c r="E106" s="179" t="s">
        <v>1007</v>
      </c>
      <c r="F106" s="180" t="s">
        <v>2637</v>
      </c>
      <c r="G106" s="180" t="s">
        <v>2638</v>
      </c>
    </row>
    <row r="107" spans="1:8" s="169" customFormat="1" ht="12">
      <c r="A107" s="168" t="s">
        <v>671</v>
      </c>
      <c r="B107" s="203" t="s">
        <v>672</v>
      </c>
      <c r="C107" s="203"/>
      <c r="D107" s="168"/>
      <c r="E107" s="174"/>
      <c r="F107" s="175"/>
      <c r="G107" s="175"/>
    </row>
    <row r="108" spans="1:8" s="169" customFormat="1" ht="12">
      <c r="A108" s="203"/>
      <c r="B108" s="203" t="s">
        <v>673</v>
      </c>
      <c r="C108" s="203" t="s">
        <v>674</v>
      </c>
      <c r="D108" s="168" t="s">
        <v>675</v>
      </c>
      <c r="E108" s="174">
        <v>0.1</v>
      </c>
      <c r="F108" s="175">
        <f>'UPAD-BAHAN-ALAT'!$I$12</f>
        <v>110000</v>
      </c>
      <c r="G108" s="175">
        <f>F108*E108</f>
        <v>11000</v>
      </c>
    </row>
    <row r="109" spans="1:8" s="169" customFormat="1" ht="12">
      <c r="A109" s="203"/>
      <c r="B109" s="203" t="s">
        <v>871</v>
      </c>
      <c r="C109" s="203" t="s">
        <v>678</v>
      </c>
      <c r="D109" s="168" t="s">
        <v>675</v>
      </c>
      <c r="E109" s="174">
        <v>0.05</v>
      </c>
      <c r="F109" s="175">
        <f>'UPAD-BAHAN-ALAT'!$I$13</f>
        <v>140000</v>
      </c>
      <c r="G109" s="175">
        <f>F109*E109</f>
        <v>7000</v>
      </c>
    </row>
    <row r="110" spans="1:8" s="169" customFormat="1" ht="12">
      <c r="A110" s="203"/>
      <c r="B110" s="203" t="s">
        <v>751</v>
      </c>
      <c r="C110" s="203" t="s">
        <v>681</v>
      </c>
      <c r="D110" s="168" t="s">
        <v>675</v>
      </c>
      <c r="E110" s="174">
        <v>5.0000000000000001E-3</v>
      </c>
      <c r="F110" s="175">
        <f>'UPAD-BAHAN-ALAT'!$I$15</f>
        <v>150000</v>
      </c>
      <c r="G110" s="175">
        <f>F110*E110</f>
        <v>750</v>
      </c>
    </row>
    <row r="111" spans="1:8" s="169" customFormat="1" ht="12">
      <c r="A111" s="203"/>
      <c r="B111" s="203" t="s">
        <v>683</v>
      </c>
      <c r="C111" s="203" t="s">
        <v>684</v>
      </c>
      <c r="D111" s="168" t="s">
        <v>675</v>
      </c>
      <c r="E111" s="174">
        <v>5.0000000000000001E-3</v>
      </c>
      <c r="F111" s="175">
        <f>'UPAD-BAHAN-ALAT'!$I$14</f>
        <v>140000</v>
      </c>
      <c r="G111" s="175">
        <f>F111*E111</f>
        <v>700</v>
      </c>
    </row>
    <row r="112" spans="1:8" s="169" customFormat="1" ht="12">
      <c r="A112" s="203"/>
      <c r="B112" s="203"/>
      <c r="C112" s="203"/>
      <c r="D112" s="168"/>
      <c r="E112" s="1322" t="s">
        <v>685</v>
      </c>
      <c r="F112" s="1322"/>
      <c r="G112" s="175">
        <f>SUM(G108:G111)</f>
        <v>19450</v>
      </c>
    </row>
    <row r="113" spans="1:8" s="169" customFormat="1" ht="12">
      <c r="A113" s="168" t="s">
        <v>686</v>
      </c>
      <c r="B113" s="203" t="s">
        <v>687</v>
      </c>
      <c r="C113" s="203"/>
      <c r="D113" s="168"/>
      <c r="E113" s="174"/>
      <c r="F113" s="175"/>
      <c r="G113" s="175"/>
    </row>
    <row r="114" spans="1:8" s="169" customFormat="1" ht="12">
      <c r="A114" s="203"/>
      <c r="B114" s="203" t="s">
        <v>3693</v>
      </c>
      <c r="C114" s="203"/>
      <c r="D114" s="168" t="s">
        <v>888</v>
      </c>
      <c r="E114" s="174">
        <v>0.36399999999999999</v>
      </c>
      <c r="F114" s="175">
        <f>'UPAD-BAHAN-ALAT'!I102</f>
        <v>93500</v>
      </c>
      <c r="G114" s="175">
        <f>F114*E114</f>
        <v>34034</v>
      </c>
    </row>
    <row r="115" spans="1:8" s="169" customFormat="1" ht="12">
      <c r="A115" s="203"/>
      <c r="B115" s="203" t="s">
        <v>1194</v>
      </c>
      <c r="C115" s="203"/>
      <c r="D115" s="168" t="s">
        <v>773</v>
      </c>
      <c r="E115" s="174">
        <v>0.11</v>
      </c>
      <c r="F115" s="175">
        <f>'UPAD-BAHAN-ALAT'!I140</f>
        <v>27500</v>
      </c>
      <c r="G115" s="175">
        <f>F115*E115</f>
        <v>3025</v>
      </c>
    </row>
    <row r="116" spans="1:8" s="169" customFormat="1" ht="12">
      <c r="A116" s="203"/>
      <c r="B116" s="203"/>
      <c r="C116" s="203"/>
      <c r="D116" s="168"/>
      <c r="E116" s="1323" t="s">
        <v>702</v>
      </c>
      <c r="F116" s="1323"/>
      <c r="G116" s="175">
        <f>SUM(G114:G115)</f>
        <v>37059</v>
      </c>
    </row>
    <row r="117" spans="1:8" s="169" customFormat="1" ht="12" hidden="1">
      <c r="A117" s="168" t="s">
        <v>703</v>
      </c>
      <c r="B117" s="203" t="s">
        <v>704</v>
      </c>
      <c r="C117" s="203"/>
      <c r="D117" s="168"/>
      <c r="E117" s="201"/>
      <c r="F117" s="176"/>
      <c r="G117" s="175"/>
    </row>
    <row r="118" spans="1:8" s="169" customFormat="1" ht="12" hidden="1">
      <c r="A118" s="203"/>
      <c r="B118" s="203"/>
      <c r="C118" s="203"/>
      <c r="D118" s="168"/>
      <c r="E118" s="174"/>
      <c r="F118" s="175"/>
      <c r="G118" s="175"/>
    </row>
    <row r="119" spans="1:8" s="169" customFormat="1" ht="12" hidden="1">
      <c r="A119" s="203"/>
      <c r="B119" s="203"/>
      <c r="C119" s="203"/>
      <c r="D119" s="168"/>
      <c r="E119" s="1322" t="s">
        <v>705</v>
      </c>
      <c r="F119" s="1322"/>
      <c r="G119" s="175"/>
    </row>
    <row r="120" spans="1:8" s="169" customFormat="1" ht="12" hidden="1">
      <c r="A120" s="203"/>
      <c r="B120" s="203"/>
      <c r="C120" s="203"/>
      <c r="D120" s="168"/>
      <c r="E120" s="174"/>
      <c r="F120" s="175"/>
      <c r="G120" s="175"/>
    </row>
    <row r="121" spans="1:8" s="169" customFormat="1" ht="12">
      <c r="A121" s="168" t="s">
        <v>706</v>
      </c>
      <c r="B121" s="1322" t="s">
        <v>707</v>
      </c>
      <c r="C121" s="1322"/>
      <c r="D121" s="1322"/>
      <c r="E121" s="1322"/>
      <c r="F121" s="1322"/>
      <c r="G121" s="175">
        <f>G112+G116+G119</f>
        <v>56509</v>
      </c>
    </row>
    <row r="122" spans="1:8" s="169" customFormat="1" ht="12">
      <c r="A122" s="168" t="s">
        <v>708</v>
      </c>
      <c r="B122" s="1319" t="s">
        <v>876</v>
      </c>
      <c r="C122" s="1319"/>
      <c r="D122" s="1319"/>
      <c r="E122" s="1320" t="s">
        <v>710</v>
      </c>
      <c r="F122" s="1320"/>
      <c r="G122" s="175">
        <f>G121*15%</f>
        <v>8476.35</v>
      </c>
    </row>
    <row r="123" spans="1:8" s="169" customFormat="1" ht="12">
      <c r="A123" s="168" t="s">
        <v>711</v>
      </c>
      <c r="B123" s="1321" t="s">
        <v>712</v>
      </c>
      <c r="C123" s="1321"/>
      <c r="D123" s="1321"/>
      <c r="E123" s="1321"/>
      <c r="F123" s="1321"/>
      <c r="G123" s="233">
        <f>ROUND(H123,2)</f>
        <v>64985.35</v>
      </c>
      <c r="H123" s="175">
        <f>SUM(G121:G122)</f>
        <v>64985.35</v>
      </c>
    </row>
    <row r="124" spans="1:8" s="169" customFormat="1" ht="12">
      <c r="A124" s="189"/>
      <c r="B124" s="188"/>
      <c r="C124" s="188"/>
      <c r="D124" s="188"/>
      <c r="E124" s="188"/>
      <c r="F124" s="188"/>
      <c r="G124" s="182"/>
    </row>
    <row r="125" spans="1:8" s="169" customFormat="1" ht="12">
      <c r="A125" s="204" t="s">
        <v>3674</v>
      </c>
      <c r="B125" s="173" t="s">
        <v>3705</v>
      </c>
      <c r="D125" s="170"/>
      <c r="E125" s="171"/>
      <c r="F125" s="172"/>
      <c r="G125" s="172"/>
    </row>
    <row r="126" spans="1:8" s="169" customFormat="1" ht="12">
      <c r="D126" s="170"/>
      <c r="E126" s="171"/>
      <c r="F126" s="172"/>
      <c r="G126" s="172"/>
    </row>
    <row r="127" spans="1:8" s="169" customFormat="1" ht="12">
      <c r="A127" s="177" t="s">
        <v>1003</v>
      </c>
      <c r="B127" s="177" t="s">
        <v>1004</v>
      </c>
      <c r="C127" s="177" t="s">
        <v>1005</v>
      </c>
      <c r="D127" s="178" t="s">
        <v>1006</v>
      </c>
      <c r="E127" s="179" t="s">
        <v>1007</v>
      </c>
      <c r="F127" s="180" t="s">
        <v>2637</v>
      </c>
      <c r="G127" s="180" t="s">
        <v>2638</v>
      </c>
    </row>
    <row r="128" spans="1:8" s="169" customFormat="1" ht="12">
      <c r="A128" s="168" t="s">
        <v>671</v>
      </c>
      <c r="B128" s="229" t="s">
        <v>672</v>
      </c>
      <c r="C128" s="229"/>
      <c r="D128" s="168"/>
      <c r="E128" s="174"/>
      <c r="F128" s="175"/>
      <c r="G128" s="175"/>
    </row>
    <row r="129" spans="1:8" s="169" customFormat="1" ht="12">
      <c r="A129" s="229"/>
      <c r="B129" s="229" t="s">
        <v>673</v>
      </c>
      <c r="C129" s="229" t="s">
        <v>674</v>
      </c>
      <c r="D129" s="168" t="s">
        <v>675</v>
      </c>
      <c r="E129" s="174">
        <v>0.1</v>
      </c>
      <c r="F129" s="175">
        <f>'UPAD-BAHAN-ALAT'!$I$12</f>
        <v>110000</v>
      </c>
      <c r="G129" s="175">
        <f>F129*E129</f>
        <v>11000</v>
      </c>
    </row>
    <row r="130" spans="1:8" s="169" customFormat="1" ht="12">
      <c r="A130" s="229"/>
      <c r="B130" s="229" t="s">
        <v>871</v>
      </c>
      <c r="C130" s="229" t="s">
        <v>678</v>
      </c>
      <c r="D130" s="168" t="s">
        <v>675</v>
      </c>
      <c r="E130" s="174">
        <v>0.05</v>
      </c>
      <c r="F130" s="175">
        <f>'UPAD-BAHAN-ALAT'!$I$13</f>
        <v>140000</v>
      </c>
      <c r="G130" s="175">
        <f>F130*E130</f>
        <v>7000</v>
      </c>
    </row>
    <row r="131" spans="1:8" s="169" customFormat="1" ht="12">
      <c r="A131" s="229"/>
      <c r="B131" s="229" t="s">
        <v>751</v>
      </c>
      <c r="C131" s="229" t="s">
        <v>681</v>
      </c>
      <c r="D131" s="168" t="s">
        <v>675</v>
      </c>
      <c r="E131" s="174">
        <v>5.0000000000000001E-3</v>
      </c>
      <c r="F131" s="175">
        <f>'UPAD-BAHAN-ALAT'!$I$15</f>
        <v>150000</v>
      </c>
      <c r="G131" s="175">
        <f>F131*E131</f>
        <v>750</v>
      </c>
    </row>
    <row r="132" spans="1:8" s="169" customFormat="1" ht="12">
      <c r="A132" s="229"/>
      <c r="B132" s="229" t="s">
        <v>683</v>
      </c>
      <c r="C132" s="229" t="s">
        <v>684</v>
      </c>
      <c r="D132" s="168" t="s">
        <v>675</v>
      </c>
      <c r="E132" s="174">
        <v>5.0000000000000001E-3</v>
      </c>
      <c r="F132" s="175">
        <f>'UPAD-BAHAN-ALAT'!$I$14</f>
        <v>140000</v>
      </c>
      <c r="G132" s="175">
        <f>F132*E132</f>
        <v>700</v>
      </c>
    </row>
    <row r="133" spans="1:8" s="169" customFormat="1" ht="12">
      <c r="A133" s="229"/>
      <c r="B133" s="229"/>
      <c r="C133" s="229"/>
      <c r="D133" s="168"/>
      <c r="E133" s="1322" t="s">
        <v>685</v>
      </c>
      <c r="F133" s="1322"/>
      <c r="G133" s="175">
        <f>SUM(G129:G132)</f>
        <v>19450</v>
      </c>
    </row>
    <row r="134" spans="1:8" s="169" customFormat="1" ht="12">
      <c r="A134" s="168" t="s">
        <v>686</v>
      </c>
      <c r="B134" s="229" t="s">
        <v>687</v>
      </c>
      <c r="C134" s="229"/>
      <c r="D134" s="168"/>
      <c r="E134" s="174"/>
      <c r="F134" s="175"/>
      <c r="G134" s="175"/>
    </row>
    <row r="135" spans="1:8" s="169" customFormat="1" ht="12">
      <c r="A135" s="229"/>
      <c r="B135" s="245" t="s">
        <v>3712</v>
      </c>
      <c r="C135" s="229"/>
      <c r="D135" s="168" t="s">
        <v>888</v>
      </c>
      <c r="E135" s="174">
        <v>0.36399999999999999</v>
      </c>
      <c r="F135" s="175">
        <f>'UPAD-BAHAN-ALAT'!I104</f>
        <v>159500</v>
      </c>
      <c r="G135" s="175">
        <f>F135*E135</f>
        <v>58058</v>
      </c>
    </row>
    <row r="136" spans="1:8" s="169" customFormat="1" ht="12">
      <c r="A136" s="229"/>
      <c r="B136" s="229" t="s">
        <v>1194</v>
      </c>
      <c r="C136" s="229"/>
      <c r="D136" s="168" t="s">
        <v>773</v>
      </c>
      <c r="E136" s="174">
        <v>0.11</v>
      </c>
      <c r="F136" s="175">
        <f>'UPAD-BAHAN-ALAT'!I140</f>
        <v>27500</v>
      </c>
      <c r="G136" s="175">
        <f>F136*E136</f>
        <v>3025</v>
      </c>
    </row>
    <row r="137" spans="1:8" s="169" customFormat="1" ht="12">
      <c r="A137" s="229"/>
      <c r="B137" s="229"/>
      <c r="C137" s="229"/>
      <c r="D137" s="168"/>
      <c r="E137" s="1323" t="s">
        <v>702</v>
      </c>
      <c r="F137" s="1323"/>
      <c r="G137" s="175">
        <f>SUM(G135:G136)</f>
        <v>61083</v>
      </c>
    </row>
    <row r="138" spans="1:8" s="169" customFormat="1" ht="12" hidden="1">
      <c r="A138" s="168" t="s">
        <v>703</v>
      </c>
      <c r="B138" s="229" t="s">
        <v>704</v>
      </c>
      <c r="C138" s="229"/>
      <c r="D138" s="168"/>
      <c r="E138" s="201"/>
      <c r="F138" s="176"/>
      <c r="G138" s="175"/>
    </row>
    <row r="139" spans="1:8" s="169" customFormat="1" ht="12" hidden="1">
      <c r="A139" s="229"/>
      <c r="B139" s="229"/>
      <c r="C139" s="229"/>
      <c r="D139" s="168"/>
      <c r="E139" s="174"/>
      <c r="F139" s="175"/>
      <c r="G139" s="175"/>
    </row>
    <row r="140" spans="1:8" s="169" customFormat="1" ht="12" hidden="1">
      <c r="A140" s="229"/>
      <c r="B140" s="229"/>
      <c r="C140" s="229"/>
      <c r="D140" s="168"/>
      <c r="E140" s="1322" t="s">
        <v>705</v>
      </c>
      <c r="F140" s="1322"/>
      <c r="G140" s="175"/>
    </row>
    <row r="141" spans="1:8" s="169" customFormat="1" ht="12" hidden="1">
      <c r="A141" s="229"/>
      <c r="B141" s="229"/>
      <c r="C141" s="229"/>
      <c r="D141" s="168"/>
      <c r="E141" s="174"/>
      <c r="F141" s="175"/>
      <c r="G141" s="175"/>
    </row>
    <row r="142" spans="1:8" s="169" customFormat="1" ht="12">
      <c r="A142" s="168" t="s">
        <v>706</v>
      </c>
      <c r="B142" s="1322" t="s">
        <v>707</v>
      </c>
      <c r="C142" s="1322"/>
      <c r="D142" s="1322"/>
      <c r="E142" s="1322"/>
      <c r="F142" s="1322"/>
      <c r="G142" s="175">
        <f>G133+G137+G140</f>
        <v>80533</v>
      </c>
    </row>
    <row r="143" spans="1:8" s="169" customFormat="1" ht="12">
      <c r="A143" s="168" t="s">
        <v>708</v>
      </c>
      <c r="B143" s="1319" t="s">
        <v>876</v>
      </c>
      <c r="C143" s="1319"/>
      <c r="D143" s="1319"/>
      <c r="E143" s="1320" t="s">
        <v>710</v>
      </c>
      <c r="F143" s="1320"/>
      <c r="G143" s="175">
        <f>G142*15%</f>
        <v>12079.949999999999</v>
      </c>
    </row>
    <row r="144" spans="1:8" s="169" customFormat="1" ht="12">
      <c r="A144" s="168" t="s">
        <v>711</v>
      </c>
      <c r="B144" s="1321" t="s">
        <v>712</v>
      </c>
      <c r="C144" s="1321"/>
      <c r="D144" s="1321"/>
      <c r="E144" s="1321"/>
      <c r="F144" s="1321"/>
      <c r="G144" s="233">
        <f>ROUND(H144,2)</f>
        <v>92612.95</v>
      </c>
      <c r="H144" s="175">
        <f>SUM(G142:G143)</f>
        <v>92612.95</v>
      </c>
    </row>
    <row r="146" spans="1:7" s="169" customFormat="1" ht="12">
      <c r="A146" s="204" t="s">
        <v>3675</v>
      </c>
      <c r="B146" s="181" t="s">
        <v>3694</v>
      </c>
      <c r="C146" s="188"/>
      <c r="D146" s="189"/>
      <c r="E146" s="190"/>
      <c r="F146" s="182"/>
      <c r="G146" s="182"/>
    </row>
    <row r="147" spans="1:7" s="169" customFormat="1" ht="12">
      <c r="A147" s="195"/>
      <c r="B147" s="195"/>
      <c r="C147" s="195"/>
      <c r="D147" s="196"/>
      <c r="E147" s="197"/>
      <c r="F147" s="198"/>
      <c r="G147" s="198"/>
    </row>
    <row r="148" spans="1:7" s="169" customFormat="1" ht="12">
      <c r="A148" s="177" t="s">
        <v>1003</v>
      </c>
      <c r="B148" s="177" t="s">
        <v>1004</v>
      </c>
      <c r="C148" s="177" t="s">
        <v>1005</v>
      </c>
      <c r="D148" s="178" t="s">
        <v>1006</v>
      </c>
      <c r="E148" s="179" t="s">
        <v>1007</v>
      </c>
      <c r="F148" s="180" t="s">
        <v>2637</v>
      </c>
      <c r="G148" s="180" t="s">
        <v>2638</v>
      </c>
    </row>
    <row r="149" spans="1:7" s="169" customFormat="1" ht="12">
      <c r="A149" s="203" t="s">
        <v>671</v>
      </c>
      <c r="B149" s="203" t="s">
        <v>672</v>
      </c>
      <c r="C149" s="203"/>
      <c r="D149" s="168"/>
      <c r="E149" s="174"/>
      <c r="F149" s="175"/>
      <c r="G149" s="175"/>
    </row>
    <row r="150" spans="1:7" s="169" customFormat="1" ht="12">
      <c r="A150" s="203"/>
      <c r="B150" s="203" t="s">
        <v>673</v>
      </c>
      <c r="C150" s="203" t="s">
        <v>674</v>
      </c>
      <c r="D150" s="168" t="s">
        <v>675</v>
      </c>
      <c r="E150" s="174">
        <v>8.4000000000000005E-2</v>
      </c>
      <c r="F150" s="175">
        <f>'UPAD-BAHAN-ALAT'!$I$12</f>
        <v>110000</v>
      </c>
      <c r="G150" s="175">
        <f>F150*E150</f>
        <v>9240</v>
      </c>
    </row>
    <row r="151" spans="1:7" s="169" customFormat="1" ht="12">
      <c r="A151" s="203"/>
      <c r="B151" s="203" t="s">
        <v>677</v>
      </c>
      <c r="C151" s="203" t="s">
        <v>678</v>
      </c>
      <c r="D151" s="168" t="s">
        <v>675</v>
      </c>
      <c r="E151" s="174">
        <v>0.125</v>
      </c>
      <c r="F151" s="175">
        <f>'UPAD-BAHAN-ALAT'!$I$13</f>
        <v>140000</v>
      </c>
      <c r="G151" s="175">
        <f>F151*E151</f>
        <v>17500</v>
      </c>
    </row>
    <row r="152" spans="1:7" s="169" customFormat="1" ht="12">
      <c r="A152" s="203"/>
      <c r="B152" s="203" t="s">
        <v>751</v>
      </c>
      <c r="C152" s="203" t="s">
        <v>681</v>
      </c>
      <c r="D152" s="168" t="s">
        <v>675</v>
      </c>
      <c r="E152" s="174">
        <v>1.2999999999999999E-2</v>
      </c>
      <c r="F152" s="175">
        <f>'UPAD-BAHAN-ALAT'!$I$15</f>
        <v>150000</v>
      </c>
      <c r="G152" s="175">
        <f>F152*E152</f>
        <v>1950</v>
      </c>
    </row>
    <row r="153" spans="1:7" s="169" customFormat="1" ht="12">
      <c r="A153" s="203"/>
      <c r="B153" s="203" t="s">
        <v>683</v>
      </c>
      <c r="C153" s="203" t="s">
        <v>684</v>
      </c>
      <c r="D153" s="168" t="s">
        <v>675</v>
      </c>
      <c r="E153" s="174">
        <v>4.0000000000000001E-3</v>
      </c>
      <c r="F153" s="175">
        <f>'UPAD-BAHAN-ALAT'!$I$14</f>
        <v>140000</v>
      </c>
      <c r="G153" s="175">
        <f>F153*E153</f>
        <v>560</v>
      </c>
    </row>
    <row r="154" spans="1:7" s="169" customFormat="1" ht="12">
      <c r="A154" s="203"/>
      <c r="B154" s="203"/>
      <c r="C154" s="203"/>
      <c r="D154" s="168"/>
      <c r="E154" s="1322" t="s">
        <v>685</v>
      </c>
      <c r="F154" s="1322"/>
      <c r="G154" s="175">
        <f>SUM(G150:G153)</f>
        <v>29250</v>
      </c>
    </row>
    <row r="155" spans="1:7" s="169" customFormat="1" ht="12">
      <c r="A155" s="203" t="s">
        <v>686</v>
      </c>
      <c r="B155" s="203" t="s">
        <v>687</v>
      </c>
      <c r="C155" s="203"/>
      <c r="D155" s="168"/>
      <c r="E155" s="174"/>
      <c r="F155" s="175"/>
      <c r="G155" s="175"/>
    </row>
    <row r="156" spans="1:7" s="169" customFormat="1" ht="12">
      <c r="A156" s="203"/>
      <c r="B156" s="203" t="s">
        <v>3695</v>
      </c>
      <c r="C156" s="203"/>
      <c r="D156" s="168" t="s">
        <v>715</v>
      </c>
      <c r="E156" s="174">
        <v>1.1000000000000001</v>
      </c>
      <c r="F156" s="175">
        <f>'UPAD-BAHAN-ALAT'!I325</f>
        <v>35000</v>
      </c>
      <c r="G156" s="175">
        <f>F156*E156</f>
        <v>38500</v>
      </c>
    </row>
    <row r="157" spans="1:7" s="169" customFormat="1" ht="12">
      <c r="A157" s="203"/>
      <c r="B157" s="203" t="s">
        <v>2655</v>
      </c>
      <c r="C157" s="203"/>
      <c r="D157" s="168" t="s">
        <v>743</v>
      </c>
      <c r="E157" s="174">
        <v>6</v>
      </c>
      <c r="F157" s="175">
        <f>'UPAD-BAHAN-ALAT'!$I$142</f>
        <v>550</v>
      </c>
      <c r="G157" s="175">
        <f>F157*E157</f>
        <v>3300</v>
      </c>
    </row>
    <row r="158" spans="1:7" s="169" customFormat="1" ht="12">
      <c r="A158" s="203"/>
      <c r="B158" s="203"/>
      <c r="C158" s="203"/>
      <c r="D158" s="168"/>
      <c r="E158" s="1323" t="s">
        <v>702</v>
      </c>
      <c r="F158" s="1323"/>
      <c r="G158" s="175">
        <f>SUM(G156:G157)</f>
        <v>41800</v>
      </c>
    </row>
    <row r="159" spans="1:7" s="169" customFormat="1" ht="12" hidden="1">
      <c r="A159" s="203" t="s">
        <v>703</v>
      </c>
      <c r="B159" s="203" t="s">
        <v>704</v>
      </c>
      <c r="C159" s="203"/>
      <c r="D159" s="168"/>
      <c r="E159" s="201"/>
      <c r="F159" s="176"/>
      <c r="G159" s="175"/>
    </row>
    <row r="160" spans="1:7" s="169" customFormat="1" ht="12" hidden="1">
      <c r="A160" s="203"/>
      <c r="B160" s="203"/>
      <c r="C160" s="203"/>
      <c r="D160" s="168"/>
      <c r="E160" s="174"/>
      <c r="F160" s="175"/>
      <c r="G160" s="175"/>
    </row>
    <row r="161" spans="1:8" s="169" customFormat="1" ht="12" hidden="1">
      <c r="A161" s="203"/>
      <c r="B161" s="203"/>
      <c r="C161" s="203"/>
      <c r="D161" s="168"/>
      <c r="E161" s="1322" t="s">
        <v>705</v>
      </c>
      <c r="F161" s="1322"/>
      <c r="G161" s="175"/>
    </row>
    <row r="162" spans="1:8" s="169" customFormat="1" ht="12" hidden="1">
      <c r="A162" s="203"/>
      <c r="B162" s="203"/>
      <c r="C162" s="203"/>
      <c r="D162" s="168"/>
      <c r="E162" s="174"/>
      <c r="F162" s="175"/>
      <c r="G162" s="175"/>
    </row>
    <row r="163" spans="1:8" s="169" customFormat="1" ht="12">
      <c r="A163" s="203" t="s">
        <v>706</v>
      </c>
      <c r="B163" s="1322" t="s">
        <v>707</v>
      </c>
      <c r="C163" s="1322"/>
      <c r="D163" s="1322"/>
      <c r="E163" s="1322"/>
      <c r="F163" s="1322"/>
      <c r="G163" s="175">
        <f>G154+G158+G161</f>
        <v>71050</v>
      </c>
    </row>
    <row r="164" spans="1:8" s="169" customFormat="1" ht="12">
      <c r="A164" s="203" t="s">
        <v>708</v>
      </c>
      <c r="B164" s="1319" t="s">
        <v>876</v>
      </c>
      <c r="C164" s="1319"/>
      <c r="D164" s="1319"/>
      <c r="E164" s="1320" t="s">
        <v>710</v>
      </c>
      <c r="F164" s="1320"/>
      <c r="G164" s="175">
        <f>G163*15%</f>
        <v>10657.5</v>
      </c>
    </row>
    <row r="165" spans="1:8" s="169" customFormat="1" ht="12">
      <c r="A165" s="203" t="s">
        <v>711</v>
      </c>
      <c r="B165" s="1321" t="s">
        <v>712</v>
      </c>
      <c r="C165" s="1321"/>
      <c r="D165" s="1321"/>
      <c r="E165" s="1321"/>
      <c r="F165" s="1321"/>
      <c r="G165" s="233">
        <f>ROUND(H165,2)</f>
        <v>81707.5</v>
      </c>
      <c r="H165" s="175">
        <f>SUM(G163:G164)</f>
        <v>81707.5</v>
      </c>
    </row>
    <row r="166" spans="1:8" s="169" customFormat="1" ht="12">
      <c r="D166" s="170"/>
      <c r="E166" s="171"/>
      <c r="F166" s="172"/>
      <c r="G166" s="172"/>
    </row>
    <row r="167" spans="1:8" s="169" customFormat="1" ht="12">
      <c r="A167" s="173" t="s">
        <v>3707</v>
      </c>
      <c r="B167" s="173" t="s">
        <v>3700</v>
      </c>
      <c r="D167" s="170"/>
      <c r="E167" s="171"/>
      <c r="F167" s="172"/>
      <c r="G167" s="172"/>
    </row>
    <row r="168" spans="1:8" s="169" customFormat="1" ht="12">
      <c r="A168" s="177" t="s">
        <v>1003</v>
      </c>
      <c r="B168" s="177" t="s">
        <v>1004</v>
      </c>
      <c r="C168" s="177" t="s">
        <v>1005</v>
      </c>
      <c r="D168" s="178" t="s">
        <v>1006</v>
      </c>
      <c r="E168" s="179" t="s">
        <v>1007</v>
      </c>
      <c r="F168" s="180" t="s">
        <v>2637</v>
      </c>
      <c r="G168" s="180" t="s">
        <v>2638</v>
      </c>
    </row>
    <row r="169" spans="1:8" s="169" customFormat="1" ht="12">
      <c r="A169" s="168" t="s">
        <v>671</v>
      </c>
      <c r="B169" s="229" t="s">
        <v>672</v>
      </c>
      <c r="C169" s="229"/>
      <c r="D169" s="168"/>
      <c r="E169" s="174"/>
      <c r="F169" s="175"/>
      <c r="G169" s="175"/>
    </row>
    <row r="170" spans="1:8" s="169" customFormat="1" ht="12">
      <c r="A170" s="229"/>
      <c r="B170" s="229" t="s">
        <v>673</v>
      </c>
      <c r="C170" s="229" t="s">
        <v>674</v>
      </c>
      <c r="D170" s="168" t="s">
        <v>675</v>
      </c>
      <c r="E170" s="174">
        <v>0.35</v>
      </c>
      <c r="F170" s="175">
        <f>'UPAD-BAHAN-ALAT'!$I$12</f>
        <v>110000</v>
      </c>
      <c r="G170" s="175">
        <f>F170*E170</f>
        <v>38500</v>
      </c>
    </row>
    <row r="171" spans="1:8" s="169" customFormat="1" ht="12">
      <c r="A171" s="229"/>
      <c r="B171" s="229" t="s">
        <v>816</v>
      </c>
      <c r="C171" s="229" t="s">
        <v>678</v>
      </c>
      <c r="D171" s="168" t="s">
        <v>675</v>
      </c>
      <c r="E171" s="174">
        <v>0.17499999999999999</v>
      </c>
      <c r="F171" s="175">
        <f>'UPAD-BAHAN-ALAT'!$I$13</f>
        <v>140000</v>
      </c>
      <c r="G171" s="175">
        <f>F171*E171</f>
        <v>24500</v>
      </c>
    </row>
    <row r="172" spans="1:8" s="169" customFormat="1" ht="12">
      <c r="A172" s="229"/>
      <c r="B172" s="229" t="s">
        <v>751</v>
      </c>
      <c r="C172" s="229" t="s">
        <v>681</v>
      </c>
      <c r="D172" s="168" t="s">
        <v>675</v>
      </c>
      <c r="E172" s="174">
        <v>1.7000000000000001E-2</v>
      </c>
      <c r="F172" s="175">
        <f>'UPAD-BAHAN-ALAT'!$I$15</f>
        <v>150000</v>
      </c>
      <c r="G172" s="175">
        <f>F172*E172</f>
        <v>2550</v>
      </c>
    </row>
    <row r="173" spans="1:8" s="169" customFormat="1" ht="12">
      <c r="A173" s="229"/>
      <c r="B173" s="229" t="s">
        <v>683</v>
      </c>
      <c r="C173" s="229" t="s">
        <v>684</v>
      </c>
      <c r="D173" s="168" t="s">
        <v>675</v>
      </c>
      <c r="E173" s="174">
        <v>2E-3</v>
      </c>
      <c r="F173" s="175">
        <f>'UPAD-BAHAN-ALAT'!$I$14</f>
        <v>140000</v>
      </c>
      <c r="G173" s="175">
        <f>F173*E173</f>
        <v>280</v>
      </c>
    </row>
    <row r="174" spans="1:8" s="169" customFormat="1" ht="12">
      <c r="A174" s="229"/>
      <c r="B174" s="229"/>
      <c r="C174" s="229"/>
      <c r="D174" s="168"/>
      <c r="E174" s="1322" t="s">
        <v>685</v>
      </c>
      <c r="F174" s="1322"/>
      <c r="G174" s="175">
        <f>SUM(G170:G173)</f>
        <v>65830</v>
      </c>
    </row>
    <row r="175" spans="1:8" s="169" customFormat="1" ht="12">
      <c r="A175" s="168" t="s">
        <v>686</v>
      </c>
      <c r="B175" s="229" t="s">
        <v>687</v>
      </c>
      <c r="C175" s="229"/>
      <c r="D175" s="168"/>
      <c r="E175" s="174"/>
      <c r="F175" s="175"/>
      <c r="G175" s="175"/>
    </row>
    <row r="176" spans="1:8" s="169" customFormat="1" ht="12">
      <c r="A176" s="229"/>
      <c r="B176" s="229" t="s">
        <v>3701</v>
      </c>
      <c r="C176" s="229"/>
      <c r="D176" s="168" t="s">
        <v>853</v>
      </c>
      <c r="E176" s="174">
        <v>0.4</v>
      </c>
      <c r="F176" s="175">
        <v>260000</v>
      </c>
      <c r="G176" s="175">
        <f>F176*E176</f>
        <v>104000</v>
      </c>
    </row>
    <row r="177" spans="1:8" s="169" customFormat="1" ht="12">
      <c r="A177" s="229"/>
      <c r="B177" s="229" t="s">
        <v>1158</v>
      </c>
      <c r="C177" s="229"/>
      <c r="D177" s="168" t="s">
        <v>690</v>
      </c>
      <c r="E177" s="174">
        <v>0.25</v>
      </c>
      <c r="F177" s="175">
        <f>'UPAD-BAHAN-ALAT'!$I$98</f>
        <v>33000</v>
      </c>
      <c r="G177" s="175">
        <f>F177*E177</f>
        <v>8250</v>
      </c>
    </row>
    <row r="178" spans="1:8" s="169" customFormat="1" ht="12">
      <c r="A178" s="229"/>
      <c r="B178" s="229"/>
      <c r="C178" s="229"/>
      <c r="D178" s="168"/>
      <c r="E178" s="1322" t="s">
        <v>702</v>
      </c>
      <c r="F178" s="1322"/>
      <c r="G178" s="175">
        <f>SUM(G176:G177)</f>
        <v>112250</v>
      </c>
    </row>
    <row r="179" spans="1:8" s="169" customFormat="1" ht="12" hidden="1">
      <c r="A179" s="168" t="s">
        <v>703</v>
      </c>
      <c r="B179" s="229" t="s">
        <v>704</v>
      </c>
      <c r="C179" s="229"/>
      <c r="D179" s="168"/>
      <c r="E179" s="174"/>
      <c r="F179" s="175"/>
      <c r="G179" s="175"/>
    </row>
    <row r="180" spans="1:8" s="169" customFormat="1" ht="12" hidden="1">
      <c r="A180" s="229"/>
      <c r="B180" s="229"/>
      <c r="C180" s="229"/>
      <c r="D180" s="168"/>
      <c r="E180" s="174"/>
      <c r="F180" s="175"/>
      <c r="G180" s="175"/>
    </row>
    <row r="181" spans="1:8" s="169" customFormat="1" ht="12" hidden="1">
      <c r="A181" s="229"/>
      <c r="B181" s="229"/>
      <c r="C181" s="229"/>
      <c r="D181" s="168"/>
      <c r="E181" s="1322" t="s">
        <v>705</v>
      </c>
      <c r="F181" s="1322"/>
      <c r="G181" s="175"/>
    </row>
    <row r="182" spans="1:8" s="169" customFormat="1" ht="12">
      <c r="A182" s="168" t="s">
        <v>706</v>
      </c>
      <c r="B182" s="1322" t="s">
        <v>707</v>
      </c>
      <c r="C182" s="1322"/>
      <c r="D182" s="1322"/>
      <c r="E182" s="1322"/>
      <c r="F182" s="1322"/>
      <c r="G182" s="175">
        <f>G174+G178+G181</f>
        <v>178080</v>
      </c>
    </row>
    <row r="183" spans="1:8" s="169" customFormat="1" ht="12">
      <c r="A183" s="168" t="s">
        <v>708</v>
      </c>
      <c r="B183" s="1319" t="s">
        <v>876</v>
      </c>
      <c r="C183" s="1319"/>
      <c r="D183" s="1319"/>
      <c r="E183" s="1320" t="s">
        <v>710</v>
      </c>
      <c r="F183" s="1320"/>
      <c r="G183" s="175">
        <f>G182*15%</f>
        <v>26712</v>
      </c>
    </row>
    <row r="184" spans="1:8" s="169" customFormat="1" ht="12">
      <c r="A184" s="168" t="s">
        <v>711</v>
      </c>
      <c r="B184" s="1321" t="s">
        <v>712</v>
      </c>
      <c r="C184" s="1321"/>
      <c r="D184" s="1321"/>
      <c r="E184" s="1321"/>
      <c r="F184" s="1321"/>
      <c r="G184" s="232">
        <f>ROUND(H184,2)</f>
        <v>204792</v>
      </c>
      <c r="H184" s="175">
        <f>SUM(G182:G183)</f>
        <v>204792</v>
      </c>
    </row>
    <row r="185" spans="1:8" ht="6" customHeight="1"/>
    <row r="186" spans="1:8" s="205" customFormat="1" ht="12">
      <c r="A186" s="204" t="s">
        <v>3706</v>
      </c>
      <c r="B186" s="204" t="s">
        <v>3702</v>
      </c>
      <c r="D186" s="206"/>
      <c r="E186" s="207"/>
      <c r="F186" s="208"/>
      <c r="G186" s="208"/>
    </row>
    <row r="187" spans="1:8" s="205" customFormat="1" ht="12">
      <c r="A187" s="209" t="s">
        <v>1003</v>
      </c>
      <c r="B187" s="209" t="s">
        <v>1004</v>
      </c>
      <c r="C187" s="209" t="s">
        <v>1005</v>
      </c>
      <c r="D187" s="223" t="s">
        <v>1006</v>
      </c>
      <c r="E187" s="224" t="s">
        <v>1007</v>
      </c>
      <c r="F187" s="214" t="s">
        <v>2637</v>
      </c>
      <c r="G187" s="214" t="s">
        <v>2638</v>
      </c>
    </row>
    <row r="188" spans="1:8" s="205" customFormat="1" ht="12">
      <c r="A188" s="230" t="s">
        <v>671</v>
      </c>
      <c r="B188" s="230" t="s">
        <v>672</v>
      </c>
      <c r="C188" s="230"/>
      <c r="D188" s="225"/>
      <c r="E188" s="226"/>
      <c r="F188" s="220"/>
      <c r="G188" s="220"/>
    </row>
    <row r="189" spans="1:8" s="205" customFormat="1" ht="12">
      <c r="A189" s="230"/>
      <c r="B189" s="230" t="s">
        <v>673</v>
      </c>
      <c r="C189" s="230" t="s">
        <v>674</v>
      </c>
      <c r="D189" s="225" t="s">
        <v>675</v>
      </c>
      <c r="E189" s="226">
        <v>0.2</v>
      </c>
      <c r="F189" s="220">
        <f>'[42]UPAD-BAHAN-ALAT'!$I$12</f>
        <v>96000</v>
      </c>
      <c r="G189" s="220">
        <f>F189*E189</f>
        <v>19200</v>
      </c>
    </row>
    <row r="190" spans="1:8" s="205" customFormat="1" ht="12">
      <c r="A190" s="230"/>
      <c r="B190" s="230" t="s">
        <v>677</v>
      </c>
      <c r="C190" s="230" t="s">
        <v>678</v>
      </c>
      <c r="D190" s="225" t="s">
        <v>675</v>
      </c>
      <c r="E190" s="226">
        <v>0.1</v>
      </c>
      <c r="F190" s="220">
        <f>'[42]UPAD-BAHAN-ALAT'!$I$13</f>
        <v>115000</v>
      </c>
      <c r="G190" s="220">
        <f>F190*E190</f>
        <v>11500</v>
      </c>
    </row>
    <row r="191" spans="1:8" s="205" customFormat="1" ht="12">
      <c r="A191" s="230"/>
      <c r="B191" s="230" t="s">
        <v>751</v>
      </c>
      <c r="C191" s="230" t="s">
        <v>681</v>
      </c>
      <c r="D191" s="225" t="s">
        <v>675</v>
      </c>
      <c r="E191" s="226">
        <v>0.01</v>
      </c>
      <c r="F191" s="220">
        <f>'[42]UPAD-BAHAN-ALAT'!$I$15</f>
        <v>127500</v>
      </c>
      <c r="G191" s="220">
        <f>F191*E191</f>
        <v>1275</v>
      </c>
    </row>
    <row r="192" spans="1:8" s="205" customFormat="1" ht="12">
      <c r="A192" s="230"/>
      <c r="B192" s="230" t="s">
        <v>683</v>
      </c>
      <c r="C192" s="230" t="s">
        <v>684</v>
      </c>
      <c r="D192" s="225" t="s">
        <v>675</v>
      </c>
      <c r="E192" s="226">
        <v>1E-3</v>
      </c>
      <c r="F192" s="220">
        <f>'[42]UPAD-BAHAN-ALAT'!$I$14</f>
        <v>115000</v>
      </c>
      <c r="G192" s="220">
        <f>F192*E192</f>
        <v>115</v>
      </c>
    </row>
    <row r="193" spans="1:8" s="205" customFormat="1" ht="12">
      <c r="A193" s="230"/>
      <c r="B193" s="230"/>
      <c r="C193" s="230"/>
      <c r="D193" s="225"/>
      <c r="E193" s="1325" t="s">
        <v>685</v>
      </c>
      <c r="F193" s="1325"/>
      <c r="G193" s="220">
        <f>SUM(G189:G192)</f>
        <v>32090</v>
      </c>
    </row>
    <row r="194" spans="1:8" s="205" customFormat="1" ht="12">
      <c r="A194" s="230" t="s">
        <v>686</v>
      </c>
      <c r="B194" s="230" t="s">
        <v>687</v>
      </c>
      <c r="C194" s="230"/>
      <c r="D194" s="225"/>
      <c r="E194" s="226"/>
      <c r="F194" s="220"/>
      <c r="G194" s="220"/>
    </row>
    <row r="195" spans="1:8" s="205" customFormat="1" ht="12">
      <c r="A195" s="230"/>
      <c r="B195" s="230" t="s">
        <v>3704</v>
      </c>
      <c r="C195" s="230"/>
      <c r="D195" s="225" t="s">
        <v>2647</v>
      </c>
      <c r="E195" s="226">
        <v>1.02</v>
      </c>
      <c r="F195" s="220">
        <f>'UPAD-BAHAN-ALAT'!I324</f>
        <v>260000</v>
      </c>
      <c r="G195" s="220">
        <f>F195*E195</f>
        <v>265200</v>
      </c>
    </row>
    <row r="196" spans="1:8" s="205" customFormat="1" ht="12">
      <c r="A196" s="230"/>
      <c r="B196" s="230" t="s">
        <v>3703</v>
      </c>
      <c r="C196" s="230"/>
      <c r="D196" s="225" t="s">
        <v>690</v>
      </c>
      <c r="E196" s="226">
        <v>0.2</v>
      </c>
      <c r="F196" s="220">
        <f>'UPAD-BAHAN-ALAT'!I140</f>
        <v>27500</v>
      </c>
      <c r="G196" s="220">
        <f>F196*E196</f>
        <v>5500</v>
      </c>
    </row>
    <row r="197" spans="1:8" s="205" customFormat="1" ht="12">
      <c r="A197" s="230"/>
      <c r="B197" s="230"/>
      <c r="C197" s="230"/>
      <c r="D197" s="225"/>
      <c r="E197" s="1328" t="s">
        <v>702</v>
      </c>
      <c r="F197" s="1328"/>
      <c r="G197" s="220">
        <f>SUM(G195:G196)</f>
        <v>270700</v>
      </c>
    </row>
    <row r="198" spans="1:8" s="205" customFormat="1" ht="12" hidden="1">
      <c r="A198" s="230" t="s">
        <v>703</v>
      </c>
      <c r="B198" s="230" t="s">
        <v>704</v>
      </c>
      <c r="C198" s="230"/>
      <c r="D198" s="225"/>
      <c r="E198" s="243"/>
      <c r="F198" s="244"/>
      <c r="G198" s="220"/>
    </row>
    <row r="199" spans="1:8" s="205" customFormat="1" ht="12" hidden="1">
      <c r="A199" s="230"/>
      <c r="B199" s="230"/>
      <c r="C199" s="230"/>
      <c r="D199" s="225"/>
      <c r="E199" s="226"/>
      <c r="F199" s="220"/>
      <c r="G199" s="220"/>
    </row>
    <row r="200" spans="1:8" s="205" customFormat="1" ht="12" hidden="1">
      <c r="A200" s="230"/>
      <c r="B200" s="230"/>
      <c r="C200" s="230"/>
      <c r="D200" s="225"/>
      <c r="E200" s="1325" t="s">
        <v>705</v>
      </c>
      <c r="F200" s="1325"/>
      <c r="G200" s="220"/>
    </row>
    <row r="201" spans="1:8" s="205" customFormat="1" ht="12">
      <c r="A201" s="230" t="s">
        <v>706</v>
      </c>
      <c r="B201" s="1325" t="s">
        <v>707</v>
      </c>
      <c r="C201" s="1325"/>
      <c r="D201" s="1325"/>
      <c r="E201" s="1325"/>
      <c r="F201" s="1325"/>
      <c r="G201" s="220">
        <f>G193+G197+G200</f>
        <v>302790</v>
      </c>
    </row>
    <row r="202" spans="1:8" s="205" customFormat="1" ht="12">
      <c r="A202" s="230" t="s">
        <v>708</v>
      </c>
      <c r="B202" s="1327" t="s">
        <v>876</v>
      </c>
      <c r="C202" s="1327"/>
      <c r="D202" s="1327"/>
      <c r="E202" s="1326" t="s">
        <v>710</v>
      </c>
      <c r="F202" s="1326"/>
      <c r="G202" s="220">
        <f>G201*15%</f>
        <v>45418.5</v>
      </c>
    </row>
    <row r="203" spans="1:8" s="205" customFormat="1" ht="12">
      <c r="A203" s="230" t="s">
        <v>711</v>
      </c>
      <c r="B203" s="1324" t="s">
        <v>712</v>
      </c>
      <c r="C203" s="1324"/>
      <c r="D203" s="1324"/>
      <c r="E203" s="1324"/>
      <c r="F203" s="1324"/>
      <c r="G203" s="233">
        <f>ROUND(H203,2)</f>
        <v>348208.5</v>
      </c>
      <c r="H203" s="220">
        <f>SUM(G201:G202)</f>
        <v>348208.5</v>
      </c>
    </row>
    <row r="204" spans="1:8" s="205" customFormat="1" ht="5.25" customHeight="1">
      <c r="A204" s="237"/>
      <c r="B204" s="237"/>
      <c r="C204" s="237"/>
      <c r="D204" s="237"/>
      <c r="E204" s="237"/>
      <c r="F204" s="237"/>
      <c r="G204" s="238"/>
      <c r="H204" s="239"/>
    </row>
    <row r="205" spans="1:8" s="169" customFormat="1" ht="12">
      <c r="A205" s="173" t="s">
        <v>3676</v>
      </c>
      <c r="B205" s="173" t="s">
        <v>3708</v>
      </c>
      <c r="D205" s="170"/>
      <c r="E205" s="171"/>
      <c r="F205" s="172"/>
      <c r="G205" s="172"/>
    </row>
    <row r="206" spans="1:8" s="169" customFormat="1" ht="12">
      <c r="A206" s="177" t="s">
        <v>1003</v>
      </c>
      <c r="B206" s="177" t="s">
        <v>1004</v>
      </c>
      <c r="C206" s="177" t="s">
        <v>1005</v>
      </c>
      <c r="D206" s="178" t="s">
        <v>1006</v>
      </c>
      <c r="E206" s="179" t="s">
        <v>1007</v>
      </c>
      <c r="F206" s="180" t="s">
        <v>2637</v>
      </c>
      <c r="G206" s="180" t="s">
        <v>2638</v>
      </c>
    </row>
    <row r="207" spans="1:8" s="169" customFormat="1" ht="12">
      <c r="A207" s="235" t="s">
        <v>671</v>
      </c>
      <c r="B207" s="235" t="s">
        <v>672</v>
      </c>
      <c r="C207" s="235"/>
      <c r="D207" s="168"/>
      <c r="E207" s="174"/>
      <c r="F207" s="175"/>
      <c r="G207" s="175"/>
    </row>
    <row r="208" spans="1:8" s="169" customFormat="1" ht="12">
      <c r="A208" s="235"/>
      <c r="B208" s="235" t="s">
        <v>673</v>
      </c>
      <c r="C208" s="235" t="s">
        <v>674</v>
      </c>
      <c r="D208" s="168" t="s">
        <v>675</v>
      </c>
      <c r="E208" s="174">
        <v>0.12</v>
      </c>
      <c r="F208" s="175">
        <f>'UPAD-BAHAN-ALAT'!$I$12</f>
        <v>110000</v>
      </c>
      <c r="G208" s="175">
        <f>F208*E208</f>
        <v>13200</v>
      </c>
    </row>
    <row r="209" spans="1:8" s="169" customFormat="1" ht="12">
      <c r="A209" s="235"/>
      <c r="B209" s="235" t="s">
        <v>677</v>
      </c>
      <c r="C209" s="235" t="s">
        <v>678</v>
      </c>
      <c r="D209" s="168" t="s">
        <v>675</v>
      </c>
      <c r="E209" s="174">
        <v>0.12</v>
      </c>
      <c r="F209" s="175">
        <f>'UPAD-BAHAN-ALAT'!$I$13</f>
        <v>140000</v>
      </c>
      <c r="G209" s="175">
        <f>F209*E209</f>
        <v>16800</v>
      </c>
    </row>
    <row r="210" spans="1:8" s="169" customFormat="1" ht="12">
      <c r="A210" s="235"/>
      <c r="B210" s="235" t="s">
        <v>751</v>
      </c>
      <c r="C210" s="235" t="s">
        <v>681</v>
      </c>
      <c r="D210" s="168" t="s">
        <v>675</v>
      </c>
      <c r="E210" s="174">
        <v>1.2E-2</v>
      </c>
      <c r="F210" s="175">
        <f>'UPAD-BAHAN-ALAT'!$I$15</f>
        <v>150000</v>
      </c>
      <c r="G210" s="175">
        <f>F210*E210</f>
        <v>1800</v>
      </c>
    </row>
    <row r="211" spans="1:8" s="169" customFormat="1" ht="12">
      <c r="A211" s="235"/>
      <c r="B211" s="235" t="s">
        <v>683</v>
      </c>
      <c r="C211" s="235" t="s">
        <v>684</v>
      </c>
      <c r="D211" s="168" t="s">
        <v>675</v>
      </c>
      <c r="E211" s="174">
        <v>6.0000000000000001E-3</v>
      </c>
      <c r="F211" s="175">
        <f>'UPAD-BAHAN-ALAT'!$I$14</f>
        <v>140000</v>
      </c>
      <c r="G211" s="175">
        <f>F211*E211</f>
        <v>840</v>
      </c>
    </row>
    <row r="212" spans="1:8" s="169" customFormat="1" ht="12">
      <c r="A212" s="235"/>
      <c r="B212" s="235"/>
      <c r="C212" s="235"/>
      <c r="D212" s="168"/>
      <c r="E212" s="1322" t="s">
        <v>685</v>
      </c>
      <c r="F212" s="1322"/>
      <c r="G212" s="175">
        <f>SUM(G208:G211)</f>
        <v>32640</v>
      </c>
    </row>
    <row r="213" spans="1:8" s="169" customFormat="1" ht="12">
      <c r="A213" s="235" t="s">
        <v>686</v>
      </c>
      <c r="B213" s="235" t="s">
        <v>687</v>
      </c>
      <c r="C213" s="235"/>
      <c r="D213" s="168"/>
      <c r="E213" s="174"/>
      <c r="F213" s="175"/>
      <c r="G213" s="175"/>
    </row>
    <row r="214" spans="1:8" s="169" customFormat="1" ht="12">
      <c r="A214" s="235"/>
      <c r="B214" s="235" t="s">
        <v>1305</v>
      </c>
      <c r="C214" s="235"/>
      <c r="D214" s="168" t="s">
        <v>2646</v>
      </c>
      <c r="E214" s="174">
        <v>1.6500000000000001E-2</v>
      </c>
      <c r="F214" s="175">
        <f>'UPAD-BAHAN-ALAT'!I95</f>
        <v>6825000</v>
      </c>
      <c r="G214" s="175">
        <f>F214*E214</f>
        <v>112612.5</v>
      </c>
    </row>
    <row r="215" spans="1:8" s="169" customFormat="1" ht="12">
      <c r="A215" s="235"/>
      <c r="B215" s="235" t="s">
        <v>734</v>
      </c>
      <c r="C215" s="235"/>
      <c r="D215" s="168" t="s">
        <v>773</v>
      </c>
      <c r="E215" s="174">
        <v>0.2</v>
      </c>
      <c r="F215" s="175">
        <f>'UPAD-BAHAN-ALAT'!$I$139</f>
        <v>21000</v>
      </c>
      <c r="G215" s="175">
        <f>F215*E215</f>
        <v>4200</v>
      </c>
    </row>
    <row r="216" spans="1:8" s="169" customFormat="1" ht="12">
      <c r="A216" s="235"/>
      <c r="B216" s="235"/>
      <c r="C216" s="235"/>
      <c r="D216" s="168"/>
      <c r="E216" s="1323" t="s">
        <v>702</v>
      </c>
      <c r="F216" s="1323"/>
      <c r="G216" s="175">
        <f>SUM(G214:G215)</f>
        <v>116812.5</v>
      </c>
    </row>
    <row r="217" spans="1:8" s="169" customFormat="1" ht="12" hidden="1">
      <c r="A217" s="235" t="s">
        <v>703</v>
      </c>
      <c r="B217" s="235" t="s">
        <v>704</v>
      </c>
      <c r="C217" s="235"/>
      <c r="D217" s="168"/>
      <c r="E217" s="201"/>
      <c r="F217" s="176"/>
      <c r="G217" s="175"/>
    </row>
    <row r="218" spans="1:8" s="169" customFormat="1" ht="12" hidden="1">
      <c r="A218" s="235"/>
      <c r="B218" s="235"/>
      <c r="C218" s="235"/>
      <c r="D218" s="168"/>
      <c r="E218" s="174"/>
      <c r="F218" s="175"/>
      <c r="G218" s="175"/>
    </row>
    <row r="219" spans="1:8" s="169" customFormat="1" ht="12" hidden="1">
      <c r="A219" s="235"/>
      <c r="B219" s="235"/>
      <c r="C219" s="235"/>
      <c r="D219" s="168"/>
      <c r="E219" s="1322" t="s">
        <v>705</v>
      </c>
      <c r="F219" s="1322"/>
      <c r="G219" s="175"/>
    </row>
    <row r="220" spans="1:8" s="169" customFormat="1" ht="12" hidden="1">
      <c r="A220" s="235"/>
      <c r="B220" s="235"/>
      <c r="C220" s="235"/>
      <c r="D220" s="168"/>
      <c r="E220" s="174"/>
      <c r="F220" s="175"/>
      <c r="G220" s="175"/>
    </row>
    <row r="221" spans="1:8" s="169" customFormat="1" ht="12">
      <c r="A221" s="235" t="s">
        <v>706</v>
      </c>
      <c r="B221" s="1322" t="s">
        <v>707</v>
      </c>
      <c r="C221" s="1322"/>
      <c r="D221" s="1322"/>
      <c r="E221" s="1322"/>
      <c r="F221" s="1322"/>
      <c r="G221" s="175">
        <f>G212+G216+G219</f>
        <v>149452.5</v>
      </c>
    </row>
    <row r="222" spans="1:8" s="169" customFormat="1" ht="12">
      <c r="A222" s="235" t="s">
        <v>708</v>
      </c>
      <c r="B222" s="1319" t="s">
        <v>876</v>
      </c>
      <c r="C222" s="1319"/>
      <c r="D222" s="1319"/>
      <c r="E222" s="1320" t="s">
        <v>710</v>
      </c>
      <c r="F222" s="1320"/>
      <c r="G222" s="175">
        <f>G221*15%</f>
        <v>22417.875</v>
      </c>
    </row>
    <row r="223" spans="1:8" s="169" customFormat="1" ht="12">
      <c r="A223" s="235" t="s">
        <v>711</v>
      </c>
      <c r="B223" s="1321" t="s">
        <v>712</v>
      </c>
      <c r="C223" s="1321"/>
      <c r="D223" s="1321"/>
      <c r="E223" s="1321"/>
      <c r="F223" s="1321"/>
      <c r="G223" s="234">
        <f>ROUND(H223,2)</f>
        <v>171870.38</v>
      </c>
      <c r="H223" s="175">
        <f>SUM(G221:G222)</f>
        <v>171870.375</v>
      </c>
    </row>
    <row r="224" spans="1:8" s="169" customFormat="1" ht="16.5" customHeight="1">
      <c r="A224" s="173" t="s">
        <v>3677</v>
      </c>
      <c r="B224" s="173" t="s">
        <v>3709</v>
      </c>
      <c r="D224" s="170"/>
      <c r="E224" s="171"/>
      <c r="F224" s="172"/>
      <c r="G224" s="172"/>
    </row>
    <row r="225" spans="1:7" s="169" customFormat="1" ht="12">
      <c r="A225" s="177" t="s">
        <v>1003</v>
      </c>
      <c r="B225" s="177" t="s">
        <v>1004</v>
      </c>
      <c r="C225" s="177" t="s">
        <v>1005</v>
      </c>
      <c r="D225" s="178" t="s">
        <v>1006</v>
      </c>
      <c r="E225" s="179" t="s">
        <v>1007</v>
      </c>
      <c r="F225" s="180" t="s">
        <v>2637</v>
      </c>
      <c r="G225" s="180" t="s">
        <v>2638</v>
      </c>
    </row>
    <row r="226" spans="1:7" s="169" customFormat="1" ht="12">
      <c r="A226" s="168" t="s">
        <v>671</v>
      </c>
      <c r="B226" s="236" t="s">
        <v>672</v>
      </c>
      <c r="C226" s="236"/>
      <c r="D226" s="168"/>
      <c r="E226" s="174"/>
      <c r="F226" s="175"/>
      <c r="G226" s="175"/>
    </row>
    <row r="227" spans="1:7" s="169" customFormat="1" ht="12">
      <c r="A227" s="236"/>
      <c r="B227" s="236" t="s">
        <v>673</v>
      </c>
      <c r="C227" s="236" t="s">
        <v>674</v>
      </c>
      <c r="D227" s="168" t="s">
        <v>675</v>
      </c>
      <c r="E227" s="174">
        <v>0.7</v>
      </c>
      <c r="F227" s="175">
        <f>'UPAD-BAHAN-ALAT'!$I$12</f>
        <v>110000</v>
      </c>
      <c r="G227" s="175">
        <f>F227*E227</f>
        <v>77000</v>
      </c>
    </row>
    <row r="228" spans="1:7" s="169" customFormat="1" ht="12">
      <c r="A228" s="236"/>
      <c r="B228" s="236" t="s">
        <v>816</v>
      </c>
      <c r="C228" s="236" t="s">
        <v>678</v>
      </c>
      <c r="D228" s="168" t="s">
        <v>675</v>
      </c>
      <c r="E228" s="174">
        <v>0.35</v>
      </c>
      <c r="F228" s="175">
        <f>'UPAD-BAHAN-ALAT'!$I$13</f>
        <v>140000</v>
      </c>
      <c r="G228" s="175">
        <f>F228*E228</f>
        <v>49000</v>
      </c>
    </row>
    <row r="229" spans="1:7" s="169" customFormat="1" ht="12">
      <c r="A229" s="236"/>
      <c r="B229" s="236" t="s">
        <v>751</v>
      </c>
      <c r="C229" s="236" t="s">
        <v>681</v>
      </c>
      <c r="D229" s="168" t="s">
        <v>675</v>
      </c>
      <c r="E229" s="174">
        <v>3.5000000000000003E-2</v>
      </c>
      <c r="F229" s="175">
        <f>'UPAD-BAHAN-ALAT'!$I$15</f>
        <v>150000</v>
      </c>
      <c r="G229" s="175">
        <f>F229*E229</f>
        <v>5250.0000000000009</v>
      </c>
    </row>
    <row r="230" spans="1:7" s="169" customFormat="1" ht="12">
      <c r="A230" s="236"/>
      <c r="B230" s="236" t="s">
        <v>683</v>
      </c>
      <c r="C230" s="236" t="s">
        <v>684</v>
      </c>
      <c r="D230" s="168" t="s">
        <v>675</v>
      </c>
      <c r="E230" s="174">
        <v>3.5000000000000003E-2</v>
      </c>
      <c r="F230" s="175">
        <f>'UPAD-BAHAN-ALAT'!$I$14</f>
        <v>140000</v>
      </c>
      <c r="G230" s="175">
        <f>F230*E230</f>
        <v>4900.0000000000009</v>
      </c>
    </row>
    <row r="231" spans="1:7" s="169" customFormat="1" ht="12">
      <c r="A231" s="236"/>
      <c r="B231" s="236"/>
      <c r="C231" s="236"/>
      <c r="D231" s="168"/>
      <c r="E231" s="1322" t="s">
        <v>685</v>
      </c>
      <c r="F231" s="1322"/>
      <c r="G231" s="175">
        <f>SUM(G227:G230)</f>
        <v>136150</v>
      </c>
    </row>
    <row r="232" spans="1:7" s="169" customFormat="1" ht="12">
      <c r="A232" s="168" t="s">
        <v>686</v>
      </c>
      <c r="B232" s="236" t="s">
        <v>687</v>
      </c>
      <c r="C232" s="236"/>
      <c r="D232" s="168"/>
      <c r="E232" s="174"/>
      <c r="F232" s="175"/>
      <c r="G232" s="175"/>
    </row>
    <row r="233" spans="1:7" s="169" customFormat="1" ht="12">
      <c r="A233" s="236"/>
      <c r="B233" s="236" t="s">
        <v>1134</v>
      </c>
      <c r="C233" s="236"/>
      <c r="D233" s="168" t="s">
        <v>743</v>
      </c>
      <c r="E233" s="174">
        <v>20</v>
      </c>
      <c r="F233" s="175">
        <f>'UPAD-BAHAN-ALAT'!I250</f>
        <v>3500</v>
      </c>
      <c r="G233" s="175">
        <f>F233*E233</f>
        <v>70000</v>
      </c>
    </row>
    <row r="234" spans="1:7" s="169" customFormat="1" ht="12">
      <c r="A234" s="236"/>
      <c r="B234" s="236" t="s">
        <v>818</v>
      </c>
      <c r="C234" s="236"/>
      <c r="D234" s="168" t="s">
        <v>690</v>
      </c>
      <c r="E234" s="174">
        <v>10.4</v>
      </c>
      <c r="F234" s="175">
        <f>'UPAD-BAHAN-ALAT'!$I$77</f>
        <v>1625</v>
      </c>
      <c r="G234" s="175">
        <f>F234*E234</f>
        <v>16900</v>
      </c>
    </row>
    <row r="235" spans="1:7" s="169" customFormat="1" ht="12">
      <c r="A235" s="236"/>
      <c r="B235" s="236" t="s">
        <v>739</v>
      </c>
      <c r="C235" s="236"/>
      <c r="D235" s="168" t="s">
        <v>881</v>
      </c>
      <c r="E235" s="174">
        <v>4.4999999999999998E-2</v>
      </c>
      <c r="F235" s="175">
        <f>'UPAD-BAHAN-ALAT'!$I$71</f>
        <v>176000</v>
      </c>
      <c r="G235" s="175">
        <f>F235*E235</f>
        <v>7920</v>
      </c>
    </row>
    <row r="236" spans="1:7" s="169" customFormat="1" ht="12">
      <c r="A236" s="236"/>
      <c r="B236" s="236" t="s">
        <v>1100</v>
      </c>
      <c r="C236" s="236"/>
      <c r="D236" s="168" t="s">
        <v>690</v>
      </c>
      <c r="E236" s="174">
        <v>1.62</v>
      </c>
      <c r="F236" s="175">
        <f>'UPAD-BAHAN-ALAT'!$I$74/40</f>
        <v>3437.5</v>
      </c>
      <c r="G236" s="175">
        <f>F236*E236</f>
        <v>5568.75</v>
      </c>
    </row>
    <row r="237" spans="1:7" s="169" customFormat="1" ht="12">
      <c r="A237" s="236"/>
      <c r="B237" s="236"/>
      <c r="C237" s="236"/>
      <c r="D237" s="168"/>
      <c r="E237" s="1323" t="s">
        <v>702</v>
      </c>
      <c r="F237" s="1323"/>
      <c r="G237" s="175">
        <f>SUM(G233:G236)</f>
        <v>100388.75</v>
      </c>
    </row>
    <row r="238" spans="1:7" s="169" customFormat="1" ht="12" hidden="1">
      <c r="A238" s="168" t="s">
        <v>703</v>
      </c>
      <c r="B238" s="236" t="s">
        <v>704</v>
      </c>
      <c r="C238" s="236"/>
      <c r="D238" s="168"/>
      <c r="E238" s="201"/>
      <c r="F238" s="176"/>
      <c r="G238" s="175"/>
    </row>
    <row r="239" spans="1:7" s="169" customFormat="1" ht="12" hidden="1">
      <c r="A239" s="236"/>
      <c r="B239" s="236"/>
      <c r="C239" s="236"/>
      <c r="D239" s="168"/>
      <c r="E239" s="174"/>
      <c r="F239" s="175"/>
      <c r="G239" s="175"/>
    </row>
    <row r="240" spans="1:7" s="169" customFormat="1" ht="12" hidden="1">
      <c r="A240" s="236"/>
      <c r="B240" s="236"/>
      <c r="C240" s="236"/>
      <c r="D240" s="168"/>
      <c r="E240" s="1322" t="s">
        <v>705</v>
      </c>
      <c r="F240" s="1322"/>
      <c r="G240" s="175"/>
    </row>
    <row r="241" spans="1:8" s="169" customFormat="1" ht="12">
      <c r="A241" s="168" t="s">
        <v>706</v>
      </c>
      <c r="B241" s="1322" t="s">
        <v>707</v>
      </c>
      <c r="C241" s="1322"/>
      <c r="D241" s="1322"/>
      <c r="E241" s="1322"/>
      <c r="F241" s="1322"/>
      <c r="G241" s="175">
        <f>G231+G237+G240</f>
        <v>236538.75</v>
      </c>
    </row>
    <row r="242" spans="1:8" s="169" customFormat="1" ht="12">
      <c r="A242" s="168" t="s">
        <v>708</v>
      </c>
      <c r="B242" s="1319" t="s">
        <v>876</v>
      </c>
      <c r="C242" s="1319"/>
      <c r="D242" s="1319"/>
      <c r="E242" s="1320" t="s">
        <v>710</v>
      </c>
      <c r="F242" s="1320"/>
      <c r="G242" s="175">
        <f>G241*15%</f>
        <v>35480.8125</v>
      </c>
    </row>
    <row r="243" spans="1:8" s="169" customFormat="1" ht="12">
      <c r="A243" s="168" t="s">
        <v>711</v>
      </c>
      <c r="B243" s="1321" t="s">
        <v>712</v>
      </c>
      <c r="C243" s="1321"/>
      <c r="D243" s="1321"/>
      <c r="E243" s="1321"/>
      <c r="F243" s="1321"/>
      <c r="G243" s="234">
        <f>ROUND(H243,2)</f>
        <v>272019.56</v>
      </c>
      <c r="H243" s="175">
        <f>SUM(G241:G242)</f>
        <v>272019.5625</v>
      </c>
    </row>
    <row r="244" spans="1:8" s="169" customFormat="1" ht="12">
      <c r="A244" s="189"/>
      <c r="B244" s="188"/>
      <c r="C244" s="188"/>
      <c r="D244" s="188"/>
      <c r="E244" s="188"/>
      <c r="F244" s="188"/>
      <c r="G244" s="202"/>
      <c r="H244" s="182"/>
    </row>
    <row r="245" spans="1:8" s="169" customFormat="1" ht="12">
      <c r="A245" s="194" t="s">
        <v>3678</v>
      </c>
      <c r="B245" s="181" t="s">
        <v>3710</v>
      </c>
      <c r="C245" s="188"/>
      <c r="D245" s="189"/>
      <c r="E245" s="190"/>
      <c r="F245" s="182"/>
      <c r="G245" s="182"/>
    </row>
    <row r="246" spans="1:8" s="169" customFormat="1" ht="12">
      <c r="A246" s="195"/>
      <c r="B246" s="195"/>
      <c r="C246" s="195"/>
      <c r="D246" s="196"/>
      <c r="E246" s="197"/>
      <c r="F246" s="198"/>
      <c r="G246" s="198"/>
    </row>
    <row r="247" spans="1:8" s="169" customFormat="1" ht="12">
      <c r="A247" s="177" t="s">
        <v>1003</v>
      </c>
      <c r="B247" s="192" t="s">
        <v>1004</v>
      </c>
      <c r="C247" s="177" t="s">
        <v>1005</v>
      </c>
      <c r="D247" s="178" t="s">
        <v>1006</v>
      </c>
      <c r="E247" s="179" t="s">
        <v>1007</v>
      </c>
      <c r="F247" s="180" t="s">
        <v>2637</v>
      </c>
      <c r="G247" s="180" t="s">
        <v>2638</v>
      </c>
    </row>
    <row r="248" spans="1:8" s="169" customFormat="1" ht="12">
      <c r="A248" s="240" t="s">
        <v>671</v>
      </c>
      <c r="B248" s="167" t="s">
        <v>672</v>
      </c>
      <c r="C248" s="240"/>
      <c r="D248" s="168"/>
      <c r="E248" s="174"/>
      <c r="F248" s="175"/>
      <c r="G248" s="175"/>
    </row>
    <row r="249" spans="1:8" s="169" customFormat="1" ht="12">
      <c r="A249" s="240"/>
      <c r="B249" s="167" t="s">
        <v>673</v>
      </c>
      <c r="C249" s="240" t="s">
        <v>674</v>
      </c>
      <c r="D249" s="168" t="s">
        <v>675</v>
      </c>
      <c r="E249" s="174">
        <v>0.15</v>
      </c>
      <c r="F249" s="175">
        <f>'UPAD-BAHAN-ALAT'!$I$12</f>
        <v>110000</v>
      </c>
      <c r="G249" s="175">
        <f>F249*E249</f>
        <v>16500</v>
      </c>
    </row>
    <row r="250" spans="1:8" s="169" customFormat="1" ht="12">
      <c r="A250" s="240"/>
      <c r="B250" s="167" t="s">
        <v>871</v>
      </c>
      <c r="C250" s="240" t="s">
        <v>678</v>
      </c>
      <c r="D250" s="168" t="s">
        <v>675</v>
      </c>
      <c r="E250" s="174">
        <v>0.45</v>
      </c>
      <c r="F250" s="175">
        <f>'UPAD-BAHAN-ALAT'!$I$13</f>
        <v>140000</v>
      </c>
      <c r="G250" s="175">
        <f>F250*E250</f>
        <v>63000</v>
      </c>
    </row>
    <row r="251" spans="1:8" s="169" customFormat="1" ht="12">
      <c r="A251" s="240"/>
      <c r="B251" s="167" t="s">
        <v>751</v>
      </c>
      <c r="C251" s="240" t="s">
        <v>681</v>
      </c>
      <c r="D251" s="168" t="s">
        <v>675</v>
      </c>
      <c r="E251" s="174">
        <v>4.4999999999999998E-2</v>
      </c>
      <c r="F251" s="175">
        <f>'UPAD-BAHAN-ALAT'!$I$15</f>
        <v>150000</v>
      </c>
      <c r="G251" s="175">
        <f>F251*E251</f>
        <v>6750</v>
      </c>
    </row>
    <row r="252" spans="1:8" s="169" customFormat="1" ht="12">
      <c r="A252" s="240"/>
      <c r="B252" s="167" t="s">
        <v>683</v>
      </c>
      <c r="C252" s="240" t="s">
        <v>684</v>
      </c>
      <c r="D252" s="168" t="s">
        <v>675</v>
      </c>
      <c r="E252" s="174">
        <v>8.0000000000000002E-3</v>
      </c>
      <c r="F252" s="175">
        <f>'UPAD-BAHAN-ALAT'!$I$14</f>
        <v>140000</v>
      </c>
      <c r="G252" s="175">
        <f>F252*E252</f>
        <v>1120</v>
      </c>
    </row>
    <row r="253" spans="1:8" s="169" customFormat="1" ht="12">
      <c r="A253" s="240"/>
      <c r="B253" s="167"/>
      <c r="C253" s="240"/>
      <c r="D253" s="168"/>
      <c r="E253" s="241" t="s">
        <v>685</v>
      </c>
      <c r="F253" s="193"/>
      <c r="G253" s="175">
        <f>SUM(G249:G252)</f>
        <v>87370</v>
      </c>
    </row>
    <row r="254" spans="1:8" s="169" customFormat="1" ht="12">
      <c r="A254" s="240" t="s">
        <v>686</v>
      </c>
      <c r="B254" s="167" t="s">
        <v>687</v>
      </c>
      <c r="C254" s="240"/>
      <c r="D254" s="168"/>
      <c r="E254" s="174"/>
      <c r="F254" s="175"/>
      <c r="G254" s="175"/>
    </row>
    <row r="255" spans="1:8" s="169" customFormat="1" ht="12">
      <c r="A255" s="240"/>
      <c r="B255" s="167" t="s">
        <v>3711</v>
      </c>
      <c r="C255" s="240"/>
      <c r="D255" s="200" t="s">
        <v>2970</v>
      </c>
      <c r="E255" s="174">
        <v>5.6</v>
      </c>
      <c r="F255" s="175">
        <f>'UPAD-BAHAN-ALAT'!I172</f>
        <v>14175</v>
      </c>
      <c r="G255" s="175">
        <f>F255*E255</f>
        <v>79380</v>
      </c>
    </row>
    <row r="256" spans="1:8" s="169" customFormat="1" ht="12">
      <c r="A256" s="240"/>
      <c r="B256" s="167" t="s">
        <v>3660</v>
      </c>
      <c r="C256" s="240"/>
      <c r="D256" s="168" t="s">
        <v>1423</v>
      </c>
      <c r="E256" s="174">
        <v>30</v>
      </c>
      <c r="F256" s="191">
        <f>'UPAD-BAHAN-ALAT'!I142</f>
        <v>550</v>
      </c>
      <c r="G256" s="175">
        <f>F256*E256</f>
        <v>16500</v>
      </c>
    </row>
    <row r="257" spans="1:8" s="169" customFormat="1" ht="12">
      <c r="A257" s="240"/>
      <c r="B257" s="167"/>
      <c r="C257" s="240"/>
      <c r="D257" s="168"/>
      <c r="E257" s="241" t="s">
        <v>702</v>
      </c>
      <c r="F257" s="193"/>
      <c r="G257" s="175">
        <f>SUM(G255:G256)</f>
        <v>95880</v>
      </c>
    </row>
    <row r="258" spans="1:8" s="169" customFormat="1" ht="12" hidden="1">
      <c r="A258" s="240" t="s">
        <v>703</v>
      </c>
      <c r="B258" s="167" t="s">
        <v>704</v>
      </c>
      <c r="C258" s="240"/>
      <c r="D258" s="168"/>
      <c r="E258" s="174"/>
      <c r="F258" s="175"/>
      <c r="G258" s="175"/>
    </row>
    <row r="259" spans="1:8" s="169" customFormat="1" ht="12" hidden="1">
      <c r="A259" s="240"/>
      <c r="B259" s="167"/>
      <c r="C259" s="240"/>
      <c r="D259" s="168"/>
      <c r="E259" s="174"/>
      <c r="F259" s="175"/>
      <c r="G259" s="175"/>
    </row>
    <row r="260" spans="1:8" s="169" customFormat="1" ht="12" hidden="1">
      <c r="A260" s="240"/>
      <c r="B260" s="167"/>
      <c r="C260" s="240"/>
      <c r="D260" s="168"/>
      <c r="E260" s="241" t="s">
        <v>705</v>
      </c>
      <c r="F260" s="193"/>
      <c r="G260" s="175"/>
    </row>
    <row r="261" spans="1:8" s="169" customFormat="1" ht="12">
      <c r="A261" s="240" t="s">
        <v>706</v>
      </c>
      <c r="B261" s="167" t="s">
        <v>707</v>
      </c>
      <c r="C261" s="184"/>
      <c r="D261" s="185"/>
      <c r="E261" s="183"/>
      <c r="F261" s="193"/>
      <c r="G261" s="175">
        <f>G253+G257+G260</f>
        <v>183250</v>
      </c>
    </row>
    <row r="262" spans="1:8" s="169" customFormat="1" ht="12">
      <c r="A262" s="240" t="s">
        <v>708</v>
      </c>
      <c r="B262" s="186" t="s">
        <v>876</v>
      </c>
      <c r="C262" s="187"/>
      <c r="D262" s="199"/>
      <c r="E262" s="241" t="s">
        <v>710</v>
      </c>
      <c r="F262" s="193"/>
      <c r="G262" s="175">
        <f>G261*15%</f>
        <v>27487.5</v>
      </c>
    </row>
    <row r="263" spans="1:8" s="169" customFormat="1" ht="12">
      <c r="A263" s="240" t="s">
        <v>711</v>
      </c>
      <c r="B263" s="167" t="s">
        <v>712</v>
      </c>
      <c r="C263" s="184"/>
      <c r="D263" s="185"/>
      <c r="E263" s="183"/>
      <c r="F263" s="193"/>
      <c r="G263" s="234">
        <f>ROUND(H263,2)</f>
        <v>210737.5</v>
      </c>
      <c r="H263" s="175">
        <f>SUM(G261:G262)</f>
        <v>210737.5</v>
      </c>
    </row>
    <row r="265" spans="1:8" ht="11.25" customHeight="1">
      <c r="E265" s="242">
        <f>'Rekap Analisa'!C544</f>
        <v>0</v>
      </c>
      <c r="F265" s="231"/>
    </row>
    <row r="266" spans="1:8" ht="11.25" customHeight="1">
      <c r="E266" s="242" t="e">
        <f>'Rekap Analisa'!#REF!</f>
        <v>#REF!</v>
      </c>
      <c r="F266" s="231"/>
    </row>
    <row r="267" spans="1:8" ht="11.25" customHeight="1">
      <c r="E267" s="242" t="e">
        <f>'Rekap Analisa'!#REF!</f>
        <v>#REF!</v>
      </c>
      <c r="F267" s="231"/>
    </row>
    <row r="268" spans="1:8" ht="11.25" customHeight="1">
      <c r="E268" s="242" t="e">
        <f>'Rekap Analisa'!#REF!</f>
        <v>#REF!</v>
      </c>
      <c r="F268" s="231"/>
    </row>
    <row r="269" spans="1:8" ht="11.25" customHeight="1">
      <c r="E269" s="242" t="e">
        <f>'Rekap Analisa'!#REF!</f>
        <v>#REF!</v>
      </c>
      <c r="F269" s="231"/>
    </row>
    <row r="270" spans="1:8" ht="11.25" customHeight="1">
      <c r="E270" s="242" t="e">
        <f>'Rekap Analisa'!#REF!</f>
        <v>#REF!</v>
      </c>
      <c r="F270" s="231"/>
    </row>
    <row r="271" spans="1:8">
      <c r="E271" s="242"/>
      <c r="F271" s="231"/>
    </row>
    <row r="272" spans="1:8">
      <c r="E272" s="242"/>
      <c r="F272" s="231"/>
    </row>
    <row r="273" spans="5:6">
      <c r="E273" s="242"/>
      <c r="F273" s="231"/>
    </row>
    <row r="274" spans="5:6" ht="13.5" customHeight="1">
      <c r="E274" s="242" t="e">
        <f>'Rekap Analisa'!#REF!</f>
        <v>#REF!</v>
      </c>
      <c r="F274" s="231"/>
    </row>
    <row r="275" spans="5:6" ht="13.5" customHeight="1">
      <c r="E275" s="242" t="e">
        <f>'Rekap Analisa'!#REF!</f>
        <v>#REF!</v>
      </c>
      <c r="F275" s="231"/>
    </row>
    <row r="276" spans="5:6" ht="13.5" customHeight="1">
      <c r="E276" s="242" t="e">
        <f>'Rekap Analisa'!#REF!</f>
        <v>#REF!</v>
      </c>
      <c r="F276" s="231"/>
    </row>
  </sheetData>
  <mergeCells count="84"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03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2325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5"/>
      <c r="B9" s="5"/>
      <c r="C9" s="5"/>
      <c r="D9" s="5"/>
      <c r="E9" s="1332" t="s">
        <v>685</v>
      </c>
      <c r="F9" s="1332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7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7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3.9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5"/>
      <c r="F16" s="5"/>
      <c r="G16" s="5"/>
    </row>
    <row r="17" spans="1:7" ht="13.7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3.9" customHeight="1">
      <c r="A18" s="5"/>
      <c r="B18" s="5"/>
      <c r="C18" s="5"/>
      <c r="D18" s="5"/>
      <c r="E18" s="5"/>
      <c r="F18" s="5"/>
      <c r="G18" s="5"/>
    </row>
    <row r="19" spans="1:7" ht="13.7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3.7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3.9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2326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7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7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7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3.7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5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7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7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3.9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7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3.9" customHeight="1">
      <c r="A40" s="5"/>
      <c r="B40" s="5"/>
      <c r="C40" s="5"/>
      <c r="D40" s="5"/>
      <c r="E40" s="5"/>
      <c r="F40" s="5"/>
      <c r="G40" s="5"/>
    </row>
    <row r="41" spans="1:7" ht="13.7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3.7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3.9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0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5" t="s">
        <v>2327</v>
      </c>
    </row>
    <row r="3" spans="1:7" ht="40.15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7" t="s">
        <v>768</v>
      </c>
    </row>
    <row r="4" spans="1:7" ht="13.9" customHeight="1">
      <c r="A4" s="3" t="s">
        <v>671</v>
      </c>
      <c r="B4" s="141" t="s">
        <v>672</v>
      </c>
      <c r="C4" s="130"/>
      <c r="D4" s="130"/>
      <c r="E4" s="130"/>
      <c r="F4" s="130"/>
      <c r="G4" s="5"/>
    </row>
    <row r="5" spans="1:7" ht="13.7" customHeight="1">
      <c r="A5" s="5"/>
      <c r="B5" s="141" t="s">
        <v>1283</v>
      </c>
      <c r="C5" s="141" t="s">
        <v>674</v>
      </c>
      <c r="D5" s="141" t="s">
        <v>675</v>
      </c>
      <c r="E5" s="141" t="s">
        <v>741</v>
      </c>
      <c r="F5" s="130"/>
      <c r="G5" s="5"/>
    </row>
    <row r="6" spans="1:7" ht="13.7" customHeight="1">
      <c r="A6" s="5"/>
      <c r="B6" s="141" t="s">
        <v>1284</v>
      </c>
      <c r="C6" s="141" t="s">
        <v>681</v>
      </c>
      <c r="D6" s="141" t="s">
        <v>675</v>
      </c>
      <c r="E6" s="141" t="s">
        <v>741</v>
      </c>
      <c r="F6" s="130"/>
      <c r="G6" s="5"/>
    </row>
    <row r="7" spans="1:7" ht="13.9" customHeight="1">
      <c r="A7" s="5"/>
      <c r="B7" s="141" t="s">
        <v>1286</v>
      </c>
      <c r="C7" s="141" t="s">
        <v>681</v>
      </c>
      <c r="D7" s="141" t="s">
        <v>675</v>
      </c>
      <c r="E7" s="141" t="s">
        <v>779</v>
      </c>
      <c r="F7" s="130"/>
      <c r="G7" s="5"/>
    </row>
    <row r="8" spans="1:7" ht="13.7" customHeight="1">
      <c r="A8" s="5"/>
      <c r="B8" s="141" t="s">
        <v>1288</v>
      </c>
      <c r="C8" s="141" t="s">
        <v>684</v>
      </c>
      <c r="D8" s="141" t="s">
        <v>675</v>
      </c>
      <c r="E8" s="141" t="s">
        <v>693</v>
      </c>
      <c r="F8" s="130"/>
      <c r="G8" s="5"/>
    </row>
    <row r="9" spans="1:7" ht="13.7" customHeight="1">
      <c r="A9" s="5"/>
      <c r="B9" s="130"/>
      <c r="C9" s="130"/>
      <c r="D9" s="130"/>
      <c r="E9" s="141" t="s">
        <v>685</v>
      </c>
      <c r="F9" s="147"/>
      <c r="G9" s="5"/>
    </row>
    <row r="10" spans="1:7" ht="13.9" customHeight="1">
      <c r="A10" s="3" t="s">
        <v>686</v>
      </c>
      <c r="B10" s="141" t="s">
        <v>687</v>
      </c>
      <c r="C10" s="130"/>
      <c r="D10" s="130"/>
      <c r="E10" s="130"/>
      <c r="F10" s="130"/>
      <c r="G10" s="5"/>
    </row>
    <row r="11" spans="1:7" ht="13.7" customHeight="1">
      <c r="A11" s="5"/>
      <c r="B11" s="141" t="s">
        <v>1298</v>
      </c>
      <c r="C11" s="130"/>
      <c r="D11" s="146" t="s">
        <v>815</v>
      </c>
      <c r="E11" s="141" t="s">
        <v>1034</v>
      </c>
      <c r="F11" s="130"/>
      <c r="G11" s="5"/>
    </row>
    <row r="12" spans="1:7" ht="13.7" customHeight="1">
      <c r="A12" s="5"/>
      <c r="B12" s="141" t="s">
        <v>1299</v>
      </c>
      <c r="C12" s="130"/>
      <c r="D12" s="146" t="s">
        <v>815</v>
      </c>
      <c r="E12" s="141" t="s">
        <v>772</v>
      </c>
      <c r="F12" s="130"/>
      <c r="G12" s="5"/>
    </row>
    <row r="13" spans="1:7" ht="13.9" customHeight="1">
      <c r="A13" s="5"/>
      <c r="B13" s="141" t="s">
        <v>1300</v>
      </c>
      <c r="C13" s="130"/>
      <c r="D13" s="141" t="s">
        <v>773</v>
      </c>
      <c r="E13" s="141" t="s">
        <v>746</v>
      </c>
      <c r="F13" s="130"/>
      <c r="G13" s="5"/>
    </row>
    <row r="14" spans="1:7" ht="13.7" customHeight="1">
      <c r="A14" s="5"/>
      <c r="B14" s="130"/>
      <c r="C14" s="130"/>
      <c r="D14" s="130"/>
      <c r="E14" s="141" t="s">
        <v>702</v>
      </c>
      <c r="F14" s="147"/>
      <c r="G14" s="5"/>
    </row>
    <row r="15" spans="1:7" ht="13.9" customHeight="1">
      <c r="A15" s="3" t="s">
        <v>703</v>
      </c>
      <c r="B15" s="141" t="s">
        <v>704</v>
      </c>
      <c r="C15" s="130"/>
      <c r="D15" s="130"/>
      <c r="E15" s="130"/>
      <c r="F15" s="130"/>
      <c r="G15" s="5"/>
    </row>
    <row r="16" spans="1:7" ht="13.7" customHeight="1">
      <c r="A16" s="5"/>
      <c r="B16" s="130"/>
      <c r="C16" s="130"/>
      <c r="D16" s="130"/>
      <c r="E16" s="130"/>
      <c r="F16" s="130"/>
      <c r="G16" s="5"/>
    </row>
    <row r="17" spans="1:7" ht="13.7" customHeight="1">
      <c r="A17" s="5"/>
      <c r="B17" s="130"/>
      <c r="C17" s="130"/>
      <c r="D17" s="130"/>
      <c r="E17" s="141" t="s">
        <v>705</v>
      </c>
      <c r="F17" s="147"/>
      <c r="G17" s="5"/>
    </row>
    <row r="18" spans="1:7" ht="13.9" customHeight="1">
      <c r="A18" s="5"/>
      <c r="B18" s="130"/>
      <c r="C18" s="130"/>
      <c r="D18" s="130"/>
      <c r="E18" s="130"/>
      <c r="F18" s="130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7"/>
      <c r="G19" s="5"/>
    </row>
    <row r="20" spans="1:7" ht="13.7" customHeight="1">
      <c r="A20" s="3" t="s">
        <v>708</v>
      </c>
      <c r="B20" s="136" t="s">
        <v>876</v>
      </c>
      <c r="C20" s="137"/>
      <c r="D20" s="137"/>
      <c r="E20" s="141" t="s">
        <v>710</v>
      </c>
      <c r="F20" s="147"/>
      <c r="G20" s="5"/>
    </row>
    <row r="21" spans="1:7" ht="13.9" customHeight="1">
      <c r="A21" s="3" t="s">
        <v>711</v>
      </c>
      <c r="B21" s="141" t="s">
        <v>712</v>
      </c>
      <c r="C21" s="147"/>
      <c r="D21" s="147"/>
      <c r="E21" s="147"/>
      <c r="F21" s="147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2328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122" t="s">
        <v>1003</v>
      </c>
      <c r="B25" s="122" t="s">
        <v>1004</v>
      </c>
      <c r="C25" s="135" t="s">
        <v>1005</v>
      </c>
      <c r="D25" s="135" t="s">
        <v>1006</v>
      </c>
      <c r="E25" s="135" t="s">
        <v>1007</v>
      </c>
      <c r="F25" s="135" t="s">
        <v>767</v>
      </c>
      <c r="G25" s="123" t="s">
        <v>768</v>
      </c>
    </row>
    <row r="26" spans="1:7" ht="13.7" customHeight="1">
      <c r="A26" s="119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9" customHeight="1">
      <c r="A27" s="118"/>
      <c r="B27" s="119" t="s">
        <v>673</v>
      </c>
      <c r="C27" s="141" t="s">
        <v>674</v>
      </c>
      <c r="D27" s="141" t="s">
        <v>675</v>
      </c>
      <c r="E27" s="141" t="s">
        <v>741</v>
      </c>
      <c r="F27" s="133"/>
      <c r="G27" s="131"/>
    </row>
    <row r="28" spans="1:7" ht="13.7" customHeight="1">
      <c r="A28" s="118"/>
      <c r="B28" s="119" t="s">
        <v>871</v>
      </c>
      <c r="C28" s="141" t="s">
        <v>681</v>
      </c>
      <c r="D28" s="141" t="s">
        <v>675</v>
      </c>
      <c r="E28" s="141" t="s">
        <v>741</v>
      </c>
      <c r="F28" s="133"/>
      <c r="G28" s="131"/>
    </row>
    <row r="29" spans="1:7" ht="13.9" customHeight="1">
      <c r="A29" s="118"/>
      <c r="B29" s="119" t="s">
        <v>751</v>
      </c>
      <c r="C29" s="141" t="s">
        <v>681</v>
      </c>
      <c r="D29" s="141" t="s">
        <v>675</v>
      </c>
      <c r="E29" s="141" t="s">
        <v>779</v>
      </c>
      <c r="F29" s="133"/>
      <c r="G29" s="131"/>
    </row>
    <row r="30" spans="1:7" ht="13.7" customHeight="1">
      <c r="A30" s="118"/>
      <c r="B30" s="119" t="s">
        <v>683</v>
      </c>
      <c r="C30" s="141" t="s">
        <v>684</v>
      </c>
      <c r="D30" s="141" t="s">
        <v>675</v>
      </c>
      <c r="E30" s="141" t="s">
        <v>693</v>
      </c>
      <c r="F30" s="133"/>
      <c r="G30" s="131"/>
    </row>
    <row r="31" spans="1:7" ht="13.7" customHeight="1">
      <c r="A31" s="118"/>
      <c r="B31" s="118"/>
      <c r="C31" s="130"/>
      <c r="D31" s="130"/>
      <c r="E31" s="141" t="s">
        <v>685</v>
      </c>
      <c r="F31" s="148"/>
      <c r="G31" s="131"/>
    </row>
    <row r="32" spans="1:7" ht="13.9" customHeight="1">
      <c r="A32" s="119" t="s">
        <v>686</v>
      </c>
      <c r="B32" s="119" t="s">
        <v>687</v>
      </c>
      <c r="C32" s="130"/>
      <c r="D32" s="130"/>
      <c r="E32" s="130"/>
      <c r="F32" s="133"/>
      <c r="G32" s="131"/>
    </row>
    <row r="33" spans="1:7" ht="13.7" customHeight="1">
      <c r="A33" s="118"/>
      <c r="B33" s="119" t="s">
        <v>1301</v>
      </c>
      <c r="C33" s="130"/>
      <c r="D33" s="146" t="s">
        <v>815</v>
      </c>
      <c r="E33" s="141" t="s">
        <v>1034</v>
      </c>
      <c r="F33" s="133"/>
      <c r="G33" s="131"/>
    </row>
    <row r="34" spans="1:7" ht="13.7" customHeight="1">
      <c r="A34" s="118"/>
      <c r="B34" s="119" t="s">
        <v>1302</v>
      </c>
      <c r="C34" s="130"/>
      <c r="D34" s="146" t="s">
        <v>815</v>
      </c>
      <c r="E34" s="141" t="s">
        <v>1303</v>
      </c>
      <c r="F34" s="133"/>
      <c r="G34" s="131"/>
    </row>
    <row r="35" spans="1:7" ht="13.9" customHeight="1">
      <c r="A35" s="118"/>
      <c r="B35" s="119" t="s">
        <v>1304</v>
      </c>
      <c r="C35" s="130"/>
      <c r="D35" s="141" t="s">
        <v>773</v>
      </c>
      <c r="E35" s="141" t="s">
        <v>746</v>
      </c>
      <c r="F35" s="133"/>
      <c r="G35" s="131"/>
    </row>
    <row r="36" spans="1:7" ht="13.7" customHeight="1">
      <c r="A36" s="118"/>
      <c r="B36" s="118"/>
      <c r="C36" s="130"/>
      <c r="D36" s="130"/>
      <c r="E36" s="141" t="s">
        <v>702</v>
      </c>
      <c r="F36" s="148"/>
      <c r="G36" s="131"/>
    </row>
    <row r="37" spans="1:7" ht="13.7" customHeight="1">
      <c r="A37" s="119" t="s">
        <v>703</v>
      </c>
      <c r="B37" s="119" t="s">
        <v>704</v>
      </c>
      <c r="C37" s="131"/>
      <c r="D37" s="130"/>
      <c r="E37" s="130"/>
      <c r="F37" s="133"/>
      <c r="G37" s="131"/>
    </row>
    <row r="38" spans="1:7" ht="13.9" customHeight="1">
      <c r="A38" s="118"/>
      <c r="B38" s="118"/>
      <c r="C38" s="131"/>
      <c r="D38" s="131"/>
      <c r="E38" s="130"/>
      <c r="F38" s="133"/>
      <c r="G38" s="131"/>
    </row>
    <row r="39" spans="1:7" ht="13.7" customHeight="1">
      <c r="A39" s="118"/>
      <c r="B39" s="118"/>
      <c r="C39" s="131"/>
      <c r="D39" s="131"/>
      <c r="E39" s="141" t="s">
        <v>705</v>
      </c>
      <c r="F39" s="148"/>
      <c r="G39" s="131"/>
    </row>
    <row r="40" spans="1:7" ht="13.9" customHeight="1">
      <c r="A40" s="118"/>
      <c r="B40" s="118"/>
      <c r="C40" s="131"/>
      <c r="D40" s="131"/>
      <c r="E40" s="130"/>
      <c r="F40" s="133"/>
      <c r="G40" s="131"/>
    </row>
    <row r="41" spans="1:7" ht="13.7" customHeight="1">
      <c r="A41" s="119" t="s">
        <v>706</v>
      </c>
      <c r="B41" s="141" t="s">
        <v>707</v>
      </c>
      <c r="C41" s="147"/>
      <c r="D41" s="147"/>
      <c r="E41" s="147"/>
      <c r="F41" s="148"/>
      <c r="G41" s="131"/>
    </row>
    <row r="42" spans="1:7" ht="13.7" customHeight="1">
      <c r="A42" s="119" t="s">
        <v>708</v>
      </c>
      <c r="B42" s="136" t="s">
        <v>876</v>
      </c>
      <c r="C42" s="137"/>
      <c r="D42" s="138"/>
      <c r="E42" s="141" t="s">
        <v>710</v>
      </c>
      <c r="F42" s="148"/>
      <c r="G42" s="131"/>
    </row>
    <row r="43" spans="1:7" ht="13.9" customHeight="1">
      <c r="A43" s="119" t="s">
        <v>711</v>
      </c>
      <c r="B43" s="141" t="s">
        <v>712</v>
      </c>
      <c r="C43" s="147"/>
      <c r="D43" s="147"/>
      <c r="E43" s="147"/>
      <c r="F43" s="148"/>
      <c r="G43" s="13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2329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7" customHeight="1">
      <c r="A9" s="5"/>
      <c r="B9" s="5"/>
      <c r="C9" s="5"/>
      <c r="D9" s="5"/>
      <c r="E9" s="1332" t="s">
        <v>685</v>
      </c>
      <c r="F9" s="1332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7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3.7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3.9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2330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7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7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3.7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3.9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0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2331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7" customHeight="1">
      <c r="A9" s="5"/>
      <c r="B9" s="5"/>
      <c r="C9" s="5"/>
      <c r="D9" s="5"/>
      <c r="E9" s="1332" t="s">
        <v>685</v>
      </c>
      <c r="F9" s="1332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7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3.7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3.9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7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7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7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3.9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3.7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07"/>
  <dimension ref="A1:G40"/>
  <sheetViews>
    <sheetView topLeftCell="A25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2333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7" customHeight="1">
      <c r="A9" s="118"/>
      <c r="B9" s="5"/>
      <c r="C9" s="5"/>
      <c r="D9" s="5"/>
      <c r="E9" s="1332" t="s">
        <v>685</v>
      </c>
      <c r="F9" s="1332"/>
      <c r="G9" s="5"/>
    </row>
    <row r="10" spans="1:7" ht="13.9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7" customHeight="1">
      <c r="A12" s="118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" customHeight="1">
      <c r="A13" s="118"/>
      <c r="B13" s="5"/>
      <c r="C13" s="5"/>
      <c r="D13" s="5"/>
      <c r="E13" s="1332" t="s">
        <v>702</v>
      </c>
      <c r="F13" s="1332"/>
      <c r="G13" s="5"/>
    </row>
    <row r="14" spans="1:7" ht="13.7" customHeight="1">
      <c r="A14" s="119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118"/>
      <c r="B15" s="5"/>
      <c r="C15" s="5"/>
      <c r="D15" s="5"/>
      <c r="E15" s="5"/>
      <c r="F15" s="5"/>
      <c r="G15" s="5"/>
    </row>
    <row r="16" spans="1:7" ht="13.7" customHeight="1">
      <c r="A16" s="118"/>
      <c r="B16" s="5"/>
      <c r="C16" s="5"/>
      <c r="D16" s="5"/>
      <c r="E16" s="1332" t="s">
        <v>705</v>
      </c>
      <c r="F16" s="1332"/>
      <c r="G16" s="5"/>
    </row>
    <row r="17" spans="1:7" ht="13.7" customHeight="1">
      <c r="A17" s="118"/>
      <c r="B17" s="5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3.7" customHeight="1">
      <c r="A19" s="119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3.9" customHeight="1">
      <c r="A20" s="119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2334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22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18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19" t="s">
        <v>674</v>
      </c>
      <c r="D26" s="121" t="s">
        <v>675</v>
      </c>
      <c r="E26" s="119" t="s">
        <v>740</v>
      </c>
      <c r="F26" s="118"/>
      <c r="G26" s="5"/>
    </row>
    <row r="27" spans="1:7" ht="13.7" customHeight="1">
      <c r="A27" s="5"/>
      <c r="B27" s="141" t="s">
        <v>871</v>
      </c>
      <c r="C27" s="119" t="s">
        <v>681</v>
      </c>
      <c r="D27" s="121" t="s">
        <v>675</v>
      </c>
      <c r="E27" s="119" t="s">
        <v>838</v>
      </c>
      <c r="F27" s="118"/>
      <c r="G27" s="5"/>
    </row>
    <row r="28" spans="1:7" ht="13.9" customHeight="1">
      <c r="A28" s="5"/>
      <c r="B28" s="141" t="s">
        <v>751</v>
      </c>
      <c r="C28" s="119" t="s">
        <v>681</v>
      </c>
      <c r="D28" s="121" t="s">
        <v>675</v>
      </c>
      <c r="E28" s="119" t="s">
        <v>795</v>
      </c>
      <c r="F28" s="118"/>
      <c r="G28" s="5"/>
    </row>
    <row r="29" spans="1:7" ht="13.7" customHeight="1">
      <c r="A29" s="5"/>
      <c r="B29" s="141" t="s">
        <v>683</v>
      </c>
      <c r="C29" s="119" t="s">
        <v>684</v>
      </c>
      <c r="D29" s="121" t="s">
        <v>675</v>
      </c>
      <c r="E29" s="119" t="s">
        <v>868</v>
      </c>
      <c r="F29" s="118"/>
      <c r="G29" s="5"/>
    </row>
    <row r="30" spans="1:7" ht="13.9" customHeight="1">
      <c r="A30" s="5"/>
      <c r="B30" s="130"/>
      <c r="C30" s="118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18"/>
      <c r="D31" s="118"/>
      <c r="E31" s="118"/>
      <c r="F31" s="118"/>
      <c r="G31" s="5"/>
    </row>
    <row r="32" spans="1:7" ht="13.7" customHeight="1">
      <c r="A32" s="5"/>
      <c r="B32" s="141" t="s">
        <v>1266</v>
      </c>
      <c r="C32" s="118"/>
      <c r="D32" s="125" t="s">
        <v>815</v>
      </c>
      <c r="E32" s="119" t="s">
        <v>839</v>
      </c>
      <c r="F32" s="118"/>
      <c r="G32" s="5"/>
    </row>
    <row r="33" spans="1:7" ht="13.9" customHeight="1">
      <c r="A33" s="5"/>
      <c r="B33" s="141" t="s">
        <v>1314</v>
      </c>
      <c r="C33" s="118"/>
      <c r="D33" s="121" t="s">
        <v>773</v>
      </c>
      <c r="E33" s="119" t="s">
        <v>740</v>
      </c>
      <c r="F33" s="118"/>
      <c r="G33" s="5"/>
    </row>
    <row r="34" spans="1:7" ht="13.7" customHeight="1">
      <c r="A34" s="5"/>
      <c r="B34" s="130"/>
      <c r="C34" s="118"/>
      <c r="D34" s="118"/>
      <c r="E34" s="141" t="s">
        <v>702</v>
      </c>
      <c r="F34" s="142"/>
      <c r="G34" s="5"/>
    </row>
    <row r="35" spans="1:7" ht="13.7" customHeight="1">
      <c r="A35" s="3" t="s">
        <v>703</v>
      </c>
      <c r="B35" s="141" t="s">
        <v>704</v>
      </c>
      <c r="C35" s="118"/>
      <c r="D35" s="118"/>
      <c r="E35" s="118"/>
      <c r="F35" s="118"/>
      <c r="G35" s="5"/>
    </row>
    <row r="36" spans="1:7" ht="13.9" customHeight="1">
      <c r="A36" s="5"/>
      <c r="B36" s="130"/>
      <c r="C36" s="118"/>
      <c r="D36" s="118"/>
      <c r="E36" s="118"/>
      <c r="F36" s="118"/>
      <c r="G36" s="5"/>
    </row>
    <row r="37" spans="1:7" ht="13.7" customHeight="1">
      <c r="A37" s="5"/>
      <c r="B37" s="130"/>
      <c r="C37" s="118"/>
      <c r="D37" s="118"/>
      <c r="E37" s="141" t="s">
        <v>705</v>
      </c>
      <c r="F37" s="142"/>
      <c r="G37" s="5"/>
    </row>
    <row r="38" spans="1:7" ht="13.7" customHeight="1">
      <c r="A38" s="3" t="s">
        <v>706</v>
      </c>
      <c r="B38" s="141" t="s">
        <v>707</v>
      </c>
      <c r="C38" s="147"/>
      <c r="D38" s="147"/>
      <c r="E38" s="147"/>
      <c r="F38" s="142"/>
      <c r="G38" s="5"/>
    </row>
    <row r="39" spans="1:7" ht="13.9" customHeight="1">
      <c r="A39" s="3" t="s">
        <v>708</v>
      </c>
      <c r="B39" s="136" t="s">
        <v>876</v>
      </c>
      <c r="C39" s="137"/>
      <c r="D39" s="138"/>
      <c r="E39" s="141" t="s">
        <v>710</v>
      </c>
      <c r="F39" s="142"/>
      <c r="G39" s="5"/>
    </row>
    <row r="40" spans="1:7" ht="13.7" customHeight="1">
      <c r="A40" s="3" t="s">
        <v>711</v>
      </c>
      <c r="B40" s="141" t="s">
        <v>712</v>
      </c>
      <c r="C40" s="147"/>
      <c r="D40" s="147"/>
      <c r="E40" s="147"/>
      <c r="F40" s="142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08"/>
  <dimension ref="A1:G46"/>
  <sheetViews>
    <sheetView topLeftCell="A34" workbookViewId="0">
      <selection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2335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" customHeight="1">
      <c r="A9" s="118"/>
      <c r="B9" s="5"/>
      <c r="C9" s="5"/>
      <c r="D9" s="5"/>
      <c r="E9" s="1332" t="s">
        <v>685</v>
      </c>
      <c r="F9" s="1332"/>
      <c r="G9" s="5"/>
    </row>
    <row r="10" spans="1:7" ht="13.7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" customHeight="1">
      <c r="A12" s="118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5" customHeight="1">
      <c r="A13" s="118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" customHeight="1">
      <c r="A14" s="118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7" customHeight="1">
      <c r="A15" s="118"/>
      <c r="B15" s="5"/>
      <c r="C15" s="5"/>
      <c r="D15" s="5"/>
      <c r="E15" s="5"/>
      <c r="F15" s="5"/>
      <c r="G15" s="5"/>
    </row>
    <row r="16" spans="1:7" ht="13.9" customHeight="1">
      <c r="A16" s="118"/>
      <c r="B16" s="5"/>
      <c r="C16" s="5"/>
      <c r="D16" s="5"/>
      <c r="E16" s="1332" t="s">
        <v>702</v>
      </c>
      <c r="F16" s="1332"/>
      <c r="G16" s="5"/>
    </row>
    <row r="17" spans="1:7" ht="13.7" customHeight="1">
      <c r="A17" s="119" t="s">
        <v>703</v>
      </c>
      <c r="B17" s="3" t="s">
        <v>704</v>
      </c>
      <c r="C17" s="5"/>
      <c r="D17" s="5"/>
      <c r="E17" s="5"/>
      <c r="F17" s="5"/>
      <c r="G17" s="5"/>
    </row>
    <row r="18" spans="1:7" ht="13.7" customHeight="1">
      <c r="A18" s="118"/>
      <c r="B18" s="5"/>
      <c r="C18" s="5"/>
      <c r="D18" s="5"/>
      <c r="E18" s="5"/>
      <c r="F18" s="5"/>
      <c r="G18" s="5"/>
    </row>
    <row r="19" spans="1:7" ht="13.9" customHeight="1">
      <c r="A19" s="118"/>
      <c r="B19" s="5"/>
      <c r="C19" s="5"/>
      <c r="D19" s="5"/>
      <c r="E19" s="1332" t="s">
        <v>705</v>
      </c>
      <c r="F19" s="1332"/>
      <c r="G19" s="5"/>
    </row>
    <row r="20" spans="1:7" ht="13.7" customHeight="1">
      <c r="A20" s="118"/>
      <c r="B20" s="5"/>
      <c r="C20" s="5"/>
      <c r="D20" s="5"/>
      <c r="E20" s="5"/>
      <c r="F20" s="5"/>
      <c r="G20" s="5"/>
    </row>
    <row r="21" spans="1:7" ht="13.7" customHeight="1">
      <c r="A21" s="119" t="s">
        <v>706</v>
      </c>
      <c r="B21" s="1332" t="s">
        <v>707</v>
      </c>
      <c r="C21" s="1332"/>
      <c r="D21" s="1332"/>
      <c r="E21" s="1332"/>
      <c r="F21" s="1332"/>
      <c r="G21" s="5"/>
    </row>
    <row r="22" spans="1:7" ht="13.9" customHeight="1">
      <c r="A22" s="119" t="s">
        <v>708</v>
      </c>
      <c r="B22" s="1329" t="s">
        <v>876</v>
      </c>
      <c r="C22" s="1329"/>
      <c r="D22" s="1329"/>
      <c r="E22" s="1330" t="s">
        <v>710</v>
      </c>
      <c r="F22" s="1330"/>
      <c r="G22" s="5"/>
    </row>
    <row r="23" spans="1:7" ht="13.7" customHeight="1">
      <c r="A23" s="119" t="s">
        <v>711</v>
      </c>
      <c r="B23" s="1331" t="s">
        <v>712</v>
      </c>
      <c r="C23" s="1331"/>
      <c r="D23" s="1331"/>
      <c r="E23" s="1331"/>
      <c r="F23" s="1331"/>
      <c r="G23" s="5"/>
    </row>
    <row r="24" spans="1:7" ht="13.7" customHeight="1">
      <c r="A24" s="26"/>
      <c r="B24" s="30"/>
      <c r="C24" s="30"/>
      <c r="D24" s="30"/>
      <c r="E24" s="30"/>
      <c r="F24" s="30"/>
      <c r="G24" s="28"/>
    </row>
    <row r="25" spans="1:7" ht="13.7" customHeight="1">
      <c r="A25" s="64" t="s">
        <v>2336</v>
      </c>
      <c r="B25" s="30"/>
      <c r="C25" s="30"/>
      <c r="D25" s="30"/>
      <c r="E25" s="30"/>
      <c r="F25" s="30"/>
      <c r="G25" s="28"/>
    </row>
    <row r="26" spans="1:7" ht="13.7" customHeight="1">
      <c r="A26" s="26"/>
      <c r="B26" s="30"/>
      <c r="C26" s="30"/>
      <c r="D26" s="30"/>
      <c r="E26" s="30"/>
      <c r="F26" s="30"/>
      <c r="G26" s="28"/>
    </row>
    <row r="27" spans="1:7" ht="40.15" customHeight="1">
      <c r="A27" s="6" t="s">
        <v>762</v>
      </c>
      <c r="B27" s="135" t="s">
        <v>763</v>
      </c>
      <c r="C27" s="122" t="s">
        <v>764</v>
      </c>
      <c r="D27" s="122" t="s">
        <v>765</v>
      </c>
      <c r="E27" s="122" t="s">
        <v>766</v>
      </c>
      <c r="F27" s="123" t="s">
        <v>767</v>
      </c>
      <c r="G27" s="7" t="s">
        <v>768</v>
      </c>
    </row>
    <row r="28" spans="1:7" ht="13.7" customHeight="1">
      <c r="A28" s="3" t="s">
        <v>671</v>
      </c>
      <c r="B28" s="141" t="s">
        <v>672</v>
      </c>
      <c r="C28" s="118"/>
      <c r="D28" s="118"/>
      <c r="E28" s="118"/>
      <c r="F28" s="118"/>
      <c r="G28" s="5"/>
    </row>
    <row r="29" spans="1:7" ht="13.9" customHeight="1">
      <c r="A29" s="5"/>
      <c r="B29" s="141" t="s">
        <v>673</v>
      </c>
      <c r="C29" s="119" t="s">
        <v>674</v>
      </c>
      <c r="D29" s="121" t="s">
        <v>675</v>
      </c>
      <c r="E29" s="119" t="s">
        <v>679</v>
      </c>
      <c r="F29" s="118"/>
      <c r="G29" s="5"/>
    </row>
    <row r="30" spans="1:7" ht="13.7" customHeight="1">
      <c r="A30" s="5"/>
      <c r="B30" s="141" t="s">
        <v>871</v>
      </c>
      <c r="C30" s="119" t="s">
        <v>681</v>
      </c>
      <c r="D30" s="121" t="s">
        <v>675</v>
      </c>
      <c r="E30" s="119" t="s">
        <v>870</v>
      </c>
      <c r="F30" s="118"/>
      <c r="G30" s="5"/>
    </row>
    <row r="31" spans="1:7" ht="13.7" customHeight="1">
      <c r="A31" s="5"/>
      <c r="B31" s="141" t="s">
        <v>751</v>
      </c>
      <c r="C31" s="119" t="s">
        <v>681</v>
      </c>
      <c r="D31" s="121" t="s">
        <v>675</v>
      </c>
      <c r="E31" s="119" t="s">
        <v>699</v>
      </c>
      <c r="F31" s="118"/>
      <c r="G31" s="5"/>
    </row>
    <row r="32" spans="1:7" ht="13.9" customHeight="1">
      <c r="A32" s="5"/>
      <c r="B32" s="141" t="s">
        <v>683</v>
      </c>
      <c r="C32" s="119" t="s">
        <v>684</v>
      </c>
      <c r="D32" s="121" t="s">
        <v>675</v>
      </c>
      <c r="E32" s="119" t="s">
        <v>779</v>
      </c>
      <c r="F32" s="118"/>
      <c r="G32" s="5"/>
    </row>
    <row r="33" spans="1:7" ht="13.7" customHeight="1">
      <c r="A33" s="5"/>
      <c r="B33" s="130"/>
      <c r="C33" s="118"/>
      <c r="D33" s="118"/>
      <c r="E33" s="141" t="s">
        <v>685</v>
      </c>
      <c r="F33" s="142"/>
      <c r="G33" s="5"/>
    </row>
    <row r="34" spans="1:7" ht="13.7" customHeight="1">
      <c r="A34" s="3" t="s">
        <v>686</v>
      </c>
      <c r="B34" s="141" t="s">
        <v>687</v>
      </c>
      <c r="C34" s="118"/>
      <c r="D34" s="118"/>
      <c r="E34" s="118"/>
      <c r="F34" s="118"/>
      <c r="G34" s="5"/>
    </row>
    <row r="35" spans="1:7" ht="23.45" customHeight="1">
      <c r="A35" s="5"/>
      <c r="B35" s="149" t="s">
        <v>1320</v>
      </c>
      <c r="C35" s="118"/>
      <c r="D35" s="22" t="s">
        <v>1321</v>
      </c>
      <c r="E35" s="124" t="s">
        <v>1322</v>
      </c>
      <c r="F35" s="118"/>
      <c r="G35" s="5"/>
    </row>
    <row r="36" spans="1:7" ht="23.45" customHeight="1">
      <c r="A36" s="5"/>
      <c r="B36" s="149" t="s">
        <v>1323</v>
      </c>
      <c r="C36" s="118"/>
      <c r="D36" s="124" t="s">
        <v>1324</v>
      </c>
      <c r="E36" s="119" t="s">
        <v>740</v>
      </c>
      <c r="F36" s="118"/>
      <c r="G36" s="5"/>
    </row>
    <row r="37" spans="1:7" ht="23.45" customHeight="1">
      <c r="A37" s="5"/>
      <c r="B37" s="161" t="s">
        <v>1325</v>
      </c>
      <c r="C37" s="118"/>
      <c r="D37" s="124" t="s">
        <v>1277</v>
      </c>
      <c r="E37" s="124" t="s">
        <v>1318</v>
      </c>
      <c r="F37" s="118"/>
      <c r="G37" s="5"/>
    </row>
    <row r="38" spans="1:7" ht="13.7" customHeight="1">
      <c r="A38" s="5"/>
      <c r="B38" s="141" t="s">
        <v>1268</v>
      </c>
      <c r="C38" s="118"/>
      <c r="D38" s="121" t="s">
        <v>773</v>
      </c>
      <c r="E38" s="119" t="s">
        <v>1319</v>
      </c>
      <c r="F38" s="118"/>
      <c r="G38" s="5"/>
    </row>
    <row r="39" spans="1:7" ht="13.9" customHeight="1">
      <c r="A39" s="5"/>
      <c r="B39" s="130"/>
      <c r="C39" s="118"/>
      <c r="D39" s="118"/>
      <c r="E39" s="118"/>
      <c r="F39" s="118"/>
      <c r="G39" s="5"/>
    </row>
    <row r="40" spans="1:7" ht="13.7" customHeight="1">
      <c r="A40" s="5"/>
      <c r="B40" s="130"/>
      <c r="C40" s="118"/>
      <c r="D40" s="118"/>
      <c r="E40" s="141" t="s">
        <v>702</v>
      </c>
      <c r="F40" s="142"/>
      <c r="G40" s="5"/>
    </row>
    <row r="41" spans="1:7" ht="13.7" customHeight="1">
      <c r="A41" s="3" t="s">
        <v>703</v>
      </c>
      <c r="B41" s="141" t="s">
        <v>704</v>
      </c>
      <c r="C41" s="118"/>
      <c r="D41" s="118"/>
      <c r="E41" s="118"/>
      <c r="F41" s="118"/>
      <c r="G41" s="5"/>
    </row>
    <row r="42" spans="1:7" ht="13.9" customHeight="1">
      <c r="A42" s="5"/>
      <c r="B42" s="130"/>
      <c r="C42" s="118"/>
      <c r="D42" s="118"/>
      <c r="E42" s="141" t="s">
        <v>705</v>
      </c>
      <c r="F42" s="142"/>
      <c r="G42" s="5"/>
    </row>
    <row r="43" spans="1:7" ht="13.7" customHeight="1">
      <c r="A43" s="5"/>
      <c r="B43" s="130"/>
      <c r="C43" s="118"/>
      <c r="D43" s="118"/>
      <c r="E43" s="118"/>
      <c r="F43" s="118"/>
      <c r="G43" s="5"/>
    </row>
    <row r="44" spans="1:7" ht="13.9" customHeight="1">
      <c r="A44" s="3" t="s">
        <v>706</v>
      </c>
      <c r="B44" s="141" t="s">
        <v>707</v>
      </c>
      <c r="C44" s="147"/>
      <c r="D44" s="147"/>
      <c r="E44" s="147"/>
      <c r="F44" s="142"/>
      <c r="G44" s="5"/>
    </row>
    <row r="45" spans="1:7" ht="13.7" customHeight="1">
      <c r="A45" s="3" t="s">
        <v>708</v>
      </c>
      <c r="B45" s="136" t="s">
        <v>876</v>
      </c>
      <c r="C45" s="137"/>
      <c r="D45" s="138"/>
      <c r="E45" s="141" t="s">
        <v>710</v>
      </c>
      <c r="F45" s="142"/>
      <c r="G45" s="5"/>
    </row>
    <row r="46" spans="1:7" ht="13.7" customHeight="1">
      <c r="A46" s="3" t="s">
        <v>711</v>
      </c>
      <c r="B46" s="141" t="s">
        <v>712</v>
      </c>
      <c r="C46" s="147"/>
      <c r="D46" s="147"/>
      <c r="E46" s="147"/>
      <c r="F46" s="142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09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4.140625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4" t="s">
        <v>2337</v>
      </c>
    </row>
    <row r="3" spans="1:7" ht="40.15" customHeight="1">
      <c r="A3" s="6" t="s">
        <v>762</v>
      </c>
      <c r="B3" s="122" t="s">
        <v>763</v>
      </c>
      <c r="C3" s="122" t="s">
        <v>764</v>
      </c>
      <c r="D3" s="135" t="s">
        <v>765</v>
      </c>
      <c r="E3" s="135" t="s">
        <v>766</v>
      </c>
      <c r="F3" s="123" t="s">
        <v>767</v>
      </c>
      <c r="G3" s="123" t="s">
        <v>768</v>
      </c>
    </row>
    <row r="4" spans="1:7" ht="13.9" customHeight="1">
      <c r="A4" s="3" t="s">
        <v>671</v>
      </c>
      <c r="B4" s="119" t="s">
        <v>672</v>
      </c>
      <c r="C4" s="118"/>
      <c r="D4" s="130"/>
      <c r="E4" s="130"/>
      <c r="F4" s="118"/>
      <c r="G4" s="118"/>
    </row>
    <row r="5" spans="1:7" ht="13.7" customHeight="1">
      <c r="A5" s="5"/>
      <c r="B5" s="119" t="s">
        <v>673</v>
      </c>
      <c r="C5" s="119" t="s">
        <v>674</v>
      </c>
      <c r="D5" s="141" t="s">
        <v>675</v>
      </c>
      <c r="E5" s="141" t="s">
        <v>870</v>
      </c>
      <c r="F5" s="118"/>
      <c r="G5" s="118"/>
    </row>
    <row r="6" spans="1:7" ht="13.7" customHeight="1">
      <c r="A6" s="5"/>
      <c r="B6" s="119" t="s">
        <v>871</v>
      </c>
      <c r="C6" s="119" t="s">
        <v>681</v>
      </c>
      <c r="D6" s="141" t="s">
        <v>675</v>
      </c>
      <c r="E6" s="141" t="s">
        <v>836</v>
      </c>
      <c r="F6" s="118"/>
      <c r="G6" s="118"/>
    </row>
    <row r="7" spans="1:7" ht="13.9" customHeight="1">
      <c r="A7" s="5"/>
      <c r="B7" s="119" t="s">
        <v>751</v>
      </c>
      <c r="C7" s="119" t="s">
        <v>681</v>
      </c>
      <c r="D7" s="141" t="s">
        <v>675</v>
      </c>
      <c r="E7" s="141" t="s">
        <v>733</v>
      </c>
      <c r="F7" s="118"/>
      <c r="G7" s="118"/>
    </row>
    <row r="8" spans="1:7" ht="13.7" customHeight="1">
      <c r="A8" s="5"/>
      <c r="B8" s="119" t="s">
        <v>683</v>
      </c>
      <c r="C8" s="119" t="s">
        <v>684</v>
      </c>
      <c r="D8" s="141" t="s">
        <v>675</v>
      </c>
      <c r="E8" s="141" t="s">
        <v>851</v>
      </c>
      <c r="F8" s="118"/>
      <c r="G8" s="118"/>
    </row>
    <row r="9" spans="1:7" ht="13.7" customHeight="1">
      <c r="A9" s="5"/>
      <c r="B9" s="118"/>
      <c r="C9" s="118"/>
      <c r="D9" s="130"/>
      <c r="E9" s="141" t="s">
        <v>685</v>
      </c>
      <c r="F9" s="142"/>
      <c r="G9" s="118"/>
    </row>
    <row r="10" spans="1:7" ht="13.9" customHeight="1">
      <c r="A10" s="3" t="s">
        <v>686</v>
      </c>
      <c r="B10" s="119" t="s">
        <v>687</v>
      </c>
      <c r="C10" s="118"/>
      <c r="D10" s="130"/>
      <c r="E10" s="130"/>
      <c r="F10" s="118"/>
      <c r="G10" s="118"/>
    </row>
    <row r="11" spans="1:7" ht="14.45" customHeight="1">
      <c r="A11" s="5"/>
      <c r="B11" s="119" t="s">
        <v>1270</v>
      </c>
      <c r="C11" s="118"/>
      <c r="D11" s="160" t="s">
        <v>1271</v>
      </c>
      <c r="E11" s="141" t="s">
        <v>730</v>
      </c>
      <c r="F11" s="118"/>
      <c r="G11" s="118"/>
    </row>
    <row r="12" spans="1:7" ht="12" customHeight="1">
      <c r="A12" s="5"/>
      <c r="B12" s="119" t="s">
        <v>1316</v>
      </c>
      <c r="C12" s="118"/>
      <c r="D12" s="141" t="s">
        <v>773</v>
      </c>
      <c r="E12" s="141" t="s">
        <v>741</v>
      </c>
      <c r="F12" s="118"/>
      <c r="G12" s="118"/>
    </row>
    <row r="13" spans="1:7" ht="12" customHeight="1">
      <c r="A13" s="5"/>
      <c r="B13" s="119" t="s">
        <v>1326</v>
      </c>
      <c r="C13" s="118"/>
      <c r="D13" s="141" t="s">
        <v>773</v>
      </c>
      <c r="E13" s="141" t="s">
        <v>740</v>
      </c>
      <c r="F13" s="118"/>
      <c r="G13" s="118"/>
    </row>
    <row r="14" spans="1:7" ht="13.7" customHeight="1">
      <c r="A14" s="5"/>
      <c r="B14" s="118"/>
      <c r="C14" s="118"/>
      <c r="D14" s="130"/>
      <c r="E14" s="141" t="s">
        <v>702</v>
      </c>
      <c r="F14" s="142"/>
      <c r="G14" s="118"/>
    </row>
    <row r="15" spans="1:7" ht="13.9" customHeight="1">
      <c r="A15" s="3" t="s">
        <v>703</v>
      </c>
      <c r="B15" s="119" t="s">
        <v>704</v>
      </c>
      <c r="C15" s="118"/>
      <c r="D15" s="131"/>
      <c r="E15" s="130"/>
      <c r="F15" s="118"/>
      <c r="G15" s="118"/>
    </row>
    <row r="16" spans="1:7" ht="13.7" customHeight="1">
      <c r="A16" s="5"/>
      <c r="B16" s="118"/>
      <c r="C16" s="118"/>
      <c r="D16" s="118"/>
      <c r="E16" s="141" t="s">
        <v>705</v>
      </c>
      <c r="F16" s="142"/>
      <c r="G16" s="118"/>
    </row>
    <row r="17" spans="1:7" ht="13.7" customHeight="1">
      <c r="A17" s="5"/>
      <c r="B17" s="118"/>
      <c r="C17" s="118"/>
      <c r="D17" s="118"/>
      <c r="E17" s="130"/>
      <c r="F17" s="118"/>
      <c r="G17" s="118"/>
    </row>
    <row r="18" spans="1:7" ht="13.9" customHeight="1">
      <c r="A18" s="3" t="s">
        <v>706</v>
      </c>
      <c r="B18" s="141" t="s">
        <v>707</v>
      </c>
      <c r="C18" s="147"/>
      <c r="D18" s="147"/>
      <c r="E18" s="147"/>
      <c r="F18" s="142"/>
      <c r="G18" s="118"/>
    </row>
    <row r="19" spans="1:7" ht="13.7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118"/>
    </row>
    <row r="20" spans="1:7" ht="13.9" customHeight="1">
      <c r="A20" s="3" t="s">
        <v>711</v>
      </c>
      <c r="B20" s="141" t="s">
        <v>712</v>
      </c>
      <c r="C20" s="147"/>
      <c r="D20" s="147"/>
      <c r="E20" s="147"/>
      <c r="F20" s="142"/>
      <c r="G20" s="118"/>
    </row>
    <row r="21" spans="1:7" ht="13.9" customHeight="1">
      <c r="A21" s="26"/>
      <c r="B21" s="120"/>
      <c r="C21" s="120"/>
      <c r="D21" s="120"/>
      <c r="E21" s="120"/>
      <c r="F21" s="120"/>
      <c r="G21" s="28"/>
    </row>
    <row r="22" spans="1:7" ht="13.9" customHeight="1">
      <c r="A22" s="64" t="s">
        <v>2338</v>
      </c>
      <c r="B22" s="120"/>
      <c r="C22" s="120"/>
      <c r="D22" s="120"/>
      <c r="E22" s="120"/>
      <c r="F22" s="12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22" t="s">
        <v>766</v>
      </c>
      <c r="F24" s="135" t="s">
        <v>767</v>
      </c>
      <c r="G24" s="7" t="s">
        <v>768</v>
      </c>
    </row>
    <row r="25" spans="1:7" ht="13.7" customHeight="1">
      <c r="A25" s="3" t="s">
        <v>671</v>
      </c>
      <c r="B25" s="141" t="s">
        <v>672</v>
      </c>
      <c r="C25" s="130"/>
      <c r="D25" s="130"/>
      <c r="E25" s="118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19" t="s">
        <v>794</v>
      </c>
      <c r="F26" s="130"/>
      <c r="G26" s="5"/>
    </row>
    <row r="27" spans="1:7" ht="13.9" customHeight="1">
      <c r="A27" s="5"/>
      <c r="B27" s="141" t="s">
        <v>871</v>
      </c>
      <c r="C27" s="141" t="s">
        <v>681</v>
      </c>
      <c r="D27" s="141" t="s">
        <v>675</v>
      </c>
      <c r="E27" s="119" t="s">
        <v>817</v>
      </c>
      <c r="F27" s="130"/>
      <c r="G27" s="5"/>
    </row>
    <row r="28" spans="1:7" ht="13.7" customHeight="1">
      <c r="A28" s="5"/>
      <c r="B28" s="141" t="s">
        <v>751</v>
      </c>
      <c r="C28" s="141" t="s">
        <v>681</v>
      </c>
      <c r="D28" s="141" t="s">
        <v>675</v>
      </c>
      <c r="E28" s="119" t="s">
        <v>868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19" t="s">
        <v>856</v>
      </c>
      <c r="F29" s="130"/>
      <c r="G29" s="5"/>
    </row>
    <row r="30" spans="1:7" ht="13.9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3.7" customHeight="1">
      <c r="A31" s="3" t="s">
        <v>686</v>
      </c>
      <c r="B31" s="141" t="s">
        <v>687</v>
      </c>
      <c r="C31" s="130"/>
      <c r="D31" s="130"/>
      <c r="E31" s="118"/>
      <c r="F31" s="130"/>
      <c r="G31" s="5"/>
    </row>
    <row r="32" spans="1:7" ht="12.75" customHeight="1">
      <c r="A32" s="5"/>
      <c r="B32" s="136" t="s">
        <v>1327</v>
      </c>
      <c r="C32" s="130"/>
      <c r="D32" s="160" t="s">
        <v>1271</v>
      </c>
      <c r="E32" s="119" t="s">
        <v>676</v>
      </c>
      <c r="F32" s="130"/>
      <c r="G32" s="5"/>
    </row>
    <row r="33" spans="1:7" ht="12" customHeight="1">
      <c r="A33" s="5"/>
      <c r="B33" s="141" t="s">
        <v>1328</v>
      </c>
      <c r="C33" s="130"/>
      <c r="D33" s="141" t="s">
        <v>773</v>
      </c>
      <c r="E33" s="119" t="s">
        <v>801</v>
      </c>
      <c r="F33" s="130"/>
      <c r="G33" s="5"/>
    </row>
    <row r="34" spans="1:7" ht="13.7" customHeight="1">
      <c r="A34" s="5"/>
      <c r="B34" s="130"/>
      <c r="C34" s="130"/>
      <c r="D34" s="130"/>
      <c r="E34" s="141" t="s">
        <v>702</v>
      </c>
      <c r="F34" s="147"/>
      <c r="G34" s="5"/>
    </row>
    <row r="35" spans="1:7" ht="13.9" customHeight="1">
      <c r="A35" s="3" t="s">
        <v>703</v>
      </c>
      <c r="B35" s="141" t="s">
        <v>704</v>
      </c>
      <c r="C35" s="130"/>
      <c r="D35" s="130"/>
      <c r="E35" s="118"/>
      <c r="F35" s="130"/>
      <c r="G35" s="5"/>
    </row>
    <row r="36" spans="1:7" ht="13.7" customHeight="1">
      <c r="A36" s="5"/>
      <c r="B36" s="130"/>
      <c r="C36" s="130"/>
      <c r="D36" s="130"/>
      <c r="E36" s="118"/>
      <c r="F36" s="130"/>
      <c r="G36" s="5"/>
    </row>
    <row r="37" spans="1:7" ht="13.9" customHeight="1">
      <c r="A37" s="5"/>
      <c r="B37" s="130"/>
      <c r="C37" s="130"/>
      <c r="D37" s="130"/>
      <c r="E37" s="141" t="s">
        <v>705</v>
      </c>
      <c r="F37" s="147"/>
      <c r="G37" s="5"/>
    </row>
    <row r="38" spans="1:7" ht="13.7" customHeight="1">
      <c r="A38" s="5"/>
      <c r="B38" s="130"/>
      <c r="C38" s="130"/>
      <c r="D38" s="130"/>
      <c r="E38" s="118"/>
      <c r="F38" s="130"/>
      <c r="G38" s="5"/>
    </row>
    <row r="39" spans="1:7" ht="13.7" customHeight="1">
      <c r="A39" s="3" t="s">
        <v>706</v>
      </c>
      <c r="B39" s="141" t="s">
        <v>707</v>
      </c>
      <c r="C39" s="147"/>
      <c r="D39" s="147"/>
      <c r="E39" s="147"/>
      <c r="F39" s="147"/>
      <c r="G39" s="5"/>
    </row>
    <row r="40" spans="1:7" ht="13.9" customHeight="1">
      <c r="A40" s="3" t="s">
        <v>708</v>
      </c>
      <c r="B40" s="136" t="s">
        <v>876</v>
      </c>
      <c r="C40" s="137"/>
      <c r="D40" s="137"/>
      <c r="E40" s="141" t="s">
        <v>710</v>
      </c>
      <c r="F40" s="147"/>
      <c r="G40" s="5"/>
    </row>
    <row r="41" spans="1:7" ht="13.7" customHeight="1">
      <c r="A41" s="3" t="s">
        <v>711</v>
      </c>
      <c r="B41" s="141" t="s">
        <v>712</v>
      </c>
      <c r="C41" s="147"/>
      <c r="D41" s="147"/>
      <c r="E41" s="147"/>
      <c r="F41" s="147"/>
      <c r="G41" s="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0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8.8554687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2339</v>
      </c>
    </row>
    <row r="3" spans="1:7" ht="40.15" customHeight="1">
      <c r="A3" s="6" t="s">
        <v>762</v>
      </c>
      <c r="B3" s="122" t="s">
        <v>763</v>
      </c>
      <c r="C3" s="135" t="s">
        <v>764</v>
      </c>
      <c r="D3" s="135" t="s">
        <v>765</v>
      </c>
      <c r="E3" s="135" t="s">
        <v>766</v>
      </c>
      <c r="F3" s="123" t="s">
        <v>767</v>
      </c>
      <c r="G3" s="7" t="s">
        <v>768</v>
      </c>
    </row>
    <row r="4" spans="1:7" ht="13.9" customHeight="1">
      <c r="A4" s="3" t="s">
        <v>671</v>
      </c>
      <c r="B4" s="119" t="s">
        <v>672</v>
      </c>
      <c r="C4" s="130"/>
      <c r="D4" s="130"/>
      <c r="E4" s="130"/>
      <c r="F4" s="118"/>
      <c r="G4" s="5"/>
    </row>
    <row r="5" spans="1:7" ht="13.7" customHeight="1">
      <c r="A5" s="5"/>
      <c r="B5" s="119" t="s">
        <v>1283</v>
      </c>
      <c r="C5" s="141" t="s">
        <v>674</v>
      </c>
      <c r="D5" s="141" t="s">
        <v>675</v>
      </c>
      <c r="E5" s="141" t="s">
        <v>741</v>
      </c>
      <c r="F5" s="118"/>
      <c r="G5" s="5"/>
    </row>
    <row r="6" spans="1:7" ht="13.7" customHeight="1">
      <c r="A6" s="5"/>
      <c r="B6" s="119" t="s">
        <v>1284</v>
      </c>
      <c r="C6" s="141" t="s">
        <v>681</v>
      </c>
      <c r="D6" s="141" t="s">
        <v>675</v>
      </c>
      <c r="E6" s="141" t="s">
        <v>801</v>
      </c>
      <c r="F6" s="118"/>
      <c r="G6" s="5"/>
    </row>
    <row r="7" spans="1:7" ht="13.9" customHeight="1">
      <c r="A7" s="5"/>
      <c r="B7" s="119" t="s">
        <v>1286</v>
      </c>
      <c r="C7" s="141" t="s">
        <v>681</v>
      </c>
      <c r="D7" s="141" t="s">
        <v>675</v>
      </c>
      <c r="E7" s="141" t="s">
        <v>693</v>
      </c>
      <c r="F7" s="118"/>
      <c r="G7" s="5"/>
    </row>
    <row r="8" spans="1:7" ht="13.7" customHeight="1">
      <c r="A8" s="5"/>
      <c r="B8" s="119" t="s">
        <v>1288</v>
      </c>
      <c r="C8" s="141" t="s">
        <v>684</v>
      </c>
      <c r="D8" s="141" t="s">
        <v>675</v>
      </c>
      <c r="E8" s="141" t="s">
        <v>693</v>
      </c>
      <c r="F8" s="118"/>
      <c r="G8" s="5"/>
    </row>
    <row r="9" spans="1:7" ht="13.7" customHeight="1">
      <c r="A9" s="5"/>
      <c r="B9" s="118"/>
      <c r="C9" s="130"/>
      <c r="D9" s="130"/>
      <c r="E9" s="141" t="s">
        <v>685</v>
      </c>
      <c r="F9" s="142"/>
      <c r="G9" s="5"/>
    </row>
    <row r="10" spans="1:7" ht="13.9" customHeight="1">
      <c r="A10" s="3" t="s">
        <v>686</v>
      </c>
      <c r="B10" s="119" t="s">
        <v>687</v>
      </c>
      <c r="C10" s="130"/>
      <c r="D10" s="130"/>
      <c r="E10" s="130"/>
      <c r="F10" s="118"/>
      <c r="G10" s="5"/>
    </row>
    <row r="11" spans="1:7" ht="13.7" customHeight="1">
      <c r="A11" s="5"/>
      <c r="B11" s="119" t="s">
        <v>1329</v>
      </c>
      <c r="C11" s="130"/>
      <c r="D11" s="141" t="s">
        <v>961</v>
      </c>
      <c r="E11" s="141" t="s">
        <v>756</v>
      </c>
      <c r="F11" s="118"/>
      <c r="G11" s="5"/>
    </row>
    <row r="12" spans="1:7" ht="13.7" customHeight="1">
      <c r="A12" s="5"/>
      <c r="B12" s="119" t="s">
        <v>1330</v>
      </c>
      <c r="C12" s="130"/>
      <c r="D12" s="146" t="s">
        <v>815</v>
      </c>
      <c r="E12" s="141" t="s">
        <v>1034</v>
      </c>
      <c r="F12" s="118"/>
      <c r="G12" s="5"/>
    </row>
    <row r="13" spans="1:7" ht="13.9" customHeight="1">
      <c r="A13" s="5"/>
      <c r="B13" s="119" t="s">
        <v>1201</v>
      </c>
      <c r="C13" s="130"/>
      <c r="D13" s="141" t="s">
        <v>773</v>
      </c>
      <c r="E13" s="141" t="s">
        <v>788</v>
      </c>
      <c r="F13" s="118"/>
      <c r="G13" s="5"/>
    </row>
    <row r="14" spans="1:7" ht="13.7" customHeight="1">
      <c r="A14" s="5"/>
      <c r="B14" s="119" t="s">
        <v>1331</v>
      </c>
      <c r="C14" s="130"/>
      <c r="D14" s="146" t="s">
        <v>815</v>
      </c>
      <c r="E14" s="141" t="s">
        <v>852</v>
      </c>
      <c r="F14" s="118"/>
      <c r="G14" s="5"/>
    </row>
    <row r="15" spans="1:7" ht="13.9" customHeight="1">
      <c r="A15" s="5"/>
      <c r="B15" s="118"/>
      <c r="C15" s="130"/>
      <c r="D15" s="130"/>
      <c r="E15" s="130"/>
      <c r="F15" s="118"/>
      <c r="G15" s="5"/>
    </row>
    <row r="16" spans="1:7" ht="13.7" customHeight="1">
      <c r="A16" s="5"/>
      <c r="B16" s="118"/>
      <c r="C16" s="130"/>
      <c r="D16" s="130"/>
      <c r="E16" s="141" t="s">
        <v>702</v>
      </c>
      <c r="F16" s="142"/>
      <c r="G16" s="5"/>
    </row>
    <row r="17" spans="1:7" ht="13.7" customHeight="1">
      <c r="A17" s="3" t="s">
        <v>703</v>
      </c>
      <c r="B17" s="119" t="s">
        <v>704</v>
      </c>
      <c r="C17" s="130"/>
      <c r="D17" s="130"/>
      <c r="E17" s="130"/>
      <c r="F17" s="118"/>
      <c r="G17" s="5"/>
    </row>
    <row r="18" spans="1:7" ht="13.9" customHeight="1">
      <c r="A18" s="5"/>
      <c r="B18" s="118"/>
      <c r="C18" s="130"/>
      <c r="D18" s="130"/>
      <c r="E18" s="141" t="s">
        <v>705</v>
      </c>
      <c r="F18" s="142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2"/>
      <c r="G19" s="5"/>
    </row>
    <row r="20" spans="1:7" ht="13.7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3.9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1">
    <tabColor rgb="FFFF0000"/>
  </sheetPr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27.42578125" customWidth="1"/>
    <col min="6" max="6" width="5" customWidth="1"/>
    <col min="7" max="7" width="6.85546875" customWidth="1"/>
  </cols>
  <sheetData>
    <row r="1" spans="1:7" ht="13.9" customHeight="1">
      <c r="A1" s="162" t="s">
        <v>2340</v>
      </c>
      <c r="B1" s="68"/>
      <c r="C1" s="68"/>
      <c r="D1" s="68"/>
      <c r="E1" s="68"/>
      <c r="F1" s="68"/>
      <c r="G1" s="68"/>
    </row>
    <row r="2" spans="1:7" ht="13.9" customHeight="1">
      <c r="A2" s="163"/>
      <c r="B2" s="68"/>
      <c r="C2" s="68"/>
      <c r="D2" s="68"/>
      <c r="E2" s="68"/>
      <c r="F2" s="68"/>
      <c r="G2" s="68"/>
    </row>
    <row r="3" spans="1:7" ht="13.9" customHeight="1">
      <c r="A3" s="164" t="s">
        <v>2341</v>
      </c>
      <c r="B3" s="145"/>
      <c r="C3" s="145"/>
      <c r="D3" s="145"/>
      <c r="E3" s="145"/>
      <c r="F3" s="145"/>
      <c r="G3" s="145"/>
    </row>
    <row r="4" spans="1:7" ht="35.1" customHeight="1">
      <c r="A4" s="27" t="s">
        <v>762</v>
      </c>
      <c r="B4" s="135" t="s">
        <v>763</v>
      </c>
      <c r="C4" s="122" t="s">
        <v>764</v>
      </c>
      <c r="D4" s="135" t="s">
        <v>765</v>
      </c>
      <c r="E4" s="135" t="s">
        <v>766</v>
      </c>
      <c r="F4" s="135" t="s">
        <v>767</v>
      </c>
      <c r="G4" s="154" t="s">
        <v>768</v>
      </c>
    </row>
    <row r="5" spans="1:7" ht="12" customHeight="1">
      <c r="A5" s="26" t="s">
        <v>671</v>
      </c>
      <c r="B5" s="141" t="s">
        <v>1332</v>
      </c>
      <c r="C5" s="118"/>
      <c r="D5" s="130"/>
      <c r="E5" s="130"/>
      <c r="F5" s="130"/>
      <c r="G5" s="152"/>
    </row>
    <row r="6" spans="1:7" ht="13.7" customHeight="1">
      <c r="A6" s="28"/>
      <c r="B6" s="141" t="s">
        <v>673</v>
      </c>
      <c r="C6" s="119" t="s">
        <v>674</v>
      </c>
      <c r="D6" s="141" t="s">
        <v>675</v>
      </c>
      <c r="E6" s="141" t="s">
        <v>1254</v>
      </c>
      <c r="F6" s="133"/>
      <c r="G6" s="152"/>
    </row>
    <row r="7" spans="1:7" ht="13.9" customHeight="1">
      <c r="A7" s="28"/>
      <c r="B7" s="141" t="s">
        <v>871</v>
      </c>
      <c r="C7" s="119" t="s">
        <v>678</v>
      </c>
      <c r="D7" s="141" t="s">
        <v>675</v>
      </c>
      <c r="E7" s="141" t="s">
        <v>1161</v>
      </c>
      <c r="F7" s="133"/>
      <c r="G7" s="152"/>
    </row>
    <row r="8" spans="1:7" ht="13.7" customHeight="1">
      <c r="A8" s="28"/>
      <c r="B8" s="141" t="s">
        <v>751</v>
      </c>
      <c r="C8" s="119" t="s">
        <v>681</v>
      </c>
      <c r="D8" s="141" t="s">
        <v>675</v>
      </c>
      <c r="E8" s="141" t="s">
        <v>1254</v>
      </c>
      <c r="F8" s="133"/>
      <c r="G8" s="152"/>
    </row>
    <row r="9" spans="1:7" ht="13.7" customHeight="1">
      <c r="A9" s="28"/>
      <c r="B9" s="141" t="s">
        <v>683</v>
      </c>
      <c r="C9" s="119" t="s">
        <v>684</v>
      </c>
      <c r="D9" s="141" t="s">
        <v>675</v>
      </c>
      <c r="E9" s="141" t="s">
        <v>852</v>
      </c>
      <c r="F9" s="133"/>
      <c r="G9" s="152"/>
    </row>
    <row r="10" spans="1:7" ht="12" customHeight="1">
      <c r="A10" s="28"/>
      <c r="B10" s="130"/>
      <c r="C10" s="118"/>
      <c r="D10" s="130"/>
      <c r="E10" s="141" t="s">
        <v>685</v>
      </c>
      <c r="F10" s="148"/>
      <c r="G10" s="152"/>
    </row>
    <row r="11" spans="1:7" ht="12" customHeight="1">
      <c r="A11" s="26" t="s">
        <v>686</v>
      </c>
      <c r="B11" s="141" t="s">
        <v>687</v>
      </c>
      <c r="C11" s="118"/>
      <c r="D11" s="130"/>
      <c r="E11" s="130"/>
      <c r="F11" s="133"/>
      <c r="G11" s="152"/>
    </row>
    <row r="12" spans="1:7" ht="13.9" customHeight="1">
      <c r="A12" s="28"/>
      <c r="B12" s="141" t="s">
        <v>1333</v>
      </c>
      <c r="C12" s="118"/>
      <c r="D12" s="141" t="s">
        <v>743</v>
      </c>
      <c r="E12" s="141" t="s">
        <v>719</v>
      </c>
      <c r="F12" s="133"/>
      <c r="G12" s="152"/>
    </row>
    <row r="13" spans="1:7" ht="12" customHeight="1">
      <c r="A13" s="28"/>
      <c r="B13" s="130"/>
      <c r="C13" s="118"/>
      <c r="D13" s="130"/>
      <c r="E13" s="141" t="s">
        <v>702</v>
      </c>
      <c r="F13" s="148"/>
      <c r="G13" s="152"/>
    </row>
    <row r="14" spans="1:7" ht="12" customHeight="1">
      <c r="A14" s="26" t="s">
        <v>703</v>
      </c>
      <c r="B14" s="141" t="s">
        <v>704</v>
      </c>
      <c r="C14" s="118"/>
      <c r="D14" s="130"/>
      <c r="E14" s="130"/>
      <c r="F14" s="133"/>
      <c r="G14" s="152"/>
    </row>
    <row r="15" spans="1:7" ht="12" customHeight="1">
      <c r="A15" s="28"/>
      <c r="B15" s="130"/>
      <c r="C15" s="118"/>
      <c r="D15" s="130"/>
      <c r="E15" s="130"/>
      <c r="F15" s="133"/>
      <c r="G15" s="152"/>
    </row>
    <row r="16" spans="1:7" ht="12" customHeight="1">
      <c r="A16" s="28"/>
      <c r="B16" s="130"/>
      <c r="C16" s="118"/>
      <c r="D16" s="130"/>
      <c r="E16" s="141" t="s">
        <v>705</v>
      </c>
      <c r="F16" s="148"/>
      <c r="G16" s="152"/>
    </row>
    <row r="17" spans="1:7" ht="12" customHeight="1">
      <c r="A17" s="28"/>
      <c r="B17" s="130"/>
      <c r="C17" s="118"/>
      <c r="D17" s="130"/>
      <c r="E17" s="130"/>
      <c r="F17" s="133"/>
      <c r="G17" s="152"/>
    </row>
    <row r="18" spans="1:7" ht="12" customHeight="1">
      <c r="A18" s="26" t="s">
        <v>706</v>
      </c>
      <c r="B18" s="141" t="s">
        <v>707</v>
      </c>
      <c r="C18" s="147"/>
      <c r="D18" s="147"/>
      <c r="E18" s="147"/>
      <c r="F18" s="148"/>
      <c r="G18" s="152"/>
    </row>
    <row r="19" spans="1:7" ht="12" customHeight="1">
      <c r="A19" s="26" t="s">
        <v>708</v>
      </c>
      <c r="B19" s="136" t="s">
        <v>876</v>
      </c>
      <c r="C19" s="137"/>
      <c r="D19" s="137"/>
      <c r="E19" s="141" t="s">
        <v>710</v>
      </c>
      <c r="F19" s="148"/>
      <c r="G19" s="152"/>
    </row>
    <row r="20" spans="1:7" ht="12" customHeight="1">
      <c r="A20" s="26" t="s">
        <v>711</v>
      </c>
      <c r="B20" s="141" t="s">
        <v>712</v>
      </c>
      <c r="C20" s="147"/>
      <c r="D20" s="147"/>
      <c r="E20" s="147"/>
      <c r="F20" s="148"/>
      <c r="G20" s="15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2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7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5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7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2130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5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7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7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2:F12"/>
    <mergeCell ref="E15:F15"/>
    <mergeCell ref="B17:F17"/>
    <mergeCell ref="B18:D18"/>
    <mergeCell ref="E18:F18"/>
    <mergeCell ref="B40:D40"/>
    <mergeCell ref="E40:F40"/>
    <mergeCell ref="B41:F41"/>
    <mergeCell ref="B19:F19"/>
    <mergeCell ref="E29:F29"/>
    <mergeCell ref="E34:F34"/>
    <mergeCell ref="E37:F37"/>
    <mergeCell ref="B39:F39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1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14"/>
  <dimension ref="A1:G39"/>
  <sheetViews>
    <sheetView topLeftCell="A34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2347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2349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1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17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18"/>
  <dimension ref="A1:G39"/>
  <sheetViews>
    <sheetView workbookViewId="0">
      <selection activeCell="B52" sqref="B52:B5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19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0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7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1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2361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2"/>
  <dimension ref="A1:G42"/>
  <sheetViews>
    <sheetView topLeftCell="A19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5"/>
      <c r="B13" s="5"/>
      <c r="C13" s="5"/>
      <c r="D13" s="5"/>
      <c r="E13" s="1339"/>
      <c r="F13" s="1339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2363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5"/>
      <c r="B35" s="5"/>
      <c r="C35" s="5"/>
      <c r="D35" s="5"/>
      <c r="E35" s="1339"/>
      <c r="F35" s="1339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2" t="s">
        <v>705</v>
      </c>
      <c r="F38" s="1332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3" t="s">
        <v>708</v>
      </c>
      <c r="B41" s="1329" t="s">
        <v>876</v>
      </c>
      <c r="C41" s="1329"/>
      <c r="D41" s="1329"/>
      <c r="E41" s="1330" t="s">
        <v>710</v>
      </c>
      <c r="F41" s="1330"/>
      <c r="G41" s="5"/>
    </row>
    <row r="42" spans="1:7" ht="12" customHeight="1">
      <c r="A42" s="3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6">
    <mergeCell ref="E9:F9"/>
    <mergeCell ref="E12:F12"/>
    <mergeCell ref="E13:F13"/>
    <mergeCell ref="E16:F16"/>
    <mergeCell ref="B18:F18"/>
    <mergeCell ref="B19:D19"/>
    <mergeCell ref="E19:F19"/>
    <mergeCell ref="B20:F20"/>
    <mergeCell ref="E30:F30"/>
    <mergeCell ref="E34:F34"/>
    <mergeCell ref="B42:F42"/>
    <mergeCell ref="E35:F35"/>
    <mergeCell ref="E38:F38"/>
    <mergeCell ref="B40:F40"/>
    <mergeCell ref="B41:D41"/>
    <mergeCell ref="E41:F4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6"/>
  <dimension ref="A1:G42"/>
  <sheetViews>
    <sheetView workbookViewId="0">
      <selection sqref="A1:G42"/>
    </sheetView>
  </sheetViews>
  <sheetFormatPr defaultRowHeight="15"/>
  <cols>
    <col min="1" max="1" width="5.28515625" customWidth="1"/>
    <col min="2" max="2" width="25.28515625" customWidth="1"/>
    <col min="3" max="3" width="7" customWidth="1"/>
    <col min="4" max="4" width="10.85546875" customWidth="1"/>
    <col min="5" max="5" width="15.42578125" customWidth="1"/>
    <col min="6" max="6" width="13.85546875" customWidth="1"/>
    <col min="7" max="7" width="16" customWidth="1"/>
  </cols>
  <sheetData>
    <row r="1" spans="1:7">
      <c r="A1" s="64" t="s">
        <v>2131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09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829</v>
      </c>
      <c r="F5" s="109"/>
      <c r="G5" s="109"/>
    </row>
    <row r="6" spans="1:7" ht="23.45" customHeight="1">
      <c r="A6" s="109"/>
      <c r="B6" s="115" t="s">
        <v>974</v>
      </c>
      <c r="C6" s="149" t="s">
        <v>943</v>
      </c>
      <c r="D6" s="149" t="s">
        <v>944</v>
      </c>
      <c r="E6" s="141" t="s">
        <v>829</v>
      </c>
      <c r="F6" s="109"/>
      <c r="G6" s="109"/>
    </row>
    <row r="7" spans="1:7" ht="13.9" customHeight="1">
      <c r="A7" s="109"/>
      <c r="B7" s="110" t="s">
        <v>751</v>
      </c>
      <c r="C7" s="141" t="s">
        <v>681</v>
      </c>
      <c r="D7" s="141" t="s">
        <v>675</v>
      </c>
      <c r="E7" s="141" t="s">
        <v>975</v>
      </c>
      <c r="F7" s="109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976</v>
      </c>
      <c r="F8" s="109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09"/>
      <c r="G10" s="109"/>
    </row>
    <row r="11" spans="1:7" ht="13.7" customHeight="1">
      <c r="A11" s="109"/>
      <c r="B11" s="110" t="s">
        <v>969</v>
      </c>
      <c r="C11" s="131"/>
      <c r="D11" s="141" t="s">
        <v>853</v>
      </c>
      <c r="E11" s="141" t="s">
        <v>977</v>
      </c>
      <c r="F11" s="109"/>
      <c r="G11" s="109"/>
    </row>
    <row r="12" spans="1:7" ht="13.9" customHeight="1">
      <c r="A12" s="109"/>
      <c r="B12" s="110" t="s">
        <v>978</v>
      </c>
      <c r="C12" s="131"/>
      <c r="D12" s="141" t="s">
        <v>853</v>
      </c>
      <c r="E12" s="141" t="s">
        <v>979</v>
      </c>
      <c r="F12" s="109"/>
      <c r="G12" s="109"/>
    </row>
    <row r="13" spans="1:7" ht="13.7" customHeight="1">
      <c r="A13" s="109"/>
      <c r="B13" s="109"/>
      <c r="C13" s="131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1"/>
      <c r="D14" s="131"/>
      <c r="E14" s="130"/>
      <c r="F14" s="109"/>
      <c r="G14" s="109"/>
    </row>
    <row r="15" spans="1:7" ht="12" customHeight="1">
      <c r="A15" s="109"/>
      <c r="B15" s="109"/>
      <c r="C15" s="131"/>
      <c r="D15" s="131"/>
      <c r="E15" s="130"/>
      <c r="F15" s="109"/>
      <c r="G15" s="109"/>
    </row>
    <row r="16" spans="1:7" ht="18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09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331" t="s">
        <v>712</v>
      </c>
      <c r="C20" s="1331"/>
      <c r="D20" s="1331"/>
      <c r="E20" s="1331"/>
      <c r="F20" s="1331"/>
      <c r="G20" s="109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2132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7" t="s">
        <v>768</v>
      </c>
    </row>
    <row r="25" spans="1:7" ht="12" customHeight="1">
      <c r="A25" s="12" t="s">
        <v>671</v>
      </c>
      <c r="B25" s="141" t="s">
        <v>672</v>
      </c>
      <c r="C25" s="130"/>
      <c r="D25" s="130"/>
      <c r="E25" s="130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41" t="s">
        <v>829</v>
      </c>
      <c r="F26" s="130"/>
      <c r="G26" s="5"/>
    </row>
    <row r="27" spans="1:7" ht="23.45" customHeight="1">
      <c r="A27" s="5"/>
      <c r="B27" s="149" t="s">
        <v>980</v>
      </c>
      <c r="C27" s="149" t="s">
        <v>943</v>
      </c>
      <c r="D27" s="149" t="s">
        <v>944</v>
      </c>
      <c r="E27" s="141" t="s">
        <v>829</v>
      </c>
      <c r="F27" s="130"/>
      <c r="G27" s="5"/>
    </row>
    <row r="28" spans="1:7" ht="13.9" customHeight="1">
      <c r="A28" s="5"/>
      <c r="B28" s="141" t="s">
        <v>751</v>
      </c>
      <c r="C28" s="141" t="s">
        <v>681</v>
      </c>
      <c r="D28" s="141" t="s">
        <v>675</v>
      </c>
      <c r="E28" s="141" t="s">
        <v>695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41" t="s">
        <v>693</v>
      </c>
      <c r="F29" s="130"/>
      <c r="G29" s="5"/>
    </row>
    <row r="30" spans="1:7" ht="12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2" customHeight="1">
      <c r="A31" s="12" t="s">
        <v>686</v>
      </c>
      <c r="B31" s="141" t="s">
        <v>687</v>
      </c>
      <c r="C31" s="130"/>
      <c r="D31" s="130"/>
      <c r="E31" s="130"/>
      <c r="F31" s="130"/>
      <c r="G31" s="5"/>
    </row>
    <row r="32" spans="1:7" ht="13.7" customHeight="1">
      <c r="A32" s="5"/>
      <c r="B32" s="141" t="s">
        <v>981</v>
      </c>
      <c r="C32" s="130"/>
      <c r="D32" s="141" t="s">
        <v>853</v>
      </c>
      <c r="E32" s="141" t="s">
        <v>977</v>
      </c>
      <c r="F32" s="130"/>
      <c r="G32" s="5"/>
    </row>
    <row r="33" spans="1:7" ht="13.9" customHeight="1">
      <c r="A33" s="5"/>
      <c r="B33" s="141" t="s">
        <v>982</v>
      </c>
      <c r="C33" s="130"/>
      <c r="D33" s="141" t="s">
        <v>853</v>
      </c>
      <c r="E33" s="141" t="s">
        <v>880</v>
      </c>
      <c r="F33" s="130"/>
      <c r="G33" s="5"/>
    </row>
    <row r="34" spans="1:7" ht="13.7" customHeight="1">
      <c r="A34" s="5"/>
      <c r="B34" s="141" t="s">
        <v>972</v>
      </c>
      <c r="C34" s="130"/>
      <c r="D34" s="141" t="s">
        <v>973</v>
      </c>
      <c r="E34" s="141" t="s">
        <v>878</v>
      </c>
      <c r="F34" s="130"/>
      <c r="G34" s="5"/>
    </row>
    <row r="35" spans="1:7" ht="13.7" customHeight="1">
      <c r="A35" s="5"/>
      <c r="B35" s="130"/>
      <c r="C35" s="130"/>
      <c r="D35" s="130"/>
      <c r="E35" s="141" t="s">
        <v>702</v>
      </c>
      <c r="F35" s="147"/>
      <c r="G35" s="5"/>
    </row>
    <row r="36" spans="1:7" ht="12" customHeight="1">
      <c r="A36" s="12" t="s">
        <v>703</v>
      </c>
      <c r="B36" s="141" t="s">
        <v>704</v>
      </c>
      <c r="C36" s="130"/>
      <c r="D36" s="130"/>
      <c r="E36" s="130"/>
      <c r="F36" s="130"/>
      <c r="G36" s="5"/>
    </row>
    <row r="37" spans="1:7" ht="12" customHeight="1">
      <c r="A37" s="5"/>
      <c r="B37" s="130"/>
      <c r="C37" s="130"/>
      <c r="D37" s="130"/>
      <c r="E37" s="130"/>
      <c r="F37" s="130"/>
      <c r="G37" s="5"/>
    </row>
    <row r="38" spans="1:7" ht="12" customHeight="1">
      <c r="A38" s="5"/>
      <c r="B38" s="130"/>
      <c r="C38" s="130"/>
      <c r="D38" s="130"/>
      <c r="E38" s="141" t="s">
        <v>705</v>
      </c>
      <c r="F38" s="147"/>
      <c r="G38" s="5"/>
    </row>
    <row r="39" spans="1:7" ht="12" customHeight="1">
      <c r="A39" s="5"/>
      <c r="B39" s="130"/>
      <c r="C39" s="130"/>
      <c r="D39" s="130"/>
      <c r="E39" s="130"/>
      <c r="F39" s="130"/>
      <c r="G39" s="5"/>
    </row>
    <row r="40" spans="1:7" ht="12" customHeight="1">
      <c r="A40" s="12" t="s">
        <v>706</v>
      </c>
      <c r="B40" s="141" t="s">
        <v>707</v>
      </c>
      <c r="C40" s="147"/>
      <c r="D40" s="147"/>
      <c r="E40" s="147"/>
      <c r="F40" s="147"/>
      <c r="G40" s="5"/>
    </row>
    <row r="41" spans="1:7" ht="12" customHeight="1">
      <c r="A41" s="12" t="s">
        <v>708</v>
      </c>
      <c r="B41" s="136" t="s">
        <v>876</v>
      </c>
      <c r="C41" s="137"/>
      <c r="D41" s="137"/>
      <c r="E41" s="141" t="s">
        <v>710</v>
      </c>
      <c r="F41" s="147"/>
      <c r="G41" s="5"/>
    </row>
    <row r="42" spans="1:7" ht="12" customHeight="1">
      <c r="A42" s="12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1">
    <mergeCell ref="B20:F20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23">
    <tabColor rgb="FFFF0000"/>
  </sheetPr>
  <dimension ref="A1:G36"/>
  <sheetViews>
    <sheetView topLeftCell="A28" workbookViewId="0">
      <selection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2364</v>
      </c>
    </row>
    <row r="2" spans="1:7">
      <c r="A2" s="65" t="s">
        <v>2365</v>
      </c>
    </row>
    <row r="3" spans="1:7">
      <c r="A3" s="65"/>
    </row>
    <row r="4" spans="1:7" ht="34.9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3" t="s">
        <v>708</v>
      </c>
      <c r="B17" s="1329" t="s">
        <v>876</v>
      </c>
      <c r="C17" s="1329"/>
      <c r="D17" s="1329"/>
      <c r="E17" s="1330" t="s">
        <v>710</v>
      </c>
      <c r="F17" s="1330"/>
      <c r="G17" s="5"/>
    </row>
    <row r="18" spans="1:7" ht="12.2" customHeight="1">
      <c r="A18" s="3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.2" customHeight="1">
      <c r="A19" s="26"/>
      <c r="B19" s="30"/>
      <c r="C19" s="30"/>
      <c r="D19" s="30"/>
      <c r="E19" s="30"/>
      <c r="F19" s="30"/>
      <c r="G19" s="28"/>
    </row>
    <row r="20" spans="1:7" ht="12.2" customHeight="1">
      <c r="A20" s="64" t="s">
        <v>2366</v>
      </c>
      <c r="B20" s="30"/>
      <c r="C20" s="30"/>
      <c r="D20" s="30"/>
      <c r="E20" s="30"/>
      <c r="F20" s="30"/>
      <c r="G20" s="28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7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1332" t="s">
        <v>685</v>
      </c>
      <c r="F26" s="1332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1332" t="s">
        <v>702</v>
      </c>
      <c r="F29" s="1332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1332" t="s">
        <v>705</v>
      </c>
      <c r="F32" s="1332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1332" t="s">
        <v>707</v>
      </c>
      <c r="C34" s="1332"/>
      <c r="D34" s="1332"/>
      <c r="E34" s="1332"/>
      <c r="F34" s="1332"/>
      <c r="G34" s="5"/>
    </row>
    <row r="35" spans="1:7" ht="12" customHeight="1">
      <c r="A35" s="3" t="s">
        <v>708</v>
      </c>
      <c r="B35" s="1329" t="s">
        <v>876</v>
      </c>
      <c r="C35" s="1329"/>
      <c r="D35" s="1329"/>
      <c r="E35" s="1330" t="s">
        <v>710</v>
      </c>
      <c r="F35" s="1330"/>
      <c r="G35" s="5"/>
    </row>
    <row r="36" spans="1:7" ht="12" customHeight="1">
      <c r="A36" s="3" t="s">
        <v>711</v>
      </c>
      <c r="B36" s="1331" t="s">
        <v>712</v>
      </c>
      <c r="C36" s="1331"/>
      <c r="D36" s="1331"/>
      <c r="E36" s="1331"/>
      <c r="F36" s="1331"/>
      <c r="G36" s="5"/>
    </row>
  </sheetData>
  <mergeCells count="14">
    <mergeCell ref="E8:F8"/>
    <mergeCell ref="E11:F11"/>
    <mergeCell ref="E14:F14"/>
    <mergeCell ref="B16:F16"/>
    <mergeCell ref="B17:D17"/>
    <mergeCell ref="E17:F17"/>
    <mergeCell ref="B35:D35"/>
    <mergeCell ref="E35:F35"/>
    <mergeCell ref="B36:F36"/>
    <mergeCell ref="B18:F18"/>
    <mergeCell ref="E26:F26"/>
    <mergeCell ref="E29:F29"/>
    <mergeCell ref="E32:F32"/>
    <mergeCell ref="B34:F34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24"/>
  <dimension ref="A1:G43"/>
  <sheetViews>
    <sheetView workbookViewId="0">
      <selection sqref="A1:G43"/>
    </sheetView>
  </sheetViews>
  <sheetFormatPr defaultRowHeight="15"/>
  <cols>
    <col min="1" max="1" width="5.28515625" customWidth="1"/>
    <col min="2" max="2" width="9.85546875" customWidth="1"/>
    <col min="3" max="3" width="7" customWidth="1"/>
    <col min="4" max="4" width="9.28515625" customWidth="1"/>
    <col min="5" max="5" width="21.42578125" customWidth="1"/>
    <col min="6" max="6" width="13.140625" customWidth="1"/>
    <col min="7" max="7" width="17.5703125" customWidth="1"/>
  </cols>
  <sheetData>
    <row r="1" spans="1:7">
      <c r="A1" s="64" t="s">
        <v>2367</v>
      </c>
    </row>
    <row r="3" spans="1:7" ht="35.1" customHeight="1">
      <c r="A3" s="135" t="s">
        <v>762</v>
      </c>
      <c r="B3" s="135" t="s">
        <v>763</v>
      </c>
      <c r="C3" s="122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41" t="s">
        <v>671</v>
      </c>
      <c r="B4" s="141" t="s">
        <v>672</v>
      </c>
      <c r="C4" s="118"/>
      <c r="D4" s="130"/>
      <c r="E4" s="130"/>
      <c r="F4" s="131"/>
      <c r="G4" s="118"/>
    </row>
    <row r="5" spans="1:7" ht="13.7" customHeight="1">
      <c r="A5" s="130"/>
      <c r="B5" s="141" t="s">
        <v>673</v>
      </c>
      <c r="C5" s="119" t="s">
        <v>674</v>
      </c>
      <c r="D5" s="141" t="s">
        <v>675</v>
      </c>
      <c r="E5" s="141" t="s">
        <v>752</v>
      </c>
      <c r="F5" s="131"/>
      <c r="G5" s="118"/>
    </row>
    <row r="6" spans="1:7" ht="13.9" customHeight="1">
      <c r="A6" s="130"/>
      <c r="B6" s="141" t="s">
        <v>683</v>
      </c>
      <c r="C6" s="119" t="s">
        <v>684</v>
      </c>
      <c r="D6" s="141" t="s">
        <v>675</v>
      </c>
      <c r="E6" s="141" t="s">
        <v>868</v>
      </c>
      <c r="F6" s="131"/>
      <c r="G6" s="118"/>
    </row>
    <row r="7" spans="1:7" ht="12" customHeight="1">
      <c r="A7" s="130"/>
      <c r="B7" s="130"/>
      <c r="C7" s="118"/>
      <c r="D7" s="130"/>
      <c r="E7" s="141" t="s">
        <v>685</v>
      </c>
      <c r="F7" s="142"/>
      <c r="G7" s="118"/>
    </row>
    <row r="8" spans="1:7" ht="12" customHeight="1">
      <c r="A8" s="141" t="s">
        <v>686</v>
      </c>
      <c r="B8" s="141" t="s">
        <v>687</v>
      </c>
      <c r="C8" s="118"/>
      <c r="D8" s="130"/>
      <c r="E8" s="130"/>
      <c r="F8" s="131"/>
      <c r="G8" s="118"/>
    </row>
    <row r="9" spans="1:7" ht="13.7" customHeight="1">
      <c r="A9" s="130"/>
      <c r="B9" s="141" t="s">
        <v>1367</v>
      </c>
      <c r="C9" s="118"/>
      <c r="D9" s="141" t="s">
        <v>690</v>
      </c>
      <c r="E9" s="141" t="s">
        <v>801</v>
      </c>
      <c r="F9" s="131"/>
      <c r="G9" s="118"/>
    </row>
    <row r="10" spans="1:7" ht="12" customHeight="1">
      <c r="A10" s="130"/>
      <c r="B10" s="130"/>
      <c r="C10" s="118"/>
      <c r="D10" s="130"/>
      <c r="E10" s="141" t="s">
        <v>702</v>
      </c>
      <c r="F10" s="142"/>
      <c r="G10" s="118"/>
    </row>
    <row r="11" spans="1:7" ht="12" customHeight="1">
      <c r="A11" s="141" t="s">
        <v>703</v>
      </c>
      <c r="B11" s="141" t="s">
        <v>704</v>
      </c>
      <c r="C11" s="118"/>
      <c r="D11" s="130"/>
      <c r="E11" s="130"/>
      <c r="F11" s="131"/>
      <c r="G11" s="118"/>
    </row>
    <row r="12" spans="1:7" ht="12" customHeight="1">
      <c r="A12" s="130"/>
      <c r="B12" s="130"/>
      <c r="C12" s="118"/>
      <c r="D12" s="130"/>
      <c r="E12" s="130"/>
      <c r="F12" s="131"/>
      <c r="G12" s="118"/>
    </row>
    <row r="13" spans="1:7" ht="12" customHeight="1">
      <c r="A13" s="130"/>
      <c r="B13" s="130"/>
      <c r="C13" s="118"/>
      <c r="D13" s="130"/>
      <c r="E13" s="141" t="s">
        <v>705</v>
      </c>
      <c r="F13" s="142"/>
      <c r="G13" s="118"/>
    </row>
    <row r="14" spans="1:7" ht="12" customHeight="1">
      <c r="A14" s="130"/>
      <c r="B14" s="130"/>
      <c r="C14" s="118"/>
      <c r="D14" s="130"/>
      <c r="E14" s="130"/>
      <c r="F14" s="131"/>
      <c r="G14" s="118"/>
    </row>
    <row r="15" spans="1:7" ht="12" customHeight="1">
      <c r="A15" s="141" t="s">
        <v>706</v>
      </c>
      <c r="B15" s="141" t="s">
        <v>707</v>
      </c>
      <c r="C15" s="147"/>
      <c r="D15" s="147"/>
      <c r="E15" s="147"/>
      <c r="F15" s="142"/>
      <c r="G15" s="118"/>
    </row>
    <row r="16" spans="1:7" ht="12" customHeight="1">
      <c r="A16" s="141" t="s">
        <v>708</v>
      </c>
      <c r="B16" s="136" t="s">
        <v>876</v>
      </c>
      <c r="C16" s="137"/>
      <c r="D16" s="138"/>
      <c r="E16" s="141" t="s">
        <v>710</v>
      </c>
      <c r="F16" s="142"/>
      <c r="G16" s="118"/>
    </row>
    <row r="17" spans="1:7" ht="12" customHeight="1">
      <c r="A17" s="141" t="s">
        <v>711</v>
      </c>
      <c r="B17" s="141" t="s">
        <v>712</v>
      </c>
      <c r="C17" s="147"/>
      <c r="D17" s="147"/>
      <c r="E17" s="147"/>
      <c r="F17" s="142"/>
      <c r="G17" s="118"/>
    </row>
    <row r="18" spans="1:7" ht="12" customHeight="1">
      <c r="A18" s="119"/>
      <c r="B18" s="30"/>
      <c r="C18" s="30"/>
      <c r="D18" s="30"/>
      <c r="E18" s="30"/>
      <c r="F18" s="30"/>
      <c r="G18" s="28"/>
    </row>
    <row r="19" spans="1:7" ht="12" customHeight="1">
      <c r="A19" s="64" t="s">
        <v>2368</v>
      </c>
      <c r="B19" s="26"/>
      <c r="C19" s="30"/>
      <c r="D19" s="30"/>
      <c r="E19" s="30"/>
      <c r="F19" s="30"/>
      <c r="G19" s="28"/>
    </row>
    <row r="20" spans="1:7" ht="12" customHeight="1">
      <c r="A20" s="26"/>
      <c r="B20" s="26"/>
      <c r="C20" s="30"/>
      <c r="D20" s="30"/>
      <c r="E20" s="30"/>
      <c r="F20" s="30"/>
      <c r="G20" s="28"/>
    </row>
    <row r="21" spans="1:7" ht="34.9" customHeight="1">
      <c r="A21" s="6" t="s">
        <v>762</v>
      </c>
      <c r="B21" s="135" t="s">
        <v>763</v>
      </c>
      <c r="C21" s="135" t="s">
        <v>764</v>
      </c>
      <c r="D21" s="135" t="s">
        <v>765</v>
      </c>
      <c r="E21" s="135" t="s">
        <v>766</v>
      </c>
      <c r="F21" s="135" t="s">
        <v>767</v>
      </c>
      <c r="G21" s="7" t="s">
        <v>768</v>
      </c>
    </row>
    <row r="22" spans="1:7" ht="12" customHeight="1">
      <c r="A22" s="3" t="s">
        <v>671</v>
      </c>
      <c r="B22" s="141" t="s">
        <v>672</v>
      </c>
      <c r="C22" s="130"/>
      <c r="D22" s="130"/>
      <c r="E22" s="130"/>
      <c r="F22" s="130"/>
      <c r="G22" s="5"/>
    </row>
    <row r="23" spans="1:7" ht="13.9" customHeight="1">
      <c r="A23" s="5"/>
      <c r="B23" s="141" t="s">
        <v>673</v>
      </c>
      <c r="C23" s="141" t="s">
        <v>674</v>
      </c>
      <c r="D23" s="141" t="s">
        <v>675</v>
      </c>
      <c r="E23" s="141" t="s">
        <v>1256</v>
      </c>
      <c r="F23" s="130"/>
      <c r="G23" s="5"/>
    </row>
    <row r="24" spans="1:7" ht="13.7" customHeight="1">
      <c r="A24" s="5"/>
      <c r="B24" s="141" t="s">
        <v>1368</v>
      </c>
      <c r="C24" s="141" t="s">
        <v>678</v>
      </c>
      <c r="D24" s="141" t="s">
        <v>675</v>
      </c>
      <c r="E24" s="141" t="s">
        <v>695</v>
      </c>
      <c r="F24" s="130"/>
      <c r="G24" s="5"/>
    </row>
    <row r="25" spans="1:7" ht="13.9" customHeight="1">
      <c r="A25" s="5"/>
      <c r="B25" s="141" t="s">
        <v>751</v>
      </c>
      <c r="C25" s="141" t="s">
        <v>681</v>
      </c>
      <c r="D25" s="141" t="s">
        <v>675</v>
      </c>
      <c r="E25" s="141" t="s">
        <v>891</v>
      </c>
      <c r="F25" s="130"/>
      <c r="G25" s="5"/>
    </row>
    <row r="26" spans="1:7" ht="13.7" customHeight="1">
      <c r="A26" s="5"/>
      <c r="B26" s="141" t="s">
        <v>683</v>
      </c>
      <c r="C26" s="141" t="s">
        <v>684</v>
      </c>
      <c r="D26" s="141" t="s">
        <v>675</v>
      </c>
      <c r="E26" s="141" t="s">
        <v>852</v>
      </c>
      <c r="F26" s="130"/>
      <c r="G26" s="5"/>
    </row>
    <row r="27" spans="1:7" ht="12" customHeight="1">
      <c r="A27" s="5"/>
      <c r="B27" s="130"/>
      <c r="C27" s="130"/>
      <c r="D27" s="130"/>
      <c r="E27" s="141" t="s">
        <v>685</v>
      </c>
      <c r="F27" s="147"/>
      <c r="G27" s="5"/>
    </row>
    <row r="28" spans="1:7" ht="12" customHeight="1">
      <c r="A28" s="3" t="s">
        <v>686</v>
      </c>
      <c r="B28" s="141" t="s">
        <v>687</v>
      </c>
      <c r="C28" s="132"/>
      <c r="D28" s="130"/>
      <c r="E28" s="130"/>
      <c r="F28" s="130"/>
      <c r="G28" s="5"/>
    </row>
    <row r="29" spans="1:7" ht="13.7" customHeight="1">
      <c r="A29" s="5"/>
      <c r="B29" s="141" t="s">
        <v>1369</v>
      </c>
      <c r="C29" s="132"/>
      <c r="D29" s="141" t="s">
        <v>690</v>
      </c>
      <c r="E29" s="141" t="s">
        <v>758</v>
      </c>
      <c r="F29" s="130"/>
      <c r="G29" s="5"/>
    </row>
    <row r="30" spans="1:7" ht="13.9" customHeight="1">
      <c r="A30" s="5"/>
      <c r="B30" s="141" t="s">
        <v>1370</v>
      </c>
      <c r="C30" s="132"/>
      <c r="D30" s="141" t="s">
        <v>690</v>
      </c>
      <c r="E30" s="141" t="s">
        <v>752</v>
      </c>
      <c r="F30" s="130"/>
      <c r="G30" s="5"/>
    </row>
    <row r="31" spans="1:7" ht="13.7" customHeight="1">
      <c r="A31" s="5"/>
      <c r="B31" s="141" t="s">
        <v>1371</v>
      </c>
      <c r="C31" s="132"/>
      <c r="D31" s="141" t="s">
        <v>690</v>
      </c>
      <c r="E31" s="141" t="s">
        <v>1154</v>
      </c>
      <c r="F31" s="130"/>
      <c r="G31" s="5"/>
    </row>
    <row r="32" spans="1:7" ht="13.7" customHeight="1">
      <c r="A32" s="5"/>
      <c r="B32" s="141" t="s">
        <v>1372</v>
      </c>
      <c r="C32" s="132"/>
      <c r="D32" s="141" t="s">
        <v>690</v>
      </c>
      <c r="E32" s="141" t="s">
        <v>1113</v>
      </c>
      <c r="F32" s="130"/>
      <c r="G32" s="5"/>
    </row>
    <row r="33" spans="1:7" ht="13.9" customHeight="1">
      <c r="A33" s="5"/>
      <c r="B33" s="156" t="s">
        <v>1373</v>
      </c>
      <c r="C33" s="132"/>
      <c r="D33" s="141" t="s">
        <v>743</v>
      </c>
      <c r="E33" s="141" t="s">
        <v>724</v>
      </c>
      <c r="F33" s="130"/>
      <c r="G33" s="5"/>
    </row>
    <row r="34" spans="1:7" ht="13.7" customHeight="1">
      <c r="A34" s="5"/>
      <c r="B34" s="156" t="s">
        <v>1374</v>
      </c>
      <c r="C34" s="132"/>
      <c r="D34" s="141" t="s">
        <v>690</v>
      </c>
      <c r="E34" s="141" t="s">
        <v>761</v>
      </c>
      <c r="F34" s="130"/>
      <c r="G34" s="5"/>
    </row>
    <row r="35" spans="1:7" ht="13.7" customHeight="1">
      <c r="A35" s="5"/>
      <c r="B35" s="156" t="s">
        <v>1375</v>
      </c>
      <c r="C35" s="132"/>
      <c r="D35" s="141" t="s">
        <v>715</v>
      </c>
      <c r="E35" s="141" t="s">
        <v>1347</v>
      </c>
      <c r="F35" s="130"/>
      <c r="G35" s="5"/>
    </row>
    <row r="36" spans="1:7" ht="12" customHeight="1">
      <c r="A36" s="5"/>
      <c r="B36" s="130"/>
      <c r="C36" s="132"/>
      <c r="D36" s="130"/>
      <c r="E36" s="141" t="s">
        <v>702</v>
      </c>
      <c r="F36" s="147"/>
      <c r="G36" s="5"/>
    </row>
    <row r="37" spans="1:7" ht="12" customHeight="1">
      <c r="A37" s="3" t="s">
        <v>703</v>
      </c>
      <c r="B37" s="141" t="s">
        <v>704</v>
      </c>
      <c r="C37" s="132"/>
      <c r="D37" s="130"/>
      <c r="E37" s="130"/>
      <c r="F37" s="130"/>
      <c r="G37" s="5"/>
    </row>
    <row r="38" spans="1:7" ht="12" customHeight="1">
      <c r="A38" s="5"/>
      <c r="B38" s="130"/>
      <c r="C38" s="132"/>
      <c r="D38" s="130"/>
      <c r="E38" s="130"/>
      <c r="F38" s="130"/>
      <c r="G38" s="5"/>
    </row>
    <row r="39" spans="1:7" ht="12" customHeight="1">
      <c r="A39" s="5"/>
      <c r="B39" s="130"/>
      <c r="C39" s="118"/>
      <c r="D39" s="118"/>
      <c r="E39" s="141" t="s">
        <v>705</v>
      </c>
      <c r="F39" s="142"/>
      <c r="G39" s="5"/>
    </row>
    <row r="40" spans="1:7" ht="12" customHeight="1">
      <c r="A40" s="5"/>
      <c r="B40" s="130"/>
      <c r="C40" s="118"/>
      <c r="D40" s="118"/>
      <c r="E40" s="118"/>
      <c r="F40" s="118"/>
      <c r="G40" s="5"/>
    </row>
    <row r="41" spans="1:7" ht="12" customHeight="1">
      <c r="A41" s="3" t="s">
        <v>706</v>
      </c>
      <c r="B41" s="141" t="s">
        <v>707</v>
      </c>
      <c r="C41" s="147"/>
      <c r="D41" s="147"/>
      <c r="E41" s="147"/>
      <c r="F41" s="142"/>
      <c r="G41" s="5"/>
    </row>
    <row r="42" spans="1:7" ht="12" customHeight="1">
      <c r="A42" s="3" t="s">
        <v>708</v>
      </c>
      <c r="B42" s="136" t="s">
        <v>876</v>
      </c>
      <c r="C42" s="137"/>
      <c r="D42" s="138"/>
      <c r="E42" s="141" t="s">
        <v>710</v>
      </c>
      <c r="F42" s="142"/>
      <c r="G42" s="5"/>
    </row>
    <row r="43" spans="1:7" ht="12.2" customHeight="1">
      <c r="A43" s="3" t="s">
        <v>711</v>
      </c>
      <c r="B43" s="141" t="s">
        <v>712</v>
      </c>
      <c r="C43" s="147"/>
      <c r="D43" s="147"/>
      <c r="E43" s="147"/>
      <c r="F43" s="142"/>
      <c r="G43" s="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25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.5703125" customWidth="1"/>
    <col min="3" max="3" width="7" customWidth="1"/>
    <col min="4" max="4" width="4" customWidth="1"/>
    <col min="5" max="5" width="23.85546875" customWidth="1"/>
    <col min="6" max="6" width="13.140625" customWidth="1"/>
    <col min="7" max="7" width="16" customWidth="1"/>
  </cols>
  <sheetData>
    <row r="1" spans="1:7">
      <c r="A1" s="71" t="s">
        <v>2369</v>
      </c>
    </row>
    <row r="3" spans="1:7" ht="34.9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1256</v>
      </c>
      <c r="F5" s="130"/>
      <c r="G5" s="118"/>
    </row>
    <row r="6" spans="1:7" ht="13.7" customHeight="1">
      <c r="A6" s="118"/>
      <c r="B6" s="141" t="s">
        <v>1368</v>
      </c>
      <c r="C6" s="141" t="s">
        <v>678</v>
      </c>
      <c r="D6" s="141" t="s">
        <v>675</v>
      </c>
      <c r="E6" s="141" t="s">
        <v>847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783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852</v>
      </c>
      <c r="F8" s="130"/>
      <c r="G8" s="118"/>
    </row>
    <row r="9" spans="1:7" ht="12" customHeight="1">
      <c r="A9" s="118"/>
      <c r="B9" s="130"/>
      <c r="C9" s="150"/>
      <c r="D9" s="130"/>
      <c r="E9" s="141" t="s">
        <v>685</v>
      </c>
      <c r="F9" s="147"/>
      <c r="G9" s="118"/>
    </row>
    <row r="10" spans="1:7" ht="12" customHeight="1">
      <c r="A10" s="119" t="s">
        <v>686</v>
      </c>
      <c r="B10" s="141" t="s">
        <v>687</v>
      </c>
      <c r="C10" s="150"/>
      <c r="D10" s="130"/>
      <c r="E10" s="130"/>
      <c r="F10" s="130"/>
      <c r="G10" s="118"/>
    </row>
    <row r="11" spans="1:7" ht="13.7" customHeight="1">
      <c r="A11" s="118"/>
      <c r="B11" s="141" t="s">
        <v>1369</v>
      </c>
      <c r="C11" s="150"/>
      <c r="D11" s="141" t="s">
        <v>690</v>
      </c>
      <c r="E11" s="141" t="s">
        <v>758</v>
      </c>
      <c r="F11" s="130"/>
      <c r="G11" s="118"/>
    </row>
    <row r="12" spans="1:7" ht="13.7" customHeight="1">
      <c r="A12" s="118"/>
      <c r="B12" s="141" t="s">
        <v>1370</v>
      </c>
      <c r="C12" s="150"/>
      <c r="D12" s="141" t="s">
        <v>690</v>
      </c>
      <c r="E12" s="141" t="s">
        <v>752</v>
      </c>
      <c r="F12" s="130"/>
      <c r="G12" s="118"/>
    </row>
    <row r="13" spans="1:7" ht="13.9" customHeight="1">
      <c r="A13" s="118"/>
      <c r="B13" s="141" t="s">
        <v>1371</v>
      </c>
      <c r="C13" s="150"/>
      <c r="D13" s="141" t="s">
        <v>690</v>
      </c>
      <c r="E13" s="141" t="s">
        <v>1154</v>
      </c>
      <c r="F13" s="130"/>
      <c r="G13" s="118"/>
    </row>
    <row r="14" spans="1:7" ht="13.7" customHeight="1">
      <c r="A14" s="118"/>
      <c r="B14" s="141" t="s">
        <v>1372</v>
      </c>
      <c r="C14" s="150"/>
      <c r="D14" s="141" t="s">
        <v>690</v>
      </c>
      <c r="E14" s="141" t="s">
        <v>1133</v>
      </c>
      <c r="F14" s="130"/>
      <c r="G14" s="118"/>
    </row>
    <row r="15" spans="1:7" ht="13.7" customHeight="1">
      <c r="A15" s="118"/>
      <c r="B15" s="156" t="s">
        <v>1373</v>
      </c>
      <c r="C15" s="150"/>
      <c r="D15" s="141" t="s">
        <v>743</v>
      </c>
      <c r="E15" s="141" t="s">
        <v>724</v>
      </c>
      <c r="F15" s="130"/>
      <c r="G15" s="118"/>
    </row>
    <row r="16" spans="1:7" ht="13.9" customHeight="1">
      <c r="A16" s="118"/>
      <c r="B16" s="156" t="s">
        <v>1374</v>
      </c>
      <c r="C16" s="150"/>
      <c r="D16" s="141" t="s">
        <v>690</v>
      </c>
      <c r="E16" s="141" t="s">
        <v>761</v>
      </c>
      <c r="F16" s="130"/>
      <c r="G16" s="118"/>
    </row>
    <row r="17" spans="1:7" ht="13.7" customHeight="1">
      <c r="A17" s="118"/>
      <c r="B17" s="156" t="s">
        <v>1375</v>
      </c>
      <c r="C17" s="150"/>
      <c r="D17" s="141" t="s">
        <v>715</v>
      </c>
      <c r="E17" s="141" t="s">
        <v>1347</v>
      </c>
      <c r="F17" s="133"/>
      <c r="G17" s="118"/>
    </row>
    <row r="18" spans="1:7" ht="12" customHeight="1">
      <c r="A18" s="118"/>
      <c r="B18" s="130"/>
      <c r="C18" s="150"/>
      <c r="D18" s="130"/>
      <c r="E18" s="141" t="s">
        <v>702</v>
      </c>
      <c r="F18" s="148"/>
      <c r="G18" s="118"/>
    </row>
    <row r="19" spans="1:7" ht="12" customHeight="1">
      <c r="A19" s="119" t="s">
        <v>703</v>
      </c>
      <c r="B19" s="141" t="s">
        <v>704</v>
      </c>
      <c r="C19" s="150"/>
      <c r="D19" s="130"/>
      <c r="E19" s="130"/>
      <c r="F19" s="133"/>
      <c r="G19" s="118"/>
    </row>
    <row r="20" spans="1:7" ht="12" customHeight="1">
      <c r="A20" s="118"/>
      <c r="B20" s="130"/>
      <c r="C20" s="150"/>
      <c r="D20" s="130"/>
      <c r="E20" s="130"/>
      <c r="F20" s="133"/>
      <c r="G20" s="118"/>
    </row>
    <row r="21" spans="1:7" ht="12" customHeight="1">
      <c r="A21" s="118"/>
      <c r="B21" s="130"/>
      <c r="C21" s="150"/>
      <c r="D21" s="130"/>
      <c r="E21" s="141" t="s">
        <v>705</v>
      </c>
      <c r="F21" s="148"/>
      <c r="G21" s="118"/>
    </row>
    <row r="22" spans="1:7" ht="12" customHeight="1">
      <c r="A22" s="118"/>
      <c r="B22" s="130"/>
      <c r="C22" s="150"/>
      <c r="D22" s="130"/>
      <c r="E22" s="130"/>
      <c r="F22" s="133"/>
      <c r="G22" s="118"/>
    </row>
    <row r="23" spans="1:7" ht="12" customHeight="1">
      <c r="A23" s="119" t="s">
        <v>706</v>
      </c>
      <c r="B23" s="141" t="s">
        <v>707</v>
      </c>
      <c r="C23" s="151"/>
      <c r="D23" s="147"/>
      <c r="E23" s="147"/>
      <c r="F23" s="148"/>
      <c r="G23" s="118"/>
    </row>
    <row r="24" spans="1:7" ht="12" customHeight="1">
      <c r="A24" s="119" t="s">
        <v>708</v>
      </c>
      <c r="B24" s="136" t="s">
        <v>876</v>
      </c>
      <c r="C24" s="137"/>
      <c r="D24" s="137"/>
      <c r="E24" s="141" t="s">
        <v>710</v>
      </c>
      <c r="F24" s="148"/>
      <c r="G24" s="118"/>
    </row>
    <row r="25" spans="1:7" ht="12" customHeight="1">
      <c r="A25" s="119" t="s">
        <v>711</v>
      </c>
      <c r="B25" s="141" t="s">
        <v>712</v>
      </c>
      <c r="C25" s="147"/>
      <c r="D25" s="147"/>
      <c r="E25" s="147"/>
      <c r="F25" s="148"/>
      <c r="G25" s="118"/>
    </row>
    <row r="26" spans="1:7" ht="12" customHeight="1">
      <c r="A26" s="143"/>
      <c r="B26" s="143"/>
      <c r="C26" s="143"/>
      <c r="D26" s="143"/>
      <c r="E26" s="143"/>
      <c r="F26" s="143"/>
      <c r="G26" s="144"/>
    </row>
    <row r="27" spans="1:7" ht="12" customHeight="1">
      <c r="A27" s="158" t="s">
        <v>2370</v>
      </c>
      <c r="B27" s="68"/>
      <c r="C27" s="68"/>
      <c r="D27" s="68"/>
      <c r="E27" s="68"/>
      <c r="F27" s="68"/>
      <c r="G27" s="66"/>
    </row>
    <row r="28" spans="1:7" ht="12" customHeight="1">
      <c r="A28" s="145"/>
      <c r="B28" s="145"/>
      <c r="C28" s="145"/>
      <c r="D28" s="145"/>
      <c r="E28" s="145"/>
      <c r="F28" s="145"/>
      <c r="G28" s="140"/>
    </row>
    <row r="29" spans="1:7" ht="35.1" customHeight="1">
      <c r="A29" s="135" t="s">
        <v>762</v>
      </c>
      <c r="B29" s="135" t="s">
        <v>763</v>
      </c>
      <c r="C29" s="122" t="s">
        <v>764</v>
      </c>
      <c r="D29" s="135" t="s">
        <v>765</v>
      </c>
      <c r="E29" s="135" t="s">
        <v>766</v>
      </c>
      <c r="F29" s="153" t="s">
        <v>767</v>
      </c>
      <c r="G29" s="123" t="s">
        <v>768</v>
      </c>
    </row>
    <row r="30" spans="1:7" ht="12" customHeight="1">
      <c r="A30" s="141" t="s">
        <v>671</v>
      </c>
      <c r="B30" s="141" t="s">
        <v>672</v>
      </c>
      <c r="C30" s="118"/>
      <c r="D30" s="130"/>
      <c r="E30" s="130"/>
      <c r="F30" s="133"/>
      <c r="G30" s="131"/>
    </row>
    <row r="31" spans="1:7" ht="13.7" customHeight="1">
      <c r="A31" s="130"/>
      <c r="B31" s="141" t="s">
        <v>673</v>
      </c>
      <c r="C31" s="119" t="s">
        <v>674</v>
      </c>
      <c r="D31" s="141" t="s">
        <v>675</v>
      </c>
      <c r="E31" s="141" t="s">
        <v>1258</v>
      </c>
      <c r="F31" s="133"/>
      <c r="G31" s="131"/>
    </row>
    <row r="32" spans="1:7" ht="13.9" customHeight="1">
      <c r="A32" s="130"/>
      <c r="B32" s="141" t="s">
        <v>1368</v>
      </c>
      <c r="C32" s="119" t="s">
        <v>678</v>
      </c>
      <c r="D32" s="141" t="s">
        <v>675</v>
      </c>
      <c r="E32" s="141" t="s">
        <v>1376</v>
      </c>
      <c r="F32" s="133"/>
      <c r="G32" s="131"/>
    </row>
    <row r="33" spans="1:7" ht="13.7" customHeight="1">
      <c r="A33" s="130"/>
      <c r="B33" s="141" t="s">
        <v>751</v>
      </c>
      <c r="C33" s="119" t="s">
        <v>681</v>
      </c>
      <c r="D33" s="141" t="s">
        <v>675</v>
      </c>
      <c r="E33" s="141" t="s">
        <v>1376</v>
      </c>
      <c r="F33" s="133"/>
      <c r="G33" s="131"/>
    </row>
    <row r="34" spans="1:7" ht="13.7" customHeight="1">
      <c r="A34" s="130"/>
      <c r="B34" s="141" t="s">
        <v>683</v>
      </c>
      <c r="C34" s="119" t="s">
        <v>684</v>
      </c>
      <c r="D34" s="141" t="s">
        <v>675</v>
      </c>
      <c r="E34" s="141" t="s">
        <v>852</v>
      </c>
      <c r="F34" s="133"/>
      <c r="G34" s="131"/>
    </row>
    <row r="35" spans="1:7" ht="12" customHeight="1">
      <c r="A35" s="130"/>
      <c r="B35" s="130"/>
      <c r="C35" s="118"/>
      <c r="D35" s="130"/>
      <c r="E35" s="141" t="s">
        <v>685</v>
      </c>
      <c r="F35" s="148"/>
      <c r="G35" s="131"/>
    </row>
    <row r="36" spans="1:7" ht="12" customHeight="1">
      <c r="A36" s="141" t="s">
        <v>686</v>
      </c>
      <c r="B36" s="141" t="s">
        <v>687</v>
      </c>
      <c r="C36" s="118"/>
      <c r="D36" s="130"/>
      <c r="E36" s="130"/>
      <c r="F36" s="133"/>
      <c r="G36" s="131"/>
    </row>
    <row r="37" spans="1:7" ht="13.9" customHeight="1">
      <c r="A37" s="130"/>
      <c r="B37" s="141" t="s">
        <v>1377</v>
      </c>
      <c r="C37" s="118"/>
      <c r="D37" s="141" t="s">
        <v>896</v>
      </c>
      <c r="E37" s="141" t="s">
        <v>1129</v>
      </c>
      <c r="F37" s="133"/>
      <c r="G37" s="131"/>
    </row>
    <row r="38" spans="1:7" ht="12" customHeight="1">
      <c r="A38" s="130"/>
      <c r="B38" s="130"/>
      <c r="C38" s="118"/>
      <c r="D38" s="130"/>
      <c r="E38" s="141" t="s">
        <v>702</v>
      </c>
      <c r="F38" s="148"/>
      <c r="G38" s="131"/>
    </row>
    <row r="39" spans="1:7" ht="12" customHeight="1">
      <c r="A39" s="141" t="s">
        <v>703</v>
      </c>
      <c r="B39" s="141" t="s">
        <v>704</v>
      </c>
      <c r="C39" s="118"/>
      <c r="D39" s="130"/>
      <c r="E39" s="130"/>
      <c r="F39" s="133"/>
      <c r="G39" s="131"/>
    </row>
    <row r="40" spans="1:7" ht="12" customHeight="1">
      <c r="A40" s="130"/>
      <c r="B40" s="130"/>
      <c r="C40" s="118"/>
      <c r="D40" s="130"/>
      <c r="E40" s="130"/>
      <c r="F40" s="133"/>
      <c r="G40" s="131"/>
    </row>
    <row r="41" spans="1:7" ht="12" customHeight="1">
      <c r="A41" s="130"/>
      <c r="B41" s="130"/>
      <c r="C41" s="118"/>
      <c r="D41" s="130"/>
      <c r="E41" s="141" t="s">
        <v>705</v>
      </c>
      <c r="F41" s="148"/>
      <c r="G41" s="131"/>
    </row>
    <row r="42" spans="1:7" ht="12" customHeight="1">
      <c r="A42" s="130"/>
      <c r="B42" s="130"/>
      <c r="C42" s="118"/>
      <c r="D42" s="130"/>
      <c r="E42" s="130"/>
      <c r="F42" s="133"/>
      <c r="G42" s="131"/>
    </row>
    <row r="43" spans="1:7" ht="12" customHeight="1">
      <c r="A43" s="141" t="s">
        <v>706</v>
      </c>
      <c r="B43" s="141" t="s">
        <v>707</v>
      </c>
      <c r="C43" s="147"/>
      <c r="D43" s="147"/>
      <c r="E43" s="147"/>
      <c r="F43" s="148"/>
      <c r="G43" s="131"/>
    </row>
    <row r="44" spans="1:7" ht="12" customHeight="1">
      <c r="A44" s="141" t="s">
        <v>708</v>
      </c>
      <c r="B44" s="136" t="s">
        <v>876</v>
      </c>
      <c r="C44" s="137"/>
      <c r="D44" s="137"/>
      <c r="E44" s="141" t="s">
        <v>710</v>
      </c>
      <c r="F44" s="148"/>
      <c r="G44" s="131"/>
    </row>
    <row r="45" spans="1:7" ht="12" customHeight="1">
      <c r="A45" s="141" t="s">
        <v>711</v>
      </c>
      <c r="B45" s="141" t="s">
        <v>712</v>
      </c>
      <c r="C45" s="147"/>
      <c r="D45" s="147"/>
      <c r="E45" s="147"/>
      <c r="F45" s="148"/>
      <c r="G45" s="131"/>
    </row>
  </sheetData>
  <pageMargins left="0.7" right="0.7" top="0.75" bottom="0.75" header="0.3" footer="0.3"/>
  <pageSetup orientation="portrait" horizontalDpi="360" verticalDpi="360"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26"/>
  <dimension ref="A1:G39"/>
  <sheetViews>
    <sheetView topLeftCell="A22"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2372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4:F14"/>
    <mergeCell ref="E17:F17"/>
    <mergeCell ref="B19:F19"/>
    <mergeCell ref="B20:D20"/>
    <mergeCell ref="E20:F20"/>
    <mergeCell ref="B38:D38"/>
    <mergeCell ref="E38:F38"/>
    <mergeCell ref="B39:F39"/>
    <mergeCell ref="B21:F21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71" t="s">
        <v>2374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7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7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28"/>
  <dimension ref="A1:G40"/>
  <sheetViews>
    <sheetView topLeftCell="A13"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7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2376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2" t="s">
        <v>705</v>
      </c>
      <c r="F36" s="1332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2" customHeight="1">
      <c r="A39" s="3" t="s">
        <v>708</v>
      </c>
      <c r="B39" s="1329" t="s">
        <v>876</v>
      </c>
      <c r="C39" s="1329"/>
      <c r="D39" s="1329"/>
      <c r="E39" s="1330" t="s">
        <v>710</v>
      </c>
      <c r="F39" s="1330"/>
      <c r="G39" s="5"/>
    </row>
    <row r="40" spans="1:7" ht="12" customHeight="1">
      <c r="A40" s="3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29"/>
  <dimension ref="A1:G43"/>
  <sheetViews>
    <sheetView topLeftCell="A19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7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2378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7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7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7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2380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7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7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7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3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3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12" customHeight="1">
      <c r="A24" s="64" t="s">
        <v>2382</v>
      </c>
      <c r="B24" s="59"/>
      <c r="C24" s="59"/>
      <c r="D24" s="59"/>
      <c r="E24" s="59"/>
      <c r="F24" s="59"/>
      <c r="G24" s="57"/>
    </row>
    <row r="25" spans="1:7" ht="12" customHeight="1">
      <c r="A25" s="58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7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7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7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1332" t="s">
        <v>702</v>
      </c>
      <c r="F39" s="1332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2" t="s">
        <v>705</v>
      </c>
      <c r="F42" s="1332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1332" t="s">
        <v>707</v>
      </c>
      <c r="C44" s="1332"/>
      <c r="D44" s="1332"/>
      <c r="E44" s="1332"/>
      <c r="F44" s="1332"/>
      <c r="G44" s="5"/>
    </row>
    <row r="45" spans="1:7" ht="12" customHeight="1">
      <c r="A45" s="3" t="s">
        <v>708</v>
      </c>
      <c r="B45" s="1329" t="s">
        <v>876</v>
      </c>
      <c r="C45" s="1329"/>
      <c r="D45" s="1329"/>
      <c r="E45" s="1330" t="s">
        <v>710</v>
      </c>
      <c r="F45" s="1330"/>
      <c r="G45" s="5"/>
    </row>
    <row r="46" spans="1:7" ht="12" customHeight="1">
      <c r="A46" s="3" t="s">
        <v>711</v>
      </c>
      <c r="B46" s="1331" t="s">
        <v>712</v>
      </c>
      <c r="C46" s="1331"/>
      <c r="D46" s="1331"/>
      <c r="E46" s="1331"/>
      <c r="F46" s="1331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7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.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.2" customHeight="1">
      <c r="A22" s="58"/>
      <c r="B22" s="59"/>
      <c r="C22" s="59"/>
      <c r="D22" s="59"/>
      <c r="E22" s="59"/>
      <c r="F22" s="59"/>
      <c r="G22" s="57"/>
    </row>
    <row r="23" spans="1:7" ht="12.2" customHeight="1">
      <c r="A23" s="64" t="s">
        <v>2384</v>
      </c>
      <c r="B23" s="59"/>
      <c r="C23" s="59"/>
      <c r="D23" s="59"/>
      <c r="E23" s="59"/>
      <c r="F23" s="59"/>
      <c r="G23" s="57"/>
    </row>
    <row r="24" spans="1:7" ht="12.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7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7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7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3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3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4:F14"/>
    <mergeCell ref="E17:F17"/>
    <mergeCell ref="B19:F19"/>
    <mergeCell ref="B20:D20"/>
    <mergeCell ref="E20:F20"/>
    <mergeCell ref="B44:D44"/>
    <mergeCell ref="E44:F44"/>
    <mergeCell ref="B45:F45"/>
    <mergeCell ref="B21:F21"/>
    <mergeCell ref="E31:F31"/>
    <mergeCell ref="E38:F38"/>
    <mergeCell ref="E41:F41"/>
    <mergeCell ref="B43:F4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71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2134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7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7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2" t="s">
        <v>705</v>
      </c>
      <c r="F36" s="1332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2" customHeight="1">
      <c r="A39" s="12" t="s">
        <v>708</v>
      </c>
      <c r="B39" s="1329" t="s">
        <v>876</v>
      </c>
      <c r="C39" s="1329"/>
      <c r="D39" s="1329"/>
      <c r="E39" s="1330" t="s">
        <v>710</v>
      </c>
      <c r="F39" s="1330"/>
      <c r="G39" s="5"/>
    </row>
    <row r="40" spans="1:7" ht="12" customHeight="1">
      <c r="A40" s="12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3"/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4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139" t="s">
        <v>2386</v>
      </c>
      <c r="B1" s="68"/>
      <c r="C1" s="68"/>
      <c r="D1" s="68"/>
      <c r="E1" s="68"/>
      <c r="F1" s="68"/>
      <c r="G1" s="66"/>
    </row>
    <row r="2" spans="1:7" ht="12" customHeight="1">
      <c r="A2" s="163"/>
      <c r="B2" s="68"/>
      <c r="C2" s="68"/>
      <c r="D2" s="68"/>
      <c r="E2" s="68"/>
      <c r="F2" s="68"/>
      <c r="G2" s="66"/>
    </row>
    <row r="3" spans="1:7" ht="12" customHeight="1">
      <c r="A3" s="158" t="s">
        <v>2387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3.7" customHeight="1">
      <c r="A7" s="57"/>
      <c r="B7" s="58" t="s">
        <v>673</v>
      </c>
      <c r="C7" s="58" t="s">
        <v>674</v>
      </c>
      <c r="D7" s="62" t="s">
        <v>675</v>
      </c>
      <c r="E7" s="58" t="s">
        <v>1403</v>
      </c>
      <c r="F7" s="57"/>
      <c r="G7" s="57"/>
    </row>
    <row r="8" spans="1:7" ht="13.9" customHeight="1">
      <c r="A8" s="57"/>
      <c r="B8" s="58" t="s">
        <v>731</v>
      </c>
      <c r="C8" s="58" t="s">
        <v>678</v>
      </c>
      <c r="D8" s="57"/>
      <c r="E8" s="58" t="s">
        <v>930</v>
      </c>
      <c r="F8" s="57"/>
      <c r="G8" s="57"/>
    </row>
    <row r="9" spans="1:7" ht="13.7" customHeight="1">
      <c r="A9" s="57"/>
      <c r="B9" s="58" t="s">
        <v>751</v>
      </c>
      <c r="C9" s="58" t="s">
        <v>681</v>
      </c>
      <c r="D9" s="57"/>
      <c r="E9" s="58" t="s">
        <v>724</v>
      </c>
      <c r="F9" s="57"/>
      <c r="G9" s="57"/>
    </row>
    <row r="10" spans="1:7" ht="13.7" customHeight="1">
      <c r="A10" s="57"/>
      <c r="B10" s="58" t="s">
        <v>683</v>
      </c>
      <c r="C10" s="58" t="s">
        <v>684</v>
      </c>
      <c r="D10" s="62" t="s">
        <v>675</v>
      </c>
      <c r="E10" s="58" t="s">
        <v>1382</v>
      </c>
      <c r="F10" s="57"/>
      <c r="G10" s="57"/>
    </row>
    <row r="11" spans="1:7" ht="12" customHeight="1">
      <c r="A11" s="57"/>
      <c r="B11" s="57"/>
      <c r="C11" s="57"/>
      <c r="D11" s="57"/>
      <c r="E11" s="1332" t="s">
        <v>685</v>
      </c>
      <c r="F11" s="1332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9" customHeight="1">
      <c r="A13" s="57"/>
      <c r="B13" s="58" t="s">
        <v>1404</v>
      </c>
      <c r="C13" s="57"/>
      <c r="D13" s="62" t="s">
        <v>1405</v>
      </c>
      <c r="E13" s="58" t="s">
        <v>719</v>
      </c>
      <c r="F13" s="57"/>
      <c r="G13" s="57"/>
    </row>
    <row r="14" spans="1:7" ht="13.7" customHeight="1">
      <c r="A14" s="57"/>
      <c r="B14" s="58" t="s">
        <v>1406</v>
      </c>
      <c r="C14" s="57"/>
      <c r="D14" s="62" t="s">
        <v>1011</v>
      </c>
      <c r="E14" s="58" t="s">
        <v>1407</v>
      </c>
      <c r="F14" s="57"/>
      <c r="G14" s="57"/>
    </row>
    <row r="15" spans="1:7" ht="12" customHeight="1">
      <c r="A15" s="57"/>
      <c r="B15" s="57"/>
      <c r="C15" s="57"/>
      <c r="D15" s="57"/>
      <c r="E15" s="1332" t="s">
        <v>702</v>
      </c>
      <c r="F15" s="1332"/>
      <c r="G15" s="57"/>
    </row>
    <row r="16" spans="1:7" ht="12" customHeight="1">
      <c r="A16" s="62" t="s">
        <v>703</v>
      </c>
      <c r="B16" s="58" t="s">
        <v>704</v>
      </c>
      <c r="C16" s="57"/>
      <c r="D16" s="57"/>
      <c r="E16" s="57"/>
      <c r="F16" s="57"/>
      <c r="G16" s="57"/>
    </row>
    <row r="17" spans="1:7" ht="12" customHeight="1">
      <c r="A17" s="57"/>
      <c r="B17" s="57"/>
      <c r="C17" s="57"/>
      <c r="D17" s="57"/>
      <c r="E17" s="57"/>
      <c r="F17" s="57"/>
      <c r="G17" s="57"/>
    </row>
    <row r="18" spans="1:7" ht="12" customHeight="1">
      <c r="A18" s="57"/>
      <c r="B18" s="57"/>
      <c r="C18" s="57"/>
      <c r="D18" s="57"/>
      <c r="E18" s="1332" t="s">
        <v>705</v>
      </c>
      <c r="F18" s="1332"/>
      <c r="G18" s="57"/>
    </row>
    <row r="19" spans="1:7" ht="12" customHeight="1">
      <c r="A19" s="57"/>
      <c r="B19" s="57"/>
      <c r="C19" s="57"/>
      <c r="D19" s="57"/>
      <c r="E19" s="57"/>
      <c r="F19" s="57"/>
      <c r="G19" s="57"/>
    </row>
    <row r="20" spans="1:7" ht="12" customHeight="1">
      <c r="A20" s="62" t="s">
        <v>706</v>
      </c>
      <c r="B20" s="1332" t="s">
        <v>707</v>
      </c>
      <c r="C20" s="1332"/>
      <c r="D20" s="1332"/>
      <c r="E20" s="1332"/>
      <c r="F20" s="1332"/>
      <c r="G20" s="57"/>
    </row>
    <row r="21" spans="1:7" ht="12" customHeight="1">
      <c r="A21" s="62" t="s">
        <v>708</v>
      </c>
      <c r="B21" s="1329" t="s">
        <v>876</v>
      </c>
      <c r="C21" s="1329"/>
      <c r="D21" s="1329"/>
      <c r="E21" s="1330" t="s">
        <v>710</v>
      </c>
      <c r="F21" s="1330"/>
      <c r="G21" s="57"/>
    </row>
    <row r="22" spans="1:7" ht="12" customHeight="1">
      <c r="A22" s="62" t="s">
        <v>711</v>
      </c>
      <c r="B22" s="1331" t="s">
        <v>712</v>
      </c>
      <c r="C22" s="1331"/>
      <c r="D22" s="1331"/>
      <c r="E22" s="1331"/>
      <c r="F22" s="1331"/>
      <c r="G22" s="57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35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12" customHeight="1">
      <c r="A23" s="71" t="s">
        <v>2389</v>
      </c>
      <c r="B23" s="59"/>
      <c r="C23" s="59"/>
      <c r="D23" s="59"/>
      <c r="E23" s="59"/>
      <c r="F23" s="59"/>
      <c r="G23" s="57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7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7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1332" t="s">
        <v>702</v>
      </c>
      <c r="F37" s="1332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2" t="s">
        <v>705</v>
      </c>
      <c r="F40" s="1332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2" t="s">
        <v>707</v>
      </c>
      <c r="C42" s="1332"/>
      <c r="D42" s="1332"/>
      <c r="E42" s="1332"/>
      <c r="F42" s="1332"/>
      <c r="G42" s="5"/>
    </row>
    <row r="43" spans="1:7" ht="12" customHeight="1">
      <c r="A43" s="12" t="s">
        <v>708</v>
      </c>
      <c r="B43" s="1329" t="s">
        <v>876</v>
      </c>
      <c r="C43" s="1329"/>
      <c r="D43" s="1329"/>
      <c r="E43" s="1330" t="s">
        <v>710</v>
      </c>
      <c r="F43" s="1330"/>
      <c r="G43" s="5"/>
    </row>
    <row r="44" spans="1:7" ht="12" customHeight="1">
      <c r="A44" s="12" t="s">
        <v>711</v>
      </c>
      <c r="B44" s="1331" t="s">
        <v>712</v>
      </c>
      <c r="C44" s="1331"/>
      <c r="D44" s="1331"/>
      <c r="E44" s="1331"/>
      <c r="F44" s="1331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36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2" t="s">
        <v>2390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7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2391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7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7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3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2393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7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38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7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1332" t="s">
        <v>702</v>
      </c>
      <c r="F16" s="1332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2" t="s">
        <v>705</v>
      </c>
      <c r="F19" s="1332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32" t="s">
        <v>707</v>
      </c>
      <c r="C21" s="1332"/>
      <c r="D21" s="1332"/>
      <c r="E21" s="1332"/>
      <c r="F21" s="1332"/>
      <c r="G21" s="5"/>
    </row>
    <row r="22" spans="1:7" ht="12" customHeight="1">
      <c r="A22" s="12" t="s">
        <v>708</v>
      </c>
      <c r="B22" s="1329" t="s">
        <v>876</v>
      </c>
      <c r="C22" s="1329"/>
      <c r="D22" s="1329"/>
      <c r="E22" s="1330" t="s">
        <v>710</v>
      </c>
      <c r="F22" s="1330"/>
      <c r="G22" s="5"/>
    </row>
    <row r="23" spans="1:7" ht="12" customHeight="1">
      <c r="A23" s="12" t="s">
        <v>711</v>
      </c>
      <c r="B23" s="1331" t="s">
        <v>712</v>
      </c>
      <c r="C23" s="1331"/>
      <c r="D23" s="1331"/>
      <c r="E23" s="1331"/>
      <c r="F23" s="1331"/>
      <c r="G23" s="5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12" customHeight="1">
      <c r="A25" s="64" t="s">
        <v>2395</v>
      </c>
      <c r="B25" s="59"/>
      <c r="C25" s="59"/>
      <c r="D25" s="59"/>
      <c r="E25" s="59"/>
      <c r="F25" s="59"/>
      <c r="G25" s="57"/>
    </row>
    <row r="26" spans="1:7" ht="12" customHeight="1">
      <c r="A26" s="62"/>
      <c r="B26" s="59"/>
      <c r="C26" s="59"/>
      <c r="D26" s="59"/>
      <c r="E26" s="59"/>
      <c r="F26" s="59"/>
      <c r="G26" s="57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7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7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1332" t="s">
        <v>685</v>
      </c>
      <c r="F33" s="1332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1332" t="s">
        <v>702</v>
      </c>
      <c r="F37" s="1332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2" t="s">
        <v>705</v>
      </c>
      <c r="F40" s="1332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2" t="s">
        <v>707</v>
      </c>
      <c r="C42" s="1332"/>
      <c r="D42" s="1332"/>
      <c r="E42" s="1332"/>
      <c r="F42" s="1332"/>
      <c r="G42" s="5"/>
    </row>
    <row r="43" spans="1:7" ht="12" customHeight="1">
      <c r="A43" s="12" t="s">
        <v>708</v>
      </c>
      <c r="B43" s="1329" t="s">
        <v>876</v>
      </c>
      <c r="C43" s="1329"/>
      <c r="D43" s="1329"/>
      <c r="E43" s="1330" t="s">
        <v>710</v>
      </c>
      <c r="F43" s="1330"/>
      <c r="G43" s="5"/>
    </row>
    <row r="44" spans="1:7" ht="12" customHeight="1">
      <c r="A44" s="12" t="s">
        <v>711</v>
      </c>
      <c r="B44" s="1331" t="s">
        <v>712</v>
      </c>
      <c r="C44" s="1331"/>
      <c r="D44" s="1331"/>
      <c r="E44" s="1331"/>
      <c r="F44" s="1331"/>
      <c r="G44" s="5"/>
    </row>
  </sheetData>
  <mergeCells count="14">
    <mergeCell ref="E9:F9"/>
    <mergeCell ref="E16:F16"/>
    <mergeCell ref="E19:F19"/>
    <mergeCell ref="B21:F21"/>
    <mergeCell ref="B22:D22"/>
    <mergeCell ref="E22:F22"/>
    <mergeCell ref="B43:D43"/>
    <mergeCell ref="E43:F43"/>
    <mergeCell ref="B44:F44"/>
    <mergeCell ref="B23:F23"/>
    <mergeCell ref="E33:F33"/>
    <mergeCell ref="E37:F37"/>
    <mergeCell ref="E40:F40"/>
    <mergeCell ref="B42:F42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39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2397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7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7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7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1332" t="s">
        <v>702</v>
      </c>
      <c r="F37" s="1332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2" t="s">
        <v>705</v>
      </c>
      <c r="F40" s="1332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2" t="s">
        <v>707</v>
      </c>
      <c r="C42" s="1332"/>
      <c r="D42" s="1332"/>
      <c r="E42" s="1332"/>
      <c r="F42" s="1332"/>
      <c r="G42" s="5"/>
    </row>
    <row r="43" spans="1:7" ht="12" customHeight="1">
      <c r="A43" s="12" t="s">
        <v>708</v>
      </c>
      <c r="B43" s="1329" t="s">
        <v>876</v>
      </c>
      <c r="C43" s="1329"/>
      <c r="D43" s="1329"/>
      <c r="E43" s="1330" t="s">
        <v>710</v>
      </c>
      <c r="F43" s="1330"/>
      <c r="G43" s="5"/>
    </row>
    <row r="44" spans="1:7" ht="12" customHeight="1">
      <c r="A44" s="12" t="s">
        <v>711</v>
      </c>
      <c r="B44" s="1331" t="s">
        <v>712</v>
      </c>
      <c r="C44" s="1331"/>
      <c r="D44" s="1331"/>
      <c r="E44" s="1331"/>
      <c r="F44" s="1331"/>
      <c r="G44" s="5"/>
    </row>
  </sheetData>
  <mergeCells count="14">
    <mergeCell ref="E9:F9"/>
    <mergeCell ref="E13:F13"/>
    <mergeCell ref="E16:F16"/>
    <mergeCell ref="B18:F18"/>
    <mergeCell ref="B19:D19"/>
    <mergeCell ref="E19:F19"/>
    <mergeCell ref="B43:D43"/>
    <mergeCell ref="E43:F43"/>
    <mergeCell ref="B44:F44"/>
    <mergeCell ref="B20:F20"/>
    <mergeCell ref="E30:F30"/>
    <mergeCell ref="E37:F37"/>
    <mergeCell ref="E40:F40"/>
    <mergeCell ref="B42:F42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0"/>
  <dimension ref="A1:G43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2399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7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1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62"/>
      <c r="B20" s="59"/>
      <c r="C20" s="59"/>
      <c r="D20" s="59"/>
      <c r="E20" s="59"/>
      <c r="F20" s="59"/>
      <c r="G20" s="57"/>
    </row>
    <row r="21" spans="1:7" ht="12" customHeight="1">
      <c r="A21" s="64" t="s">
        <v>2401</v>
      </c>
      <c r="B21" s="59"/>
      <c r="C21" s="59"/>
      <c r="D21" s="59"/>
      <c r="E21" s="59"/>
      <c r="F21" s="59"/>
      <c r="G21" s="57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7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7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7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7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7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1332" t="s">
        <v>702</v>
      </c>
      <c r="F37" s="1332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2" t="s">
        <v>705</v>
      </c>
      <c r="F40" s="1332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2" t="s">
        <v>707</v>
      </c>
      <c r="C42" s="1332"/>
      <c r="D42" s="1332"/>
      <c r="E42" s="1332"/>
      <c r="F42" s="1332"/>
      <c r="G42" s="5"/>
    </row>
    <row r="43" spans="1:7" ht="12" customHeight="1">
      <c r="A43" s="12" t="s">
        <v>708</v>
      </c>
      <c r="B43" s="1329" t="s">
        <v>876</v>
      </c>
      <c r="C43" s="1329"/>
      <c r="D43" s="1329"/>
      <c r="E43" s="1330" t="s">
        <v>710</v>
      </c>
      <c r="F43" s="1330"/>
      <c r="G43" s="5"/>
    </row>
    <row r="44" spans="1:7" ht="12" customHeight="1">
      <c r="A44" s="12" t="s">
        <v>711</v>
      </c>
      <c r="B44" s="1331" t="s">
        <v>712</v>
      </c>
      <c r="C44" s="1331"/>
      <c r="D44" s="1331"/>
      <c r="E44" s="1331"/>
      <c r="F44" s="1331"/>
      <c r="G44" s="5"/>
    </row>
  </sheetData>
  <mergeCells count="14">
    <mergeCell ref="E9:F9"/>
    <mergeCell ref="E12:F12"/>
    <mergeCell ref="E15:F15"/>
    <mergeCell ref="B17:F17"/>
    <mergeCell ref="B18:D18"/>
    <mergeCell ref="E18:F18"/>
    <mergeCell ref="B43:D43"/>
    <mergeCell ref="E43:F43"/>
    <mergeCell ref="B44:F44"/>
    <mergeCell ref="B19:F19"/>
    <mergeCell ref="E29:F29"/>
    <mergeCell ref="E37:F37"/>
    <mergeCell ref="E40:F40"/>
    <mergeCell ref="B42:F42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2"/>
  <dimension ref="A1:G49"/>
  <sheetViews>
    <sheetView topLeftCell="A28" workbookViewId="0">
      <selection activeCell="G49" sqref="A1:G4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7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7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1332" t="s">
        <v>702</v>
      </c>
      <c r="F17" s="1332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1332" t="s">
        <v>705</v>
      </c>
      <c r="F20" s="1332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1332" t="s">
        <v>707</v>
      </c>
      <c r="C22" s="1332"/>
      <c r="D22" s="1332"/>
      <c r="E22" s="1332"/>
      <c r="F22" s="1332"/>
      <c r="G22" s="5"/>
    </row>
    <row r="23" spans="1:7" ht="12" customHeight="1">
      <c r="A23" s="12" t="s">
        <v>708</v>
      </c>
      <c r="B23" s="1329" t="s">
        <v>876</v>
      </c>
      <c r="C23" s="1329"/>
      <c r="D23" s="1329"/>
      <c r="E23" s="1330" t="s">
        <v>710</v>
      </c>
      <c r="F23" s="1330"/>
      <c r="G23" s="5"/>
    </row>
    <row r="24" spans="1:7" ht="12.2" customHeight="1">
      <c r="A24" s="12" t="s">
        <v>711</v>
      </c>
      <c r="B24" s="1331" t="s">
        <v>712</v>
      </c>
      <c r="C24" s="1331"/>
      <c r="D24" s="1331"/>
      <c r="E24" s="1331"/>
      <c r="F24" s="1331"/>
      <c r="G24" s="5"/>
    </row>
    <row r="25" spans="1:7" ht="12.2" customHeight="1">
      <c r="A25" s="62"/>
      <c r="B25" s="59"/>
      <c r="C25" s="59"/>
      <c r="D25" s="59"/>
      <c r="E25" s="59"/>
      <c r="F25" s="59"/>
      <c r="G25" s="57"/>
    </row>
    <row r="26" spans="1:7" ht="12.2" customHeight="1">
      <c r="A26" s="64" t="s">
        <v>2403</v>
      </c>
      <c r="B26" s="59"/>
      <c r="C26" s="59"/>
      <c r="D26" s="59"/>
      <c r="E26" s="59"/>
      <c r="F26" s="59"/>
      <c r="G26" s="57"/>
    </row>
    <row r="27" spans="1:7" ht="12.2" customHeight="1">
      <c r="A27" s="62"/>
      <c r="B27" s="59"/>
      <c r="C27" s="59"/>
      <c r="D27" s="59"/>
      <c r="E27" s="59"/>
      <c r="F27" s="59"/>
      <c r="G27" s="57"/>
    </row>
    <row r="28" spans="1:7" ht="34.9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7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7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1332" t="s">
        <v>685</v>
      </c>
      <c r="F34" s="1332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7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7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7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7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1332" t="s">
        <v>702</v>
      </c>
      <c r="F42" s="1332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1332" t="s">
        <v>705</v>
      </c>
      <c r="F45" s="1332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1332" t="s">
        <v>707</v>
      </c>
      <c r="C47" s="1332"/>
      <c r="D47" s="1332"/>
      <c r="E47" s="1332"/>
      <c r="F47" s="1332"/>
      <c r="G47" s="5"/>
    </row>
    <row r="48" spans="1:7" ht="12" customHeight="1">
      <c r="A48" s="12" t="s">
        <v>708</v>
      </c>
      <c r="B48" s="1329" t="s">
        <v>876</v>
      </c>
      <c r="C48" s="1329"/>
      <c r="D48" s="1329"/>
      <c r="E48" s="1330" t="s">
        <v>710</v>
      </c>
      <c r="F48" s="1330"/>
      <c r="G48" s="5"/>
    </row>
    <row r="49" spans="1:7" ht="12" customHeight="1">
      <c r="A49" s="12" t="s">
        <v>711</v>
      </c>
      <c r="B49" s="1331" t="s">
        <v>712</v>
      </c>
      <c r="C49" s="1331"/>
      <c r="D49" s="1331"/>
      <c r="E49" s="1331"/>
      <c r="F49" s="1331"/>
      <c r="G49" s="5"/>
    </row>
  </sheetData>
  <mergeCells count="14">
    <mergeCell ref="E9:F9"/>
    <mergeCell ref="E17:F17"/>
    <mergeCell ref="E20:F20"/>
    <mergeCell ref="B22:F22"/>
    <mergeCell ref="B23:D23"/>
    <mergeCell ref="E23:F23"/>
    <mergeCell ref="B48:D48"/>
    <mergeCell ref="E48:F48"/>
    <mergeCell ref="B49:F49"/>
    <mergeCell ref="B24:F24"/>
    <mergeCell ref="E34:F34"/>
    <mergeCell ref="E42:F42"/>
    <mergeCell ref="E45:F45"/>
    <mergeCell ref="B47:F4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26.7109375" customWidth="1"/>
    <col min="6" max="6" width="13.85546875" customWidth="1"/>
    <col min="7" max="7" width="16" customWidth="1"/>
  </cols>
  <sheetData>
    <row r="1" spans="1:7">
      <c r="A1" s="64" t="s">
        <v>2135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112" t="s">
        <v>765</v>
      </c>
      <c r="E3" s="135" t="s">
        <v>766</v>
      </c>
      <c r="F3" s="113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109"/>
      <c r="E4" s="130"/>
      <c r="F4" s="109"/>
      <c r="G4" s="5"/>
    </row>
    <row r="5" spans="1:7" ht="13.7" customHeight="1">
      <c r="A5" s="5"/>
      <c r="B5" s="110" t="s">
        <v>673</v>
      </c>
      <c r="C5" s="110" t="s">
        <v>674</v>
      </c>
      <c r="D5" s="114" t="s">
        <v>675</v>
      </c>
      <c r="E5" s="141" t="s">
        <v>741</v>
      </c>
      <c r="F5" s="109"/>
      <c r="G5" s="5"/>
    </row>
    <row r="6" spans="1:7" ht="13.9" customHeight="1">
      <c r="A6" s="5"/>
      <c r="B6" s="110" t="s">
        <v>782</v>
      </c>
      <c r="C6" s="110" t="s">
        <v>681</v>
      </c>
      <c r="D6" s="114" t="s">
        <v>675</v>
      </c>
      <c r="E6" s="141" t="s">
        <v>741</v>
      </c>
      <c r="F6" s="109"/>
      <c r="G6" s="5"/>
    </row>
    <row r="7" spans="1:7" ht="13.7" customHeight="1">
      <c r="A7" s="5"/>
      <c r="B7" s="110" t="s">
        <v>751</v>
      </c>
      <c r="C7" s="110" t="s">
        <v>681</v>
      </c>
      <c r="D7" s="114" t="s">
        <v>675</v>
      </c>
      <c r="E7" s="141" t="s">
        <v>779</v>
      </c>
      <c r="F7" s="109"/>
      <c r="G7" s="5"/>
    </row>
    <row r="8" spans="1:7" ht="13.7" customHeight="1">
      <c r="A8" s="5"/>
      <c r="B8" s="110" t="s">
        <v>683</v>
      </c>
      <c r="C8" s="110" t="s">
        <v>684</v>
      </c>
      <c r="D8" s="114" t="s">
        <v>675</v>
      </c>
      <c r="E8" s="141" t="s">
        <v>693</v>
      </c>
      <c r="F8" s="109"/>
      <c r="G8" s="5"/>
    </row>
    <row r="9" spans="1:7" ht="12" customHeight="1">
      <c r="A9" s="5"/>
      <c r="B9" s="109"/>
      <c r="C9" s="109"/>
      <c r="D9" s="109"/>
      <c r="E9" s="141" t="s">
        <v>685</v>
      </c>
      <c r="F9" s="142"/>
      <c r="G9" s="5"/>
    </row>
    <row r="10" spans="1:7" ht="12" customHeight="1">
      <c r="A10" s="12" t="s">
        <v>686</v>
      </c>
      <c r="B10" s="110" t="s">
        <v>687</v>
      </c>
      <c r="C10" s="109"/>
      <c r="D10" s="109"/>
      <c r="E10" s="130"/>
      <c r="F10" s="109"/>
      <c r="G10" s="5"/>
    </row>
    <row r="11" spans="1:7" ht="13.9" customHeight="1">
      <c r="A11" s="5"/>
      <c r="B11" s="110" t="s">
        <v>990</v>
      </c>
      <c r="C11" s="109"/>
      <c r="D11" s="114" t="s">
        <v>961</v>
      </c>
      <c r="E11" s="141" t="s">
        <v>737</v>
      </c>
      <c r="F11" s="109"/>
      <c r="G11" s="5"/>
    </row>
    <row r="12" spans="1:7" ht="13.7" customHeight="1">
      <c r="A12" s="5"/>
      <c r="B12" s="110" t="s">
        <v>958</v>
      </c>
      <c r="C12" s="109"/>
      <c r="D12" s="114" t="s">
        <v>959</v>
      </c>
      <c r="E12" s="141" t="s">
        <v>991</v>
      </c>
      <c r="F12" s="109"/>
      <c r="G12" s="5"/>
    </row>
    <row r="13" spans="1:7" ht="13.9" customHeight="1">
      <c r="A13" s="5"/>
      <c r="B13" s="110" t="s">
        <v>992</v>
      </c>
      <c r="C13" s="109"/>
      <c r="D13" s="114" t="s">
        <v>773</v>
      </c>
      <c r="E13" s="141" t="s">
        <v>993</v>
      </c>
      <c r="F13" s="109"/>
      <c r="G13" s="5"/>
    </row>
    <row r="14" spans="1:7" ht="13.7" customHeight="1">
      <c r="A14" s="5"/>
      <c r="B14" s="109"/>
      <c r="C14" s="109"/>
      <c r="D14" s="109"/>
      <c r="E14" s="141" t="s">
        <v>702</v>
      </c>
      <c r="F14" s="142"/>
      <c r="G14" s="5"/>
    </row>
    <row r="15" spans="1:7" ht="12" customHeight="1">
      <c r="A15" s="12" t="s">
        <v>703</v>
      </c>
      <c r="B15" s="110" t="s">
        <v>704</v>
      </c>
      <c r="C15" s="109"/>
      <c r="D15" s="109"/>
      <c r="E15" s="130"/>
      <c r="F15" s="109"/>
      <c r="G15" s="5"/>
    </row>
    <row r="16" spans="1:7" ht="12" customHeight="1">
      <c r="A16" s="5"/>
      <c r="B16" s="109"/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41" t="s">
        <v>705</v>
      </c>
      <c r="F17" s="142"/>
      <c r="G17" s="5"/>
    </row>
    <row r="18" spans="1:7" ht="12" customHeight="1">
      <c r="A18" s="5"/>
      <c r="B18" s="109"/>
      <c r="C18" s="109"/>
      <c r="D18" s="109"/>
      <c r="E18" s="130"/>
      <c r="F18" s="109"/>
      <c r="G18" s="5"/>
    </row>
    <row r="19" spans="1:7" ht="12" customHeight="1">
      <c r="A19" s="12" t="s">
        <v>706</v>
      </c>
      <c r="B19" s="141" t="s">
        <v>707</v>
      </c>
      <c r="C19" s="147"/>
      <c r="D19" s="147"/>
      <c r="E19" s="147"/>
      <c r="F19" s="142"/>
      <c r="G19" s="5"/>
    </row>
    <row r="20" spans="1:7" ht="12" customHeight="1">
      <c r="A20" s="12" t="s">
        <v>708</v>
      </c>
      <c r="B20" s="136" t="s">
        <v>876</v>
      </c>
      <c r="C20" s="137"/>
      <c r="D20" s="138"/>
      <c r="E20" s="141" t="s">
        <v>710</v>
      </c>
      <c r="F20" s="142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71" t="s">
        <v>2136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135" t="s">
        <v>764</v>
      </c>
      <c r="D25" s="6" t="s">
        <v>765</v>
      </c>
      <c r="E25" s="6" t="s">
        <v>766</v>
      </c>
      <c r="F25" s="134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130"/>
      <c r="D26" s="5"/>
      <c r="E26" s="5"/>
      <c r="F26" s="128"/>
      <c r="G26" s="5"/>
    </row>
    <row r="27" spans="1:7" ht="13.7" customHeight="1">
      <c r="A27" s="5"/>
      <c r="B27" s="3" t="s">
        <v>673</v>
      </c>
      <c r="C27" s="141" t="s">
        <v>674</v>
      </c>
      <c r="D27" s="12" t="s">
        <v>675</v>
      </c>
      <c r="E27" s="3" t="s">
        <v>679</v>
      </c>
      <c r="F27" s="128"/>
      <c r="G27" s="5"/>
    </row>
    <row r="28" spans="1:7" ht="13.9" customHeight="1">
      <c r="A28" s="5"/>
      <c r="B28" s="3" t="s">
        <v>782</v>
      </c>
      <c r="C28" s="141" t="s">
        <v>681</v>
      </c>
      <c r="D28" s="12" t="s">
        <v>675</v>
      </c>
      <c r="E28" s="3" t="s">
        <v>679</v>
      </c>
      <c r="F28" s="128"/>
      <c r="G28" s="5"/>
    </row>
    <row r="29" spans="1:7" ht="13.7" customHeight="1">
      <c r="A29" s="5"/>
      <c r="B29" s="3" t="s">
        <v>751</v>
      </c>
      <c r="C29" s="141" t="s">
        <v>681</v>
      </c>
      <c r="D29" s="12" t="s">
        <v>675</v>
      </c>
      <c r="E29" s="3" t="s">
        <v>682</v>
      </c>
      <c r="F29" s="128"/>
      <c r="G29" s="5"/>
    </row>
    <row r="30" spans="1:7" ht="13.7" customHeight="1">
      <c r="A30" s="5"/>
      <c r="B30" s="3" t="s">
        <v>683</v>
      </c>
      <c r="C30" s="141" t="s">
        <v>684</v>
      </c>
      <c r="D30" s="12" t="s">
        <v>675</v>
      </c>
      <c r="E30" s="3" t="s">
        <v>856</v>
      </c>
      <c r="F30" s="128"/>
      <c r="G30" s="5"/>
    </row>
    <row r="31" spans="1:7" ht="12" customHeight="1">
      <c r="A31" s="5"/>
      <c r="B31" s="5"/>
      <c r="C31" s="130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131"/>
      <c r="D32" s="5"/>
      <c r="E32" s="5"/>
      <c r="F32" s="128"/>
      <c r="G32" s="5"/>
    </row>
    <row r="33" spans="1:7" ht="25.35" customHeight="1">
      <c r="A33" s="5"/>
      <c r="B33" s="2" t="s">
        <v>994</v>
      </c>
      <c r="C33" s="131"/>
      <c r="D33" s="17" t="s">
        <v>995</v>
      </c>
      <c r="E33" s="2" t="s">
        <v>996</v>
      </c>
      <c r="F33" s="128"/>
      <c r="G33" s="5"/>
    </row>
    <row r="34" spans="1:7" ht="25.15" customHeight="1">
      <c r="A34" s="5"/>
      <c r="B34" s="2" t="s">
        <v>997</v>
      </c>
      <c r="C34" s="109"/>
      <c r="D34" s="3" t="s">
        <v>971</v>
      </c>
      <c r="E34" s="3" t="s">
        <v>998</v>
      </c>
      <c r="F34" s="128"/>
      <c r="G34" s="5"/>
    </row>
    <row r="35" spans="1:7" ht="13.7" customHeight="1">
      <c r="A35" s="5"/>
      <c r="B35" s="3" t="s">
        <v>736</v>
      </c>
      <c r="C35" s="109"/>
      <c r="D35" s="12" t="s">
        <v>853</v>
      </c>
      <c r="E35" s="3" t="s">
        <v>999</v>
      </c>
      <c r="F35" s="128"/>
      <c r="G35" s="5"/>
    </row>
    <row r="36" spans="1:7" ht="13.7" customHeight="1">
      <c r="A36" s="5"/>
      <c r="B36" s="5"/>
      <c r="C36" s="109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109"/>
      <c r="D37" s="5"/>
      <c r="E37" s="5"/>
      <c r="F37" s="128"/>
      <c r="G37" s="5"/>
    </row>
    <row r="38" spans="1:7" ht="12" customHeight="1">
      <c r="A38" s="5"/>
      <c r="B38" s="5"/>
      <c r="C38" s="109"/>
      <c r="D38" s="5"/>
      <c r="E38" s="5"/>
      <c r="F38" s="128"/>
      <c r="G38" s="5"/>
    </row>
    <row r="39" spans="1:7" ht="12" customHeight="1">
      <c r="A39" s="5"/>
      <c r="B39" s="5"/>
      <c r="C39" s="109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109"/>
      <c r="D40" s="5"/>
      <c r="E40" s="5"/>
      <c r="F40" s="128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.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3"/>
  <dimension ref="A1:G41"/>
  <sheetViews>
    <sheetView topLeftCell="A7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2405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7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4"/>
  <dimension ref="A1:G41"/>
  <sheetViews>
    <sheetView topLeftCell="A13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45"/>
  <dimension ref="A1:G41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2411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47"/>
  <dimension ref="A1:G41"/>
  <sheetViews>
    <sheetView topLeftCell="A28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2413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48"/>
  <dimension ref="A1:G41"/>
  <sheetViews>
    <sheetView topLeftCell="A19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2415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49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0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71" t="s">
        <v>2419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7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7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.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5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7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2421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7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1332" t="s">
        <v>702</v>
      </c>
      <c r="F39" s="1332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2" t="s">
        <v>705</v>
      </c>
      <c r="F42" s="1332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32" t="s">
        <v>707</v>
      </c>
      <c r="C44" s="1332"/>
      <c r="D44" s="1332"/>
      <c r="E44" s="1332"/>
      <c r="F44" s="1332"/>
      <c r="G44" s="5"/>
    </row>
    <row r="45" spans="1:7" ht="12" customHeight="1">
      <c r="A45" s="12" t="s">
        <v>708</v>
      </c>
      <c r="B45" s="1329" t="s">
        <v>876</v>
      </c>
      <c r="C45" s="1329"/>
      <c r="D45" s="1329"/>
      <c r="E45" s="1330" t="s">
        <v>710</v>
      </c>
      <c r="F45" s="1330"/>
      <c r="G45" s="5"/>
    </row>
    <row r="46" spans="1:7" ht="12" customHeight="1">
      <c r="A46" s="12" t="s">
        <v>711</v>
      </c>
      <c r="B46" s="1331" t="s">
        <v>712</v>
      </c>
      <c r="C46" s="1331"/>
      <c r="D46" s="1331"/>
      <c r="E46" s="1331"/>
      <c r="F46" s="1331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2"/>
  <dimension ref="A1:G28"/>
  <sheetViews>
    <sheetView workbookViewId="0">
      <selection activeCell="B28" sqref="A1:G2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7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7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1332" t="s">
        <v>702</v>
      </c>
      <c r="F16" s="1332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2" t="s">
        <v>705</v>
      </c>
      <c r="F19" s="1332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32" t="s">
        <v>707</v>
      </c>
      <c r="C21" s="1332"/>
      <c r="D21" s="1332"/>
      <c r="E21" s="1332"/>
      <c r="F21" s="1332"/>
      <c r="G21" s="5"/>
    </row>
    <row r="22" spans="1:7" ht="12" customHeight="1">
      <c r="A22" s="12" t="s">
        <v>708</v>
      </c>
      <c r="B22" s="1329" t="s">
        <v>876</v>
      </c>
      <c r="C22" s="1329"/>
      <c r="D22" s="1329"/>
      <c r="E22" s="1330" t="s">
        <v>710</v>
      </c>
      <c r="F22" s="1330"/>
      <c r="G22" s="5"/>
    </row>
    <row r="23" spans="1:7" ht="12.2" customHeight="1">
      <c r="A23" s="12" t="s">
        <v>711</v>
      </c>
      <c r="B23" s="1331" t="s">
        <v>712</v>
      </c>
      <c r="C23" s="1331"/>
      <c r="D23" s="1331"/>
      <c r="E23" s="1331"/>
      <c r="F23" s="1331"/>
      <c r="G23" s="5"/>
    </row>
    <row r="24" spans="1:7" ht="12.2" customHeight="1">
      <c r="A24" s="62"/>
      <c r="B24" s="59"/>
      <c r="C24" s="59"/>
      <c r="D24" s="59"/>
      <c r="E24" s="59"/>
      <c r="F24" s="59"/>
      <c r="G24" s="57"/>
    </row>
    <row r="25" spans="1:7" ht="12.2" customHeight="1">
      <c r="A25" s="62"/>
      <c r="B25" s="59"/>
      <c r="C25" s="59"/>
      <c r="D25" s="59"/>
      <c r="E25" s="59"/>
      <c r="F25" s="59"/>
      <c r="G25" s="57"/>
    </row>
    <row r="27" spans="1:7">
      <c r="B27" s="1340" t="s">
        <v>2425</v>
      </c>
      <c r="C27" s="1340"/>
      <c r="D27" s="1340"/>
      <c r="E27" s="1340"/>
      <c r="F27" s="1340"/>
      <c r="G27" s="1340"/>
    </row>
    <row r="28" spans="1:7" ht="53.25" customHeight="1">
      <c r="B28" s="1341" t="s">
        <v>2426</v>
      </c>
      <c r="C28" s="1341"/>
      <c r="D28" s="1341"/>
      <c r="E28" s="1341"/>
      <c r="F28" s="1341"/>
      <c r="G28" s="1341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4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5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7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.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.2" customHeight="1">
      <c r="A22" s="31"/>
      <c r="B22" s="30"/>
      <c r="C22" s="30"/>
      <c r="D22" s="30"/>
      <c r="E22" s="30"/>
      <c r="F22" s="30"/>
      <c r="G22" s="28"/>
    </row>
    <row r="23" spans="1:7" ht="12.2" customHeight="1">
      <c r="A23" s="64" t="s">
        <v>2138</v>
      </c>
      <c r="B23" s="30"/>
      <c r="C23" s="30"/>
      <c r="D23" s="30"/>
      <c r="E23" s="30"/>
      <c r="F23" s="30"/>
      <c r="G23" s="28"/>
    </row>
    <row r="24" spans="1:7" ht="12.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7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7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7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53">
    <tabColor rgb="FFFFC000"/>
  </sheetPr>
  <dimension ref="A1:G24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2" customWidth="1"/>
    <col min="7" max="7" width="16.7109375" customWidth="1"/>
  </cols>
  <sheetData>
    <row r="1" spans="1:7" ht="12.2" customHeight="1">
      <c r="A1" s="139" t="s">
        <v>2423</v>
      </c>
      <c r="B1" s="68"/>
      <c r="C1" s="68"/>
      <c r="D1" s="68"/>
      <c r="E1" s="68"/>
      <c r="F1" s="68"/>
      <c r="G1" s="66"/>
    </row>
    <row r="2" spans="1:7" ht="12.2" customHeight="1">
      <c r="A2" s="165"/>
      <c r="B2" s="68"/>
      <c r="C2" s="68"/>
      <c r="D2" s="68"/>
      <c r="E2" s="68"/>
      <c r="F2" s="68"/>
      <c r="G2" s="66"/>
    </row>
    <row r="3" spans="1:7" ht="12.2" customHeight="1">
      <c r="A3" s="158" t="s">
        <v>2424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2" customHeight="1">
      <c r="A7" s="57"/>
      <c r="B7" s="58" t="s">
        <v>673</v>
      </c>
      <c r="C7" s="58" t="s">
        <v>674</v>
      </c>
      <c r="D7" s="62" t="s">
        <v>675</v>
      </c>
      <c r="E7" s="58" t="s">
        <v>1468</v>
      </c>
      <c r="F7" s="57"/>
      <c r="G7" s="57"/>
    </row>
    <row r="8" spans="1:7" ht="12" customHeight="1">
      <c r="A8" s="57"/>
      <c r="B8" s="58" t="s">
        <v>1480</v>
      </c>
      <c r="C8" s="58" t="s">
        <v>678</v>
      </c>
      <c r="D8" s="62" t="s">
        <v>675</v>
      </c>
      <c r="E8" s="58" t="s">
        <v>900</v>
      </c>
      <c r="F8" s="57"/>
      <c r="G8" s="57"/>
    </row>
    <row r="9" spans="1:7" ht="12" customHeight="1">
      <c r="A9" s="57"/>
      <c r="B9" s="58" t="s">
        <v>683</v>
      </c>
      <c r="C9" s="58" t="s">
        <v>684</v>
      </c>
      <c r="D9" s="62" t="s">
        <v>675</v>
      </c>
      <c r="E9" s="58" t="s">
        <v>868</v>
      </c>
      <c r="F9" s="57"/>
      <c r="G9" s="57"/>
    </row>
    <row r="10" spans="1:7" ht="13.7" customHeight="1">
      <c r="A10" s="57"/>
      <c r="B10" s="57"/>
      <c r="C10" s="57"/>
      <c r="D10" s="57"/>
      <c r="E10" s="57"/>
      <c r="F10" s="57"/>
      <c r="G10" s="57"/>
    </row>
    <row r="11" spans="1:7" ht="12" customHeight="1">
      <c r="A11" s="57"/>
      <c r="B11" s="57"/>
      <c r="C11" s="57"/>
      <c r="D11" s="57"/>
      <c r="E11" s="1332" t="s">
        <v>685</v>
      </c>
      <c r="F11" s="1332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7" customHeight="1">
      <c r="A13" s="57"/>
      <c r="B13" s="58" t="s">
        <v>1481</v>
      </c>
      <c r="C13" s="57"/>
      <c r="D13" s="62" t="s">
        <v>853</v>
      </c>
      <c r="E13" s="58" t="s">
        <v>775</v>
      </c>
      <c r="F13" s="57"/>
      <c r="G13" s="57"/>
    </row>
    <row r="14" spans="1:7" ht="12" customHeight="1">
      <c r="A14" s="57"/>
      <c r="B14" s="57"/>
      <c r="C14" s="57"/>
      <c r="D14" s="57"/>
      <c r="E14" s="1332" t="s">
        <v>702</v>
      </c>
      <c r="F14" s="1332"/>
      <c r="G14" s="57"/>
    </row>
    <row r="15" spans="1:7" ht="12" customHeight="1">
      <c r="A15" s="62" t="s">
        <v>703</v>
      </c>
      <c r="B15" s="58" t="s">
        <v>704</v>
      </c>
      <c r="C15" s="57"/>
      <c r="D15" s="57"/>
      <c r="E15" s="57"/>
      <c r="F15" s="57"/>
      <c r="G15" s="57"/>
    </row>
    <row r="16" spans="1:7" ht="23.45" customHeight="1">
      <c r="A16" s="57"/>
      <c r="B16" s="63" t="s">
        <v>1482</v>
      </c>
      <c r="C16" s="57"/>
      <c r="D16" s="63" t="s">
        <v>1483</v>
      </c>
      <c r="E16" s="63" t="s">
        <v>1484</v>
      </c>
      <c r="F16" s="57"/>
      <c r="G16" s="57"/>
    </row>
    <row r="17" spans="1:7" ht="12" customHeight="1">
      <c r="A17" s="57"/>
      <c r="B17" s="57"/>
      <c r="C17" s="57"/>
      <c r="D17" s="57"/>
      <c r="E17" s="1332" t="s">
        <v>705</v>
      </c>
      <c r="F17" s="1332"/>
      <c r="G17" s="57"/>
    </row>
    <row r="18" spans="1:7" ht="12" customHeight="1">
      <c r="A18" s="57"/>
      <c r="B18" s="57"/>
      <c r="C18" s="57"/>
      <c r="D18" s="57"/>
      <c r="E18" s="57"/>
      <c r="F18" s="57"/>
      <c r="G18" s="57"/>
    </row>
    <row r="19" spans="1:7" ht="12" customHeight="1">
      <c r="A19" s="62" t="s">
        <v>706</v>
      </c>
      <c r="B19" s="1332" t="s">
        <v>707</v>
      </c>
      <c r="C19" s="1332"/>
      <c r="D19" s="1332"/>
      <c r="E19" s="1332"/>
      <c r="F19" s="1332"/>
      <c r="G19" s="57"/>
    </row>
    <row r="20" spans="1:7" ht="12" customHeight="1">
      <c r="A20" s="62" t="s">
        <v>708</v>
      </c>
      <c r="B20" s="1329" t="s">
        <v>709</v>
      </c>
      <c r="C20" s="1329"/>
      <c r="D20" s="1329"/>
      <c r="E20" s="1330" t="s">
        <v>710</v>
      </c>
      <c r="F20" s="1330"/>
      <c r="G20" s="57"/>
    </row>
    <row r="21" spans="1:7" ht="12" customHeight="1">
      <c r="A21" s="62" t="s">
        <v>711</v>
      </c>
      <c r="B21" s="1331" t="s">
        <v>712</v>
      </c>
      <c r="C21" s="1331"/>
      <c r="D21" s="1331"/>
      <c r="E21" s="1331"/>
      <c r="F21" s="1331"/>
      <c r="G21" s="57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54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.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2428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55"/>
  <dimension ref="A1:G39"/>
  <sheetViews>
    <sheetView topLeftCell="A16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.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2430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7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6"/>
  <dimension ref="A1:G37"/>
  <sheetViews>
    <sheetView topLeftCell="A13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57"/>
  <dimension ref="A1:G37"/>
  <sheetViews>
    <sheetView topLeftCell="A34" workbookViewId="0">
      <selection activeCell="A39" sqref="A39:G7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5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59"/>
  <dimension ref="A1:G37"/>
  <sheetViews>
    <sheetView topLeftCell="A19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2438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16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16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0.7109375" customWidth="1"/>
    <col min="3" max="3" width="8.42578125" customWidth="1"/>
    <col min="4" max="4" width="11" customWidth="1"/>
    <col min="5" max="5" width="15.5703125" customWidth="1"/>
    <col min="6" max="6" width="14.140625" customWidth="1"/>
    <col min="7" max="7" width="16.5703125" customWidth="1"/>
  </cols>
  <sheetData>
    <row r="1" spans="1:7">
      <c r="A1" s="64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2140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65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65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702</v>
      </c>
      <c r="F35" s="1332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2" t="s">
        <v>705</v>
      </c>
      <c r="F38" s="1332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3" t="s">
        <v>708</v>
      </c>
      <c r="B41" s="1329" t="s">
        <v>876</v>
      </c>
      <c r="C41" s="1329"/>
      <c r="D41" s="1329"/>
      <c r="E41" s="1330" t="s">
        <v>710</v>
      </c>
      <c r="F41" s="1330"/>
      <c r="G41" s="5"/>
    </row>
    <row r="42" spans="1:7" ht="12" customHeight="1">
      <c r="A42" s="3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16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164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16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16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2452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16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16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.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2456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5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16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.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2458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.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17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17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17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2463</v>
      </c>
    </row>
    <row r="3" spans="1:7" ht="35.1" customHeight="1">
      <c r="A3" s="77" t="s">
        <v>762</v>
      </c>
      <c r="B3" s="77" t="s">
        <v>763</v>
      </c>
      <c r="C3" s="77" t="s">
        <v>764</v>
      </c>
      <c r="D3" s="77" t="s">
        <v>765</v>
      </c>
      <c r="E3" s="77" t="s">
        <v>766</v>
      </c>
      <c r="F3" s="77" t="s">
        <v>767</v>
      </c>
      <c r="G3" s="7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  <pageSetup orientation="portrait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8" t="s">
        <v>2141</v>
      </c>
    </row>
    <row r="2" spans="1:7">
      <c r="A2" s="70"/>
    </row>
    <row r="3" spans="1:7">
      <c r="A3" s="71" t="s">
        <v>2142</v>
      </c>
    </row>
    <row r="4" spans="1:7">
      <c r="A4" s="64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7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7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7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1332" t="s">
        <v>685</v>
      </c>
      <c r="F11" s="1332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7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7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" customHeight="1">
      <c r="A16" s="5"/>
      <c r="B16" s="5"/>
      <c r="C16" s="5"/>
      <c r="D16" s="5"/>
      <c r="E16" s="1335" t="s">
        <v>702</v>
      </c>
      <c r="F16" s="1335"/>
      <c r="G16" s="5"/>
    </row>
    <row r="17" spans="1:7" ht="10.9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5"/>
      <c r="B19" s="5"/>
      <c r="C19" s="5"/>
      <c r="D19" s="5"/>
      <c r="E19" s="1335" t="s">
        <v>705</v>
      </c>
      <c r="F19" s="1335"/>
      <c r="G19" s="5"/>
    </row>
    <row r="20" spans="1:7" ht="10.9" customHeight="1">
      <c r="A20" s="5"/>
      <c r="B20" s="5"/>
      <c r="C20" s="5"/>
      <c r="D20" s="5"/>
      <c r="E20" s="5"/>
      <c r="F20" s="5"/>
      <c r="G20" s="5"/>
    </row>
    <row r="21" spans="1:7" ht="10.9" customHeight="1">
      <c r="A21" s="10" t="s">
        <v>706</v>
      </c>
      <c r="B21" s="1335" t="s">
        <v>707</v>
      </c>
      <c r="C21" s="1335"/>
      <c r="D21" s="1335"/>
      <c r="E21" s="1335"/>
      <c r="F21" s="1335"/>
      <c r="G21" s="5"/>
    </row>
    <row r="22" spans="1:7" ht="12" customHeight="1">
      <c r="A22" s="10" t="s">
        <v>708</v>
      </c>
      <c r="B22" s="1329" t="s">
        <v>876</v>
      </c>
      <c r="C22" s="1329"/>
      <c r="D22" s="1329"/>
      <c r="E22" s="1333" t="s">
        <v>710</v>
      </c>
      <c r="F22" s="1333"/>
      <c r="G22" s="5"/>
    </row>
    <row r="23" spans="1:7" ht="10.9" customHeight="1">
      <c r="A23" s="10" t="s">
        <v>711</v>
      </c>
      <c r="B23" s="1334" t="s">
        <v>712</v>
      </c>
      <c r="C23" s="1334"/>
      <c r="D23" s="1334"/>
      <c r="E23" s="1334"/>
      <c r="F23" s="1334"/>
      <c r="G23" s="5"/>
    </row>
    <row r="24" spans="1:7" ht="10.9" customHeight="1">
      <c r="A24" s="29"/>
      <c r="B24" s="32"/>
      <c r="C24" s="32"/>
      <c r="D24" s="32"/>
      <c r="E24" s="32"/>
      <c r="F24" s="32"/>
      <c r="G24" s="28"/>
    </row>
    <row r="25" spans="1:7" ht="10.9" customHeight="1">
      <c r="A25" s="71" t="s">
        <v>2143</v>
      </c>
      <c r="B25" s="32"/>
      <c r="C25" s="32"/>
      <c r="D25" s="32"/>
      <c r="E25" s="32"/>
      <c r="F25" s="32"/>
      <c r="G25" s="28"/>
    </row>
    <row r="26" spans="1:7" ht="10.9" customHeight="1">
      <c r="A26" s="65"/>
      <c r="B26" s="32"/>
      <c r="C26" s="32"/>
      <c r="D26" s="32"/>
      <c r="E26" s="32"/>
      <c r="F26" s="32"/>
      <c r="G26" s="28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7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7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1332" t="s">
        <v>685</v>
      </c>
      <c r="F33" s="1332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7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7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0" t="s">
        <v>708</v>
      </c>
      <c r="B44" s="1329" t="s">
        <v>876</v>
      </c>
      <c r="C44" s="1329"/>
      <c r="D44" s="1329"/>
      <c r="E44" s="1333" t="s">
        <v>710</v>
      </c>
      <c r="F44" s="1333"/>
      <c r="G44" s="5"/>
    </row>
    <row r="45" spans="1:7" ht="10.9" customHeight="1">
      <c r="A45" s="10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E11:F11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17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174"/>
  <dimension ref="A1:G37"/>
  <sheetViews>
    <sheetView topLeftCell="A16" workbookViewId="0">
      <selection activeCell="H43" sqref="H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175"/>
  <dimension ref="A1:G37"/>
  <sheetViews>
    <sheetView topLeftCell="A13"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17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17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17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7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80"/>
  <dimension ref="A1:J39"/>
  <sheetViews>
    <sheetView topLeftCell="A25" workbookViewId="0">
      <selection sqref="A1:J39"/>
    </sheetView>
  </sheetViews>
  <sheetFormatPr defaultRowHeight="15"/>
  <cols>
    <col min="1" max="1" width="5.28515625" customWidth="1"/>
    <col min="2" max="2" width="22.28515625" customWidth="1"/>
    <col min="3" max="3" width="12.5703125" customWidth="1"/>
    <col min="4" max="4" width="7" customWidth="1"/>
    <col min="5" max="5" width="11" customWidth="1"/>
    <col min="6" max="6" width="0" hidden="1" customWidth="1"/>
    <col min="7" max="7" width="14.85546875" customWidth="1"/>
    <col min="8" max="8" width="14.28515625" customWidth="1"/>
    <col min="9" max="9" width="0" hidden="1" customWidth="1"/>
    <col min="10" max="10" width="16.7109375" customWidth="1"/>
  </cols>
  <sheetData>
    <row r="1" spans="1:10">
      <c r="A1" s="64" t="s">
        <v>2479</v>
      </c>
    </row>
    <row r="3" spans="1:10" ht="35.1" customHeight="1">
      <c r="A3" s="6" t="s">
        <v>762</v>
      </c>
      <c r="B3" s="1344" t="s">
        <v>763</v>
      </c>
      <c r="C3" s="1344"/>
      <c r="D3" s="6" t="s">
        <v>764</v>
      </c>
      <c r="E3" s="1344" t="s">
        <v>765</v>
      </c>
      <c r="F3" s="1344"/>
      <c r="G3" s="6" t="s">
        <v>766</v>
      </c>
      <c r="H3" s="7" t="s">
        <v>767</v>
      </c>
      <c r="I3" s="1345" t="s">
        <v>768</v>
      </c>
      <c r="J3" s="1345"/>
    </row>
    <row r="4" spans="1:10" ht="12" customHeight="1">
      <c r="A4" s="12" t="s">
        <v>671</v>
      </c>
      <c r="B4" s="1330" t="s">
        <v>672</v>
      </c>
      <c r="C4" s="1330"/>
      <c r="D4" s="5"/>
      <c r="E4" s="1343"/>
      <c r="F4" s="1343"/>
      <c r="G4" s="5"/>
      <c r="H4" s="5"/>
      <c r="I4" s="1343"/>
      <c r="J4" s="1343"/>
    </row>
    <row r="5" spans="1:10" ht="12" customHeight="1">
      <c r="A5" s="5"/>
      <c r="B5" s="1330" t="s">
        <v>673</v>
      </c>
      <c r="C5" s="1330"/>
      <c r="D5" s="3" t="s">
        <v>674</v>
      </c>
      <c r="E5" s="1347" t="s">
        <v>675</v>
      </c>
      <c r="F5" s="1347"/>
      <c r="G5" s="3" t="s">
        <v>1653</v>
      </c>
      <c r="H5" s="5"/>
      <c r="I5" s="1343"/>
      <c r="J5" s="1343"/>
    </row>
    <row r="6" spans="1:10" ht="12" customHeight="1">
      <c r="A6" s="5"/>
      <c r="B6" s="1330" t="s">
        <v>1480</v>
      </c>
      <c r="C6" s="1330"/>
      <c r="D6" s="3" t="s">
        <v>678</v>
      </c>
      <c r="E6" s="1347" t="s">
        <v>675</v>
      </c>
      <c r="F6" s="1347"/>
      <c r="G6" s="3" t="s">
        <v>1654</v>
      </c>
      <c r="H6" s="5"/>
      <c r="I6" s="1343"/>
      <c r="J6" s="1343"/>
    </row>
    <row r="7" spans="1:10" ht="12" customHeight="1">
      <c r="A7" s="5"/>
      <c r="B7" s="1330" t="s">
        <v>683</v>
      </c>
      <c r="C7" s="1330"/>
      <c r="D7" s="3" t="s">
        <v>684</v>
      </c>
      <c r="E7" s="1347" t="s">
        <v>675</v>
      </c>
      <c r="F7" s="1347"/>
      <c r="G7" s="3" t="s">
        <v>1655</v>
      </c>
      <c r="H7" s="5"/>
      <c r="I7" s="1343"/>
      <c r="J7" s="1343"/>
    </row>
    <row r="8" spans="1:10" ht="12" customHeight="1">
      <c r="A8" s="5"/>
      <c r="B8" s="1343"/>
      <c r="C8" s="1343"/>
      <c r="D8" s="5"/>
      <c r="E8" s="1343"/>
      <c r="F8" s="1343"/>
      <c r="G8" s="1332" t="s">
        <v>685</v>
      </c>
      <c r="H8" s="1332"/>
      <c r="I8" s="1343"/>
      <c r="J8" s="1343"/>
    </row>
    <row r="9" spans="1:10" ht="12" customHeight="1">
      <c r="A9" s="12" t="s">
        <v>686</v>
      </c>
      <c r="B9" s="1330" t="s">
        <v>687</v>
      </c>
      <c r="C9" s="1330"/>
      <c r="D9" s="5"/>
      <c r="E9" s="1343"/>
      <c r="F9" s="1343"/>
      <c r="G9" s="5"/>
      <c r="H9" s="5"/>
      <c r="I9" s="1343"/>
      <c r="J9" s="1343"/>
    </row>
    <row r="10" spans="1:10" ht="13.7" customHeight="1">
      <c r="A10" s="5"/>
      <c r="B10" s="1330" t="s">
        <v>1656</v>
      </c>
      <c r="C10" s="1330"/>
      <c r="D10" s="5"/>
      <c r="E10" s="1347" t="s">
        <v>853</v>
      </c>
      <c r="F10" s="1347"/>
      <c r="G10" s="3" t="s">
        <v>775</v>
      </c>
      <c r="H10" s="5"/>
      <c r="I10" s="1343"/>
      <c r="J10" s="1343"/>
    </row>
    <row r="11" spans="1:10" ht="12" customHeight="1">
      <c r="A11" s="5"/>
      <c r="B11" s="1343"/>
      <c r="C11" s="1343"/>
      <c r="D11" s="5"/>
      <c r="E11" s="1343"/>
      <c r="F11" s="1343"/>
      <c r="G11" s="1332" t="s">
        <v>702</v>
      </c>
      <c r="H11" s="1332"/>
      <c r="I11" s="1343"/>
      <c r="J11" s="1343"/>
    </row>
    <row r="12" spans="1:10" ht="12" customHeight="1">
      <c r="A12" s="12" t="s">
        <v>703</v>
      </c>
      <c r="B12" s="1330" t="s">
        <v>704</v>
      </c>
      <c r="C12" s="1330"/>
      <c r="D12" s="5"/>
      <c r="E12" s="1343"/>
      <c r="F12" s="1343"/>
      <c r="G12" s="5"/>
      <c r="H12" s="5"/>
      <c r="I12" s="1343"/>
      <c r="J12" s="1343"/>
    </row>
    <row r="13" spans="1:10" ht="23.45" customHeight="1">
      <c r="A13" s="5"/>
      <c r="B13" s="1346" t="s">
        <v>1482</v>
      </c>
      <c r="C13" s="1346"/>
      <c r="D13" s="5"/>
      <c r="E13" s="1346" t="s">
        <v>1483</v>
      </c>
      <c r="F13" s="1346"/>
      <c r="G13" s="2" t="s">
        <v>1657</v>
      </c>
      <c r="H13" s="5"/>
      <c r="I13" s="1343"/>
      <c r="J13" s="1343"/>
    </row>
    <row r="14" spans="1:10" ht="12" customHeight="1">
      <c r="A14" s="5"/>
      <c r="B14" s="1343"/>
      <c r="C14" s="1343"/>
      <c r="D14" s="5"/>
      <c r="E14" s="1343"/>
      <c r="F14" s="1343"/>
      <c r="G14" s="1332" t="s">
        <v>705</v>
      </c>
      <c r="H14" s="1332"/>
      <c r="I14" s="1343"/>
      <c r="J14" s="1343"/>
    </row>
    <row r="15" spans="1:10" ht="12" customHeight="1">
      <c r="A15" s="5"/>
      <c r="B15" s="1343"/>
      <c r="C15" s="1343"/>
      <c r="D15" s="5"/>
      <c r="E15" s="1343"/>
      <c r="F15" s="1343"/>
      <c r="G15" s="5"/>
      <c r="H15" s="5"/>
      <c r="I15" s="1343"/>
      <c r="J15" s="1343"/>
    </row>
    <row r="16" spans="1:10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1332"/>
      <c r="H16" s="1332"/>
      <c r="I16" s="1343"/>
      <c r="J16" s="1343"/>
    </row>
    <row r="17" spans="1:10" ht="12" customHeight="1">
      <c r="A17" s="12" t="s">
        <v>708</v>
      </c>
      <c r="B17" s="1329" t="s">
        <v>709</v>
      </c>
      <c r="C17" s="1329"/>
      <c r="D17" s="1329"/>
      <c r="E17" s="1329"/>
      <c r="F17" s="1329"/>
      <c r="G17" s="1330" t="s">
        <v>710</v>
      </c>
      <c r="H17" s="1330"/>
      <c r="I17" s="1343"/>
      <c r="J17" s="1343"/>
    </row>
    <row r="18" spans="1:10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1331"/>
      <c r="H18" s="1331"/>
      <c r="I18" s="1343"/>
      <c r="J18" s="1343"/>
    </row>
    <row r="19" spans="1:10" ht="12" customHeight="1">
      <c r="A19" s="90"/>
      <c r="B19" s="89"/>
      <c r="C19" s="89"/>
      <c r="D19" s="89"/>
      <c r="E19" s="89"/>
      <c r="F19" s="89"/>
      <c r="G19" s="89"/>
      <c r="H19" s="89"/>
      <c r="I19" s="88"/>
      <c r="J19" s="88"/>
    </row>
    <row r="20" spans="1:10" ht="12" customHeight="1">
      <c r="A20" s="71" t="s">
        <v>2480</v>
      </c>
      <c r="B20" s="89"/>
      <c r="C20" s="89"/>
      <c r="D20" s="89"/>
      <c r="E20" s="89"/>
      <c r="F20" s="89"/>
      <c r="G20" s="89"/>
      <c r="H20" s="89"/>
      <c r="I20" s="88"/>
      <c r="J20" s="88"/>
    </row>
    <row r="21" spans="1:10" ht="12" customHeight="1">
      <c r="A21" s="90"/>
      <c r="B21" s="89"/>
      <c r="C21" s="89"/>
      <c r="D21" s="89"/>
      <c r="E21" s="89"/>
      <c r="F21" s="89"/>
      <c r="G21" s="89"/>
      <c r="H21" s="89"/>
      <c r="I21" s="88"/>
      <c r="J21" s="88"/>
    </row>
    <row r="22" spans="1:10" ht="35.1" customHeight="1">
      <c r="A22" s="6" t="s">
        <v>762</v>
      </c>
      <c r="B22" s="6" t="s">
        <v>763</v>
      </c>
      <c r="C22" s="1344" t="s">
        <v>764</v>
      </c>
      <c r="D22" s="1344"/>
      <c r="E22" s="6" t="s">
        <v>765</v>
      </c>
      <c r="F22" s="1344" t="s">
        <v>766</v>
      </c>
      <c r="G22" s="1344"/>
      <c r="H22" s="1345" t="s">
        <v>767</v>
      </c>
      <c r="I22" s="1345"/>
      <c r="J22" s="7" t="s">
        <v>768</v>
      </c>
    </row>
    <row r="23" spans="1:10" ht="12" customHeight="1">
      <c r="A23" s="12" t="s">
        <v>671</v>
      </c>
      <c r="B23" s="3" t="s">
        <v>672</v>
      </c>
      <c r="C23" s="1343"/>
      <c r="D23" s="1343"/>
      <c r="E23" s="5"/>
      <c r="F23" s="1343"/>
      <c r="G23" s="1343"/>
      <c r="H23" s="1343"/>
      <c r="I23" s="1343"/>
      <c r="J23" s="5"/>
    </row>
    <row r="24" spans="1:10" ht="12" customHeight="1">
      <c r="A24" s="5"/>
      <c r="B24" s="3" t="s">
        <v>673</v>
      </c>
      <c r="C24" s="1330" t="s">
        <v>674</v>
      </c>
      <c r="D24" s="1330"/>
      <c r="E24" s="12" t="s">
        <v>675</v>
      </c>
      <c r="F24" s="1330" t="s">
        <v>1658</v>
      </c>
      <c r="G24" s="1330"/>
      <c r="H24" s="1343"/>
      <c r="I24" s="1343"/>
      <c r="J24" s="5"/>
    </row>
    <row r="25" spans="1:10" ht="12" customHeight="1">
      <c r="A25" s="5"/>
      <c r="B25" s="3" t="s">
        <v>1480</v>
      </c>
      <c r="C25" s="1330" t="s">
        <v>678</v>
      </c>
      <c r="D25" s="1330"/>
      <c r="E25" s="12" t="s">
        <v>675</v>
      </c>
      <c r="F25" s="1330" t="s">
        <v>1659</v>
      </c>
      <c r="G25" s="1330"/>
      <c r="H25" s="1343"/>
      <c r="I25" s="1343"/>
      <c r="J25" s="5"/>
    </row>
    <row r="26" spans="1:10" ht="12" customHeight="1">
      <c r="A26" s="5"/>
      <c r="B26" s="3" t="s">
        <v>1660</v>
      </c>
      <c r="C26" s="1330" t="s">
        <v>1661</v>
      </c>
      <c r="D26" s="1330"/>
      <c r="E26" s="12" t="s">
        <v>675</v>
      </c>
      <c r="F26" s="1330" t="s">
        <v>1018</v>
      </c>
      <c r="G26" s="1330"/>
      <c r="H26" s="1343"/>
      <c r="I26" s="1343"/>
      <c r="J26" s="5"/>
    </row>
    <row r="27" spans="1:10" ht="12" customHeight="1">
      <c r="A27" s="5"/>
      <c r="B27" s="3" t="s">
        <v>683</v>
      </c>
      <c r="C27" s="1330" t="s">
        <v>684</v>
      </c>
      <c r="D27" s="1330"/>
      <c r="E27" s="12" t="s">
        <v>675</v>
      </c>
      <c r="F27" s="1330" t="s">
        <v>1662</v>
      </c>
      <c r="G27" s="1330"/>
      <c r="H27" s="1343"/>
      <c r="I27" s="1343"/>
      <c r="J27" s="5"/>
    </row>
    <row r="28" spans="1:10" ht="12" customHeight="1">
      <c r="A28" s="5"/>
      <c r="B28" s="1332" t="s">
        <v>685</v>
      </c>
      <c r="C28" s="1332"/>
      <c r="D28" s="1332"/>
      <c r="E28" s="1332"/>
      <c r="F28" s="1332"/>
      <c r="G28" s="1332"/>
      <c r="H28" s="1332"/>
      <c r="I28" s="1332"/>
      <c r="J28" s="5"/>
    </row>
    <row r="29" spans="1:10" ht="12" customHeight="1">
      <c r="A29" s="12" t="s">
        <v>686</v>
      </c>
      <c r="B29" s="3" t="s">
        <v>687</v>
      </c>
      <c r="C29" s="1343"/>
      <c r="D29" s="1343"/>
      <c r="E29" s="5"/>
      <c r="F29" s="1343"/>
      <c r="G29" s="1343"/>
      <c r="H29" s="1343"/>
      <c r="I29" s="1343"/>
      <c r="J29" s="5"/>
    </row>
    <row r="30" spans="1:10" ht="13.7" customHeight="1">
      <c r="A30" s="5"/>
      <c r="B30" s="3" t="s">
        <v>1663</v>
      </c>
      <c r="C30" s="1343"/>
      <c r="D30" s="1343"/>
      <c r="E30" s="12" t="s">
        <v>853</v>
      </c>
      <c r="F30" s="1330" t="s">
        <v>775</v>
      </c>
      <c r="G30" s="1330"/>
      <c r="H30" s="1343"/>
      <c r="I30" s="1343"/>
      <c r="J30" s="5"/>
    </row>
    <row r="31" spans="1:10" ht="12" customHeight="1">
      <c r="A31" s="5"/>
      <c r="B31" s="5"/>
      <c r="C31" s="1343"/>
      <c r="D31" s="1343"/>
      <c r="E31" s="5"/>
      <c r="F31" s="1332" t="s">
        <v>702</v>
      </c>
      <c r="G31" s="1332"/>
      <c r="H31" s="1332"/>
      <c r="I31" s="1332"/>
      <c r="J31" s="5"/>
    </row>
    <row r="32" spans="1:10" ht="12" customHeight="1">
      <c r="A32" s="12" t="s">
        <v>703</v>
      </c>
      <c r="B32" s="3" t="s">
        <v>704</v>
      </c>
      <c r="C32" s="1343"/>
      <c r="D32" s="1343"/>
      <c r="E32" s="5"/>
      <c r="F32" s="1343"/>
      <c r="G32" s="1343"/>
      <c r="H32" s="1343"/>
      <c r="I32" s="1343"/>
      <c r="J32" s="5"/>
    </row>
    <row r="33" spans="1:10" ht="23.45" customHeight="1">
      <c r="A33" s="5"/>
      <c r="B33" s="2" t="s">
        <v>1664</v>
      </c>
      <c r="C33" s="1343"/>
      <c r="D33" s="1343"/>
      <c r="E33" s="12" t="s">
        <v>1665</v>
      </c>
      <c r="F33" s="1330" t="s">
        <v>1065</v>
      </c>
      <c r="G33" s="1330"/>
      <c r="H33" s="1343"/>
      <c r="I33" s="1343"/>
      <c r="J33" s="5"/>
    </row>
    <row r="34" spans="1:10" ht="23.45" customHeight="1">
      <c r="A34" s="5"/>
      <c r="B34" s="2" t="s">
        <v>1666</v>
      </c>
      <c r="C34" s="1343"/>
      <c r="D34" s="1343"/>
      <c r="E34" s="12" t="s">
        <v>1665</v>
      </c>
      <c r="F34" s="1330" t="s">
        <v>1080</v>
      </c>
      <c r="G34" s="1330"/>
      <c r="H34" s="1343"/>
      <c r="I34" s="1343"/>
      <c r="J34" s="5"/>
    </row>
    <row r="35" spans="1:10" ht="12" customHeight="1">
      <c r="A35" s="1342" t="s">
        <v>705</v>
      </c>
      <c r="B35" s="1342"/>
      <c r="C35" s="1342"/>
      <c r="D35" s="1342"/>
      <c r="E35" s="1342"/>
      <c r="F35" s="1342"/>
      <c r="G35" s="1342"/>
      <c r="H35" s="1342"/>
      <c r="I35" s="1342"/>
      <c r="J35" s="5"/>
    </row>
    <row r="36" spans="1:10" ht="12" customHeight="1">
      <c r="A36" s="5"/>
      <c r="B36" s="5"/>
      <c r="C36" s="1343"/>
      <c r="D36" s="1343"/>
      <c r="E36" s="5"/>
      <c r="F36" s="1343"/>
      <c r="G36" s="1343"/>
      <c r="H36" s="1343"/>
      <c r="I36" s="1343"/>
      <c r="J36" s="5"/>
    </row>
    <row r="37" spans="1:10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1332"/>
      <c r="H37" s="1332"/>
      <c r="I37" s="1332"/>
      <c r="J37" s="5"/>
    </row>
    <row r="38" spans="1:10" ht="12" customHeight="1">
      <c r="A38" s="12" t="s">
        <v>708</v>
      </c>
      <c r="B38" s="1329" t="s">
        <v>709</v>
      </c>
      <c r="C38" s="1329"/>
      <c r="D38" s="1329"/>
      <c r="E38" s="1329"/>
      <c r="F38" s="1330" t="s">
        <v>710</v>
      </c>
      <c r="G38" s="1330"/>
      <c r="H38" s="1330"/>
      <c r="I38" s="1330"/>
      <c r="J38" s="5"/>
    </row>
    <row r="39" spans="1:10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1331"/>
      <c r="H39" s="1331"/>
      <c r="I39" s="1331"/>
      <c r="J39" s="5"/>
    </row>
  </sheetData>
  <mergeCells count="93">
    <mergeCell ref="B3:C3"/>
    <mergeCell ref="E3:F3"/>
    <mergeCell ref="I3:J3"/>
    <mergeCell ref="B4:C4"/>
    <mergeCell ref="E4:F4"/>
    <mergeCell ref="I4:J4"/>
    <mergeCell ref="B5:C5"/>
    <mergeCell ref="E5:F5"/>
    <mergeCell ref="I5:J5"/>
    <mergeCell ref="B6:C6"/>
    <mergeCell ref="E6:F6"/>
    <mergeCell ref="I6:J6"/>
    <mergeCell ref="B7:C7"/>
    <mergeCell ref="E7:F7"/>
    <mergeCell ref="I7:J7"/>
    <mergeCell ref="B8:C8"/>
    <mergeCell ref="E8:F8"/>
    <mergeCell ref="G8:H8"/>
    <mergeCell ref="I8:J8"/>
    <mergeCell ref="B9:C9"/>
    <mergeCell ref="E9:F9"/>
    <mergeCell ref="I9:J9"/>
    <mergeCell ref="B10:C10"/>
    <mergeCell ref="E10:F10"/>
    <mergeCell ref="I10:J10"/>
    <mergeCell ref="B11:C11"/>
    <mergeCell ref="E11:F11"/>
    <mergeCell ref="G11:H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G14:H14"/>
    <mergeCell ref="I14:J14"/>
    <mergeCell ref="B15:C15"/>
    <mergeCell ref="E15:F15"/>
    <mergeCell ref="I15:J15"/>
    <mergeCell ref="B16:H16"/>
    <mergeCell ref="I16:J16"/>
    <mergeCell ref="B17:F17"/>
    <mergeCell ref="G17:H17"/>
    <mergeCell ref="I17:J17"/>
    <mergeCell ref="B18:H18"/>
    <mergeCell ref="I18:J18"/>
    <mergeCell ref="C22:D22"/>
    <mergeCell ref="F22:G22"/>
    <mergeCell ref="H22:I22"/>
    <mergeCell ref="C23:D23"/>
    <mergeCell ref="F23:G23"/>
    <mergeCell ref="H23:I23"/>
    <mergeCell ref="C24:D24"/>
    <mergeCell ref="F24:G24"/>
    <mergeCell ref="H24:I24"/>
    <mergeCell ref="C25:D25"/>
    <mergeCell ref="F25:G25"/>
    <mergeCell ref="H25:I25"/>
    <mergeCell ref="C26:D26"/>
    <mergeCell ref="F26:G26"/>
    <mergeCell ref="H26:I26"/>
    <mergeCell ref="C27:D27"/>
    <mergeCell ref="F27:G27"/>
    <mergeCell ref="H27:I27"/>
    <mergeCell ref="B28:I28"/>
    <mergeCell ref="C29:D29"/>
    <mergeCell ref="F29:G29"/>
    <mergeCell ref="H29:I29"/>
    <mergeCell ref="C30:D30"/>
    <mergeCell ref="F30:G30"/>
    <mergeCell ref="H30:I30"/>
    <mergeCell ref="C31:D31"/>
    <mergeCell ref="F31:I31"/>
    <mergeCell ref="C32:D32"/>
    <mergeCell ref="F32:G32"/>
    <mergeCell ref="H32:I32"/>
    <mergeCell ref="C33:D33"/>
    <mergeCell ref="F33:G33"/>
    <mergeCell ref="H33:I33"/>
    <mergeCell ref="C34:D34"/>
    <mergeCell ref="F34:G34"/>
    <mergeCell ref="H34:I34"/>
    <mergeCell ref="B38:E38"/>
    <mergeCell ref="F38:I38"/>
    <mergeCell ref="B39:I39"/>
    <mergeCell ref="A35:I35"/>
    <mergeCell ref="C36:D36"/>
    <mergeCell ref="F36:G36"/>
    <mergeCell ref="H36:I36"/>
    <mergeCell ref="B37:I37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81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style="100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77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101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02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02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02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02" t="s">
        <v>675</v>
      </c>
      <c r="E8" s="3" t="s">
        <v>1670</v>
      </c>
      <c r="F8" s="5"/>
      <c r="G8" s="5"/>
    </row>
    <row r="9" spans="1:7" ht="12" customHeight="1">
      <c r="A9" s="5"/>
      <c r="B9" s="1332" t="s">
        <v>685</v>
      </c>
      <c r="C9" s="1332"/>
      <c r="D9" s="1332"/>
      <c r="E9" s="1332"/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101"/>
      <c r="E10" s="5"/>
      <c r="F10" s="5"/>
      <c r="G10" s="5"/>
    </row>
    <row r="11" spans="1:7" ht="13.7" customHeight="1">
      <c r="A11" s="5"/>
      <c r="B11" s="3" t="s">
        <v>1671</v>
      </c>
      <c r="C11" s="5"/>
      <c r="D11" s="10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101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101"/>
      <c r="E13" s="5"/>
      <c r="F13" s="5"/>
      <c r="G13" s="5"/>
    </row>
    <row r="14" spans="1:7" ht="23.45" customHeight="1">
      <c r="A14" s="5"/>
      <c r="B14" s="2" t="s">
        <v>1664</v>
      </c>
      <c r="C14" s="5"/>
      <c r="D14" s="102" t="s">
        <v>1665</v>
      </c>
      <c r="E14" s="3" t="s">
        <v>1072</v>
      </c>
      <c r="F14" s="5"/>
      <c r="G14" s="5"/>
    </row>
    <row r="15" spans="1:7" ht="36.950000000000003" customHeight="1">
      <c r="A15" s="5"/>
      <c r="B15" s="2" t="s">
        <v>1666</v>
      </c>
      <c r="C15" s="5"/>
      <c r="D15" s="103" t="s">
        <v>1483</v>
      </c>
      <c r="E15" s="3" t="s">
        <v>826</v>
      </c>
      <c r="F15" s="5"/>
      <c r="G15" s="5"/>
    </row>
    <row r="16" spans="1:7" ht="12" customHeight="1">
      <c r="A16" s="1348" t="s">
        <v>705</v>
      </c>
      <c r="B16" s="1348"/>
      <c r="C16" s="1348"/>
      <c r="D16" s="1348"/>
      <c r="E16" s="1348"/>
      <c r="F16" s="1348"/>
      <c r="G16" s="5"/>
    </row>
    <row r="17" spans="1:7" ht="12" customHeight="1">
      <c r="A17" s="12" t="s">
        <v>706</v>
      </c>
      <c r="B17" s="1349" t="s">
        <v>707</v>
      </c>
      <c r="C17" s="1349"/>
      <c r="D17" s="1349"/>
      <c r="E17" s="1349"/>
      <c r="F17" s="1349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0"/>
      <c r="B20" s="89"/>
      <c r="C20" s="89"/>
      <c r="D20" s="104"/>
      <c r="E20" s="89"/>
      <c r="F20" s="89"/>
      <c r="G20" s="88"/>
    </row>
    <row r="21" spans="1:7" ht="12" customHeight="1">
      <c r="A21" s="64" t="s">
        <v>2482</v>
      </c>
      <c r="B21" s="89"/>
      <c r="C21" s="89"/>
      <c r="D21" s="104"/>
      <c r="E21" s="89"/>
      <c r="F21" s="89"/>
      <c r="G21" s="88"/>
    </row>
    <row r="22" spans="1:7" ht="12" customHeight="1">
      <c r="A22" s="90"/>
      <c r="B22" s="89"/>
      <c r="C22" s="89"/>
      <c r="D22" s="104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77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101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02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02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02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02" t="s">
        <v>675</v>
      </c>
      <c r="E28" s="3" t="s">
        <v>1675</v>
      </c>
      <c r="F28" s="5"/>
      <c r="G28" s="5"/>
    </row>
    <row r="29" spans="1:7" ht="12" customHeight="1">
      <c r="A29" s="5"/>
      <c r="B29" s="1332" t="s">
        <v>685</v>
      </c>
      <c r="C29" s="1332"/>
      <c r="D29" s="1332"/>
      <c r="E29" s="1332"/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101"/>
      <c r="E30" s="5"/>
      <c r="F30" s="5"/>
      <c r="G30" s="5"/>
    </row>
    <row r="31" spans="1:7" ht="13.7" customHeight="1">
      <c r="A31" s="5"/>
      <c r="B31" s="3" t="s">
        <v>1676</v>
      </c>
      <c r="C31" s="5"/>
      <c r="D31" s="10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101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101"/>
      <c r="E33" s="5"/>
      <c r="F33" s="5"/>
      <c r="G33" s="5"/>
    </row>
    <row r="34" spans="1:7" ht="23.45" customHeight="1">
      <c r="A34" s="5"/>
      <c r="B34" s="2" t="s">
        <v>1664</v>
      </c>
      <c r="C34" s="5"/>
      <c r="D34" s="102" t="s">
        <v>1665</v>
      </c>
      <c r="E34" s="3" t="s">
        <v>919</v>
      </c>
      <c r="F34" s="5"/>
      <c r="G34" s="5"/>
    </row>
    <row r="35" spans="1:7" ht="36.950000000000003" customHeight="1">
      <c r="A35" s="5"/>
      <c r="B35" s="2" t="s">
        <v>1666</v>
      </c>
      <c r="C35" s="5"/>
      <c r="D35" s="103" t="s">
        <v>1483</v>
      </c>
      <c r="E35" s="3" t="s">
        <v>795</v>
      </c>
      <c r="F35" s="5"/>
      <c r="G35" s="5"/>
    </row>
    <row r="36" spans="1:7" ht="12" customHeight="1">
      <c r="A36" s="1342" t="s">
        <v>705</v>
      </c>
      <c r="B36" s="1342"/>
      <c r="C36" s="1342"/>
      <c r="D36" s="1342"/>
      <c r="E36" s="1342"/>
      <c r="F36" s="1342"/>
      <c r="G36" s="5"/>
    </row>
    <row r="37" spans="1:7" ht="12" customHeight="1">
      <c r="A37" s="5"/>
      <c r="B37" s="5"/>
      <c r="C37" s="5"/>
      <c r="D37" s="101"/>
      <c r="E37" s="5"/>
      <c r="F37" s="5"/>
      <c r="G37" s="5"/>
    </row>
    <row r="38" spans="1:7" ht="12" customHeight="1">
      <c r="A38" s="12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2" customHeight="1">
      <c r="A39" s="12" t="s">
        <v>708</v>
      </c>
      <c r="B39" s="1329" t="s">
        <v>709</v>
      </c>
      <c r="C39" s="1329"/>
      <c r="D39" s="1329"/>
      <c r="E39" s="1330" t="s">
        <v>710</v>
      </c>
      <c r="F39" s="1330"/>
      <c r="G39" s="5"/>
    </row>
    <row r="40" spans="1:7" ht="12" customHeight="1">
      <c r="A40" s="12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B9:F9"/>
    <mergeCell ref="E12:F12"/>
    <mergeCell ref="A16:F16"/>
    <mergeCell ref="B17:F17"/>
    <mergeCell ref="B18:D18"/>
    <mergeCell ref="E18:F18"/>
    <mergeCell ref="B39:D39"/>
    <mergeCell ref="E39:F39"/>
    <mergeCell ref="B40:F40"/>
    <mergeCell ref="B19:F19"/>
    <mergeCell ref="B29:F29"/>
    <mergeCell ref="E32:F32"/>
    <mergeCell ref="A36:F36"/>
    <mergeCell ref="B38:F38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8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1332" t="s">
        <v>685</v>
      </c>
      <c r="C9" s="1332"/>
      <c r="D9" s="1332"/>
      <c r="E9" s="1332"/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50000000000003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1348" t="s">
        <v>705</v>
      </c>
      <c r="B16" s="1348"/>
      <c r="C16" s="1348"/>
      <c r="D16" s="1348"/>
      <c r="E16" s="1348"/>
      <c r="F16" s="1348"/>
      <c r="G16" s="5"/>
    </row>
    <row r="17" spans="1:7" ht="12" customHeight="1">
      <c r="A17" s="12" t="s">
        <v>706</v>
      </c>
      <c r="B17" s="1349" t="s">
        <v>707</v>
      </c>
      <c r="C17" s="1349"/>
      <c r="D17" s="1349"/>
      <c r="E17" s="1349"/>
      <c r="F17" s="1349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2484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1332" t="s">
        <v>685</v>
      </c>
      <c r="C29" s="1332"/>
      <c r="D29" s="1332"/>
      <c r="E29" s="1332"/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42" t="s">
        <v>702</v>
      </c>
      <c r="B32" s="1342"/>
      <c r="C32" s="1342"/>
      <c r="D32" s="1342"/>
      <c r="E32" s="1342"/>
      <c r="F32" s="134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1348" t="s">
        <v>705</v>
      </c>
      <c r="B36" s="1348"/>
      <c r="C36" s="1348"/>
      <c r="D36" s="1348"/>
      <c r="E36" s="1348"/>
      <c r="F36" s="1348"/>
      <c r="G36" s="5"/>
    </row>
    <row r="37" spans="1:7" ht="12" customHeight="1">
      <c r="A37" s="12" t="s">
        <v>706</v>
      </c>
      <c r="B37" s="1349" t="s">
        <v>707</v>
      </c>
      <c r="C37" s="1349"/>
      <c r="D37" s="1349"/>
      <c r="E37" s="1349"/>
      <c r="F37" s="1349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B9:F9"/>
    <mergeCell ref="E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2144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7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7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7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7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7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29" t="s">
        <v>876</v>
      </c>
      <c r="C20" s="1329"/>
      <c r="D20" s="1329"/>
      <c r="E20" s="1333" t="s">
        <v>710</v>
      </c>
      <c r="F20" s="1333"/>
      <c r="G20" s="5"/>
    </row>
    <row r="21" spans="1:7" ht="10.9" customHeight="1">
      <c r="A21" s="10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2145</v>
      </c>
      <c r="B23" s="32"/>
      <c r="C23" s="32"/>
      <c r="D23" s="32"/>
      <c r="E23" s="32"/>
      <c r="F23" s="32"/>
      <c r="G23" s="28"/>
    </row>
    <row r="24" spans="1:7" ht="10.9" customHeight="1">
      <c r="A24" s="65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7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7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7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7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29" t="s">
        <v>876</v>
      </c>
      <c r="C42" s="1329"/>
      <c r="D42" s="1329"/>
      <c r="E42" s="1333" t="s">
        <v>710</v>
      </c>
      <c r="F42" s="1333"/>
      <c r="G42" s="5"/>
    </row>
    <row r="43" spans="1:7" ht="10.9" customHeight="1">
      <c r="A43" s="10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8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1332" t="s">
        <v>685</v>
      </c>
      <c r="C9" s="1332"/>
      <c r="D9" s="1332"/>
      <c r="E9" s="1332"/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42" t="s">
        <v>702</v>
      </c>
      <c r="B12" s="1342"/>
      <c r="C12" s="1342"/>
      <c r="D12" s="1342"/>
      <c r="E12" s="1342"/>
      <c r="F12" s="134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1348" t="s">
        <v>705</v>
      </c>
      <c r="B16" s="1348"/>
      <c r="C16" s="1348"/>
      <c r="D16" s="1348"/>
      <c r="E16" s="1348"/>
      <c r="F16" s="1348"/>
      <c r="G16" s="5"/>
    </row>
    <row r="17" spans="1:7" ht="12" customHeight="1">
      <c r="A17" s="12" t="s">
        <v>706</v>
      </c>
      <c r="B17" s="1349" t="s">
        <v>707</v>
      </c>
      <c r="C17" s="1349"/>
      <c r="D17" s="1349"/>
      <c r="E17" s="1349"/>
      <c r="F17" s="1349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2486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1332" t="s">
        <v>685</v>
      </c>
      <c r="C29" s="1332"/>
      <c r="D29" s="1332"/>
      <c r="E29" s="1332"/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42" t="s">
        <v>702</v>
      </c>
      <c r="B32" s="1342"/>
      <c r="C32" s="1342"/>
      <c r="D32" s="1342"/>
      <c r="E32" s="1342"/>
      <c r="F32" s="134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1348" t="s">
        <v>705</v>
      </c>
      <c r="B36" s="1348"/>
      <c r="C36" s="1348"/>
      <c r="D36" s="1348"/>
      <c r="E36" s="1348"/>
      <c r="F36" s="1348"/>
      <c r="G36" s="5"/>
    </row>
    <row r="37" spans="1:7" ht="12" customHeight="1">
      <c r="A37" s="12" t="s">
        <v>706</v>
      </c>
      <c r="B37" s="1349" t="s">
        <v>707</v>
      </c>
      <c r="C37" s="1349"/>
      <c r="D37" s="1349"/>
      <c r="E37" s="1349"/>
      <c r="F37" s="1349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8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1332" t="s">
        <v>685</v>
      </c>
      <c r="C9" s="1332"/>
      <c r="D9" s="1332"/>
      <c r="E9" s="1332"/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42" t="s">
        <v>702</v>
      </c>
      <c r="B12" s="1342"/>
      <c r="C12" s="1342"/>
      <c r="D12" s="1342"/>
      <c r="E12" s="1342"/>
      <c r="F12" s="134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1348" t="s">
        <v>705</v>
      </c>
      <c r="B16" s="1348"/>
      <c r="C16" s="1348"/>
      <c r="D16" s="1348"/>
      <c r="E16" s="1348"/>
      <c r="F16" s="1348"/>
      <c r="G16" s="5"/>
    </row>
    <row r="17" spans="1:7" ht="12.6" customHeight="1">
      <c r="A17" s="12" t="s">
        <v>706</v>
      </c>
      <c r="B17" s="1349" t="s">
        <v>707</v>
      </c>
      <c r="C17" s="1349"/>
      <c r="D17" s="1349"/>
      <c r="E17" s="1349"/>
      <c r="F17" s="1349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2488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1332" t="s">
        <v>685</v>
      </c>
      <c r="C29" s="1332"/>
      <c r="D29" s="1332"/>
      <c r="E29" s="1332"/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42" t="s">
        <v>702</v>
      </c>
      <c r="B32" s="1342"/>
      <c r="C32" s="1342"/>
      <c r="D32" s="1342"/>
      <c r="E32" s="1342"/>
      <c r="F32" s="134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1348" t="s">
        <v>705</v>
      </c>
      <c r="B36" s="1348"/>
      <c r="C36" s="1348"/>
      <c r="D36" s="1348"/>
      <c r="E36" s="1348"/>
      <c r="F36" s="1348"/>
      <c r="G36" s="5"/>
    </row>
    <row r="37" spans="1:7" ht="12" customHeight="1">
      <c r="A37" s="12" t="s">
        <v>706</v>
      </c>
      <c r="B37" s="1349" t="s">
        <v>707</v>
      </c>
      <c r="C37" s="1349"/>
      <c r="D37" s="1349"/>
      <c r="E37" s="1349"/>
      <c r="F37" s="1349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85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48" t="s">
        <v>705</v>
      </c>
      <c r="B14" s="1348"/>
      <c r="C14" s="1348"/>
      <c r="D14" s="1348"/>
      <c r="E14" s="1348"/>
      <c r="F14" s="1348"/>
      <c r="G14" s="5"/>
    </row>
    <row r="15" spans="1:7" ht="12" customHeight="1">
      <c r="A15" s="12" t="s">
        <v>706</v>
      </c>
      <c r="B15" s="1349" t="s">
        <v>707</v>
      </c>
      <c r="C15" s="1349"/>
      <c r="D15" s="1349"/>
      <c r="E15" s="1349"/>
      <c r="F15" s="1349"/>
      <c r="G15" s="5"/>
    </row>
    <row r="16" spans="1:7" ht="12" customHeight="1">
      <c r="A16" s="12" t="s">
        <v>708</v>
      </c>
      <c r="B16" s="1329" t="s">
        <v>709</v>
      </c>
      <c r="C16" s="1329"/>
      <c r="D16" s="1329"/>
      <c r="E16" s="1330" t="s">
        <v>710</v>
      </c>
      <c r="F16" s="1330"/>
      <c r="G16" s="5"/>
    </row>
    <row r="17" spans="1:7" ht="12" customHeight="1">
      <c r="A17" s="12" t="s">
        <v>711</v>
      </c>
      <c r="B17" s="1331" t="s">
        <v>712</v>
      </c>
      <c r="C17" s="1331"/>
      <c r="D17" s="1331"/>
      <c r="E17" s="1331"/>
      <c r="F17" s="1331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2490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1332" t="s">
        <v>685</v>
      </c>
      <c r="C26" s="1332"/>
      <c r="D26" s="1332"/>
      <c r="E26" s="1332"/>
      <c r="F26" s="1332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2" t="s">
        <v>702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48" t="s">
        <v>705</v>
      </c>
      <c r="B32" s="1348"/>
      <c r="C32" s="1348"/>
      <c r="D32" s="1348"/>
      <c r="E32" s="1348"/>
      <c r="F32" s="1348"/>
      <c r="G32" s="5"/>
    </row>
    <row r="33" spans="1:7" ht="12" customHeight="1">
      <c r="A33" s="12" t="s">
        <v>706</v>
      </c>
      <c r="B33" s="1349" t="s">
        <v>707</v>
      </c>
      <c r="C33" s="1349"/>
      <c r="D33" s="1349"/>
      <c r="E33" s="1349"/>
      <c r="F33" s="1349"/>
      <c r="G33" s="5"/>
    </row>
    <row r="34" spans="1:7" ht="12" customHeight="1">
      <c r="A34" s="12" t="s">
        <v>708</v>
      </c>
      <c r="B34" s="1329" t="s">
        <v>709</v>
      </c>
      <c r="C34" s="1329"/>
      <c r="D34" s="1329"/>
      <c r="E34" s="1330" t="s">
        <v>710</v>
      </c>
      <c r="F34" s="1330"/>
      <c r="G34" s="5"/>
    </row>
    <row r="35" spans="1:7" ht="12" customHeight="1">
      <c r="A35" s="12" t="s">
        <v>711</v>
      </c>
      <c r="B35" s="1331" t="s">
        <v>712</v>
      </c>
      <c r="C35" s="1331"/>
      <c r="D35" s="1331"/>
      <c r="E35" s="1331"/>
      <c r="F35" s="1331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86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48" t="s">
        <v>705</v>
      </c>
      <c r="B14" s="1348"/>
      <c r="C14" s="1348"/>
      <c r="D14" s="1348"/>
      <c r="E14" s="1348"/>
      <c r="F14" s="1348"/>
      <c r="G14" s="5"/>
    </row>
    <row r="15" spans="1:7" ht="12" customHeight="1">
      <c r="A15" s="12" t="s">
        <v>706</v>
      </c>
      <c r="B15" s="1349" t="s">
        <v>707</v>
      </c>
      <c r="C15" s="1349"/>
      <c r="D15" s="1349"/>
      <c r="E15" s="1349"/>
      <c r="F15" s="1349"/>
      <c r="G15" s="5"/>
    </row>
    <row r="16" spans="1:7" ht="12" customHeight="1">
      <c r="A16" s="12" t="s">
        <v>708</v>
      </c>
      <c r="B16" s="1329" t="s">
        <v>709</v>
      </c>
      <c r="C16" s="1329"/>
      <c r="D16" s="1329"/>
      <c r="E16" s="1330" t="s">
        <v>710</v>
      </c>
      <c r="F16" s="1330"/>
      <c r="G16" s="5"/>
    </row>
    <row r="17" spans="1:7" ht="12" customHeight="1">
      <c r="A17" s="12" t="s">
        <v>711</v>
      </c>
      <c r="B17" s="1331" t="s">
        <v>712</v>
      </c>
      <c r="C17" s="1331"/>
      <c r="D17" s="1331"/>
      <c r="E17" s="1331"/>
      <c r="F17" s="1331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2492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1332" t="s">
        <v>685</v>
      </c>
      <c r="C26" s="1332"/>
      <c r="D26" s="1332"/>
      <c r="E26" s="1332"/>
      <c r="F26" s="1332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2" t="s">
        <v>702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48" t="s">
        <v>705</v>
      </c>
      <c r="B32" s="1348"/>
      <c r="C32" s="1348"/>
      <c r="D32" s="1348"/>
      <c r="E32" s="1348"/>
      <c r="F32" s="1348"/>
      <c r="G32" s="5"/>
    </row>
    <row r="33" spans="1:7" ht="12" customHeight="1">
      <c r="A33" s="12" t="s">
        <v>706</v>
      </c>
      <c r="B33" s="1349" t="s">
        <v>707</v>
      </c>
      <c r="C33" s="1349"/>
      <c r="D33" s="1349"/>
      <c r="E33" s="1349"/>
      <c r="F33" s="1349"/>
      <c r="G33" s="5"/>
    </row>
    <row r="34" spans="1:7" ht="12" customHeight="1">
      <c r="A34" s="12" t="s">
        <v>708</v>
      </c>
      <c r="B34" s="1329" t="s">
        <v>709</v>
      </c>
      <c r="C34" s="1329"/>
      <c r="D34" s="1329"/>
      <c r="E34" s="1330" t="s">
        <v>710</v>
      </c>
      <c r="F34" s="1330"/>
      <c r="G34" s="5"/>
    </row>
    <row r="35" spans="1:7" ht="12" customHeight="1">
      <c r="A35" s="12" t="s">
        <v>711</v>
      </c>
      <c r="B35" s="1331" t="s">
        <v>712</v>
      </c>
      <c r="C35" s="1331"/>
      <c r="D35" s="1331"/>
      <c r="E35" s="1331"/>
      <c r="F35" s="1331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87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48" t="s">
        <v>705</v>
      </c>
      <c r="B14" s="1348"/>
      <c r="C14" s="1348"/>
      <c r="D14" s="1348"/>
      <c r="E14" s="1348"/>
      <c r="F14" s="1348"/>
      <c r="G14" s="5"/>
    </row>
    <row r="15" spans="1:7" ht="12" customHeight="1">
      <c r="A15" s="12" t="s">
        <v>706</v>
      </c>
      <c r="B15" s="1349" t="s">
        <v>707</v>
      </c>
      <c r="C15" s="1349"/>
      <c r="D15" s="1349"/>
      <c r="E15" s="1349"/>
      <c r="F15" s="1349"/>
      <c r="G15" s="5"/>
    </row>
    <row r="16" spans="1:7" ht="12" customHeight="1">
      <c r="A16" s="12" t="s">
        <v>708</v>
      </c>
      <c r="B16" s="1329" t="s">
        <v>709</v>
      </c>
      <c r="C16" s="1329"/>
      <c r="D16" s="1329"/>
      <c r="E16" s="1330" t="s">
        <v>710</v>
      </c>
      <c r="F16" s="1330"/>
      <c r="G16" s="5"/>
    </row>
    <row r="17" spans="1:7" ht="12" customHeight="1">
      <c r="A17" s="12" t="s">
        <v>711</v>
      </c>
      <c r="B17" s="1331" t="s">
        <v>712</v>
      </c>
      <c r="C17" s="1331"/>
      <c r="D17" s="1331"/>
      <c r="E17" s="1331"/>
      <c r="F17" s="1331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2494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1332" t="s">
        <v>685</v>
      </c>
      <c r="C26" s="1332"/>
      <c r="D26" s="1332"/>
      <c r="E26" s="1332"/>
      <c r="F26" s="1332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2" t="s">
        <v>702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48" t="s">
        <v>705</v>
      </c>
      <c r="B32" s="1348"/>
      <c r="C32" s="1348"/>
      <c r="D32" s="1348"/>
      <c r="E32" s="1348"/>
      <c r="F32" s="1348"/>
      <c r="G32" s="5"/>
    </row>
    <row r="33" spans="1:7" ht="12" customHeight="1">
      <c r="A33" s="12" t="s">
        <v>706</v>
      </c>
      <c r="B33" s="1349" t="s">
        <v>707</v>
      </c>
      <c r="C33" s="1349"/>
      <c r="D33" s="1349"/>
      <c r="E33" s="1349"/>
      <c r="F33" s="1349"/>
      <c r="G33" s="5"/>
    </row>
    <row r="34" spans="1:7" ht="12" customHeight="1">
      <c r="A34" s="12" t="s">
        <v>708</v>
      </c>
      <c r="B34" s="1329" t="s">
        <v>709</v>
      </c>
      <c r="C34" s="1329"/>
      <c r="D34" s="1329"/>
      <c r="E34" s="1330" t="s">
        <v>710</v>
      </c>
      <c r="F34" s="1330"/>
      <c r="G34" s="5"/>
    </row>
    <row r="35" spans="1:7" ht="12" customHeight="1">
      <c r="A35" s="12" t="s">
        <v>711</v>
      </c>
      <c r="B35" s="1331" t="s">
        <v>712</v>
      </c>
      <c r="C35" s="1331"/>
      <c r="D35" s="1331"/>
      <c r="E35" s="1331"/>
      <c r="F35" s="1331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88"/>
  <dimension ref="A1:G36"/>
  <sheetViews>
    <sheetView workbookViewId="0">
      <selection activeCell="G36"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48" t="s">
        <v>705</v>
      </c>
      <c r="B14" s="1348"/>
      <c r="C14" s="1348"/>
      <c r="D14" s="1348"/>
      <c r="E14" s="1348"/>
      <c r="F14" s="1348"/>
      <c r="G14" s="5"/>
    </row>
    <row r="15" spans="1:7" ht="12" customHeight="1">
      <c r="A15" s="12" t="s">
        <v>706</v>
      </c>
      <c r="B15" s="1349" t="s">
        <v>707</v>
      </c>
      <c r="C15" s="1349"/>
      <c r="D15" s="1349"/>
      <c r="E15" s="1349"/>
      <c r="F15" s="1349"/>
      <c r="G15" s="5"/>
    </row>
    <row r="16" spans="1:7" ht="12" customHeight="1">
      <c r="A16" s="12" t="s">
        <v>708</v>
      </c>
      <c r="B16" s="1329" t="s">
        <v>709</v>
      </c>
      <c r="C16" s="1329"/>
      <c r="D16" s="1329"/>
      <c r="E16" s="1330" t="s">
        <v>710</v>
      </c>
      <c r="F16" s="1330"/>
      <c r="G16" s="5"/>
    </row>
    <row r="17" spans="1:7" ht="12" customHeight="1">
      <c r="A17" s="12" t="s">
        <v>711</v>
      </c>
      <c r="B17" s="1331" t="s">
        <v>712</v>
      </c>
      <c r="C17" s="1331"/>
      <c r="D17" s="1331"/>
      <c r="E17" s="1331"/>
      <c r="F17" s="1331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2496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1332" t="s">
        <v>685</v>
      </c>
      <c r="C26" s="1332"/>
      <c r="D26" s="1332"/>
      <c r="E26" s="1332"/>
      <c r="F26" s="1332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2" t="s">
        <v>702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5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1348" t="s">
        <v>705</v>
      </c>
      <c r="B33" s="1348"/>
      <c r="C33" s="1348"/>
      <c r="D33" s="1348"/>
      <c r="E33" s="1348"/>
      <c r="F33" s="1348"/>
      <c r="G33" s="5"/>
    </row>
    <row r="34" spans="1:7" ht="12" customHeight="1">
      <c r="A34" s="12" t="s">
        <v>706</v>
      </c>
      <c r="B34" s="1349" t="s">
        <v>707</v>
      </c>
      <c r="C34" s="1349"/>
      <c r="D34" s="1349"/>
      <c r="E34" s="1349"/>
      <c r="F34" s="1349"/>
      <c r="G34" s="5"/>
    </row>
    <row r="35" spans="1:7" ht="12" customHeight="1">
      <c r="A35" s="12" t="s">
        <v>708</v>
      </c>
      <c r="B35" s="1329" t="s">
        <v>709</v>
      </c>
      <c r="C35" s="1329"/>
      <c r="D35" s="1329"/>
      <c r="E35" s="1330" t="s">
        <v>710</v>
      </c>
      <c r="F35" s="1330"/>
      <c r="G35" s="5"/>
    </row>
    <row r="36" spans="1:7" ht="12" customHeight="1">
      <c r="A36" s="12" t="s">
        <v>711</v>
      </c>
      <c r="B36" s="1331" t="s">
        <v>712</v>
      </c>
      <c r="C36" s="1331"/>
      <c r="D36" s="1331"/>
      <c r="E36" s="1331"/>
      <c r="F36" s="1331"/>
      <c r="G36" s="5"/>
    </row>
  </sheetData>
  <mergeCells count="14">
    <mergeCell ref="B8:F8"/>
    <mergeCell ref="A11:F11"/>
    <mergeCell ref="A14:F14"/>
    <mergeCell ref="B15:F15"/>
    <mergeCell ref="B16:D16"/>
    <mergeCell ref="E16:F16"/>
    <mergeCell ref="B35:D35"/>
    <mergeCell ref="E35:F35"/>
    <mergeCell ref="B36:F36"/>
    <mergeCell ref="B17:F17"/>
    <mergeCell ref="B26:F26"/>
    <mergeCell ref="A29:F29"/>
    <mergeCell ref="A33:F33"/>
    <mergeCell ref="B34:F34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1348" t="s">
        <v>705</v>
      </c>
      <c r="B15" s="1348"/>
      <c r="C15" s="1348"/>
      <c r="D15" s="1348"/>
      <c r="E15" s="1348"/>
      <c r="F15" s="1348"/>
      <c r="G15" s="5"/>
    </row>
    <row r="16" spans="1:7" ht="12" customHeight="1">
      <c r="A16" s="12" t="s">
        <v>706</v>
      </c>
      <c r="B16" s="1349" t="s">
        <v>707</v>
      </c>
      <c r="C16" s="1349"/>
      <c r="D16" s="1349"/>
      <c r="E16" s="1349"/>
      <c r="F16" s="1349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2498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1332" t="s">
        <v>685</v>
      </c>
      <c r="C27" s="1332"/>
      <c r="D27" s="1332"/>
      <c r="E27" s="1332"/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2" t="s">
        <v>702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1348" t="s">
        <v>705</v>
      </c>
      <c r="B34" s="1348"/>
      <c r="C34" s="1348"/>
      <c r="D34" s="1348"/>
      <c r="E34" s="1348"/>
      <c r="F34" s="1348"/>
      <c r="G34" s="5"/>
    </row>
    <row r="35" spans="1:7" ht="12" customHeight="1">
      <c r="A35" s="12" t="s">
        <v>706</v>
      </c>
      <c r="B35" s="1349" t="s">
        <v>707</v>
      </c>
      <c r="C35" s="1349"/>
      <c r="D35" s="1349"/>
      <c r="E35" s="1349"/>
      <c r="F35" s="1349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9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1348" t="s">
        <v>705</v>
      </c>
      <c r="B15" s="1348"/>
      <c r="C15" s="1348"/>
      <c r="D15" s="1348"/>
      <c r="E15" s="1348"/>
      <c r="F15" s="1348"/>
      <c r="G15" s="5"/>
    </row>
    <row r="16" spans="1:7" ht="12" customHeight="1">
      <c r="A16" s="12" t="s">
        <v>706</v>
      </c>
      <c r="B16" s="1349" t="s">
        <v>707</v>
      </c>
      <c r="C16" s="1349"/>
      <c r="D16" s="1349"/>
      <c r="E16" s="1349"/>
      <c r="F16" s="1349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1332" t="s">
        <v>685</v>
      </c>
      <c r="C27" s="1332"/>
      <c r="D27" s="1332"/>
      <c r="E27" s="1332"/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2" t="s">
        <v>702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1348" t="s">
        <v>705</v>
      </c>
      <c r="B34" s="1348"/>
      <c r="C34" s="1348"/>
      <c r="D34" s="1348"/>
      <c r="E34" s="1348"/>
      <c r="F34" s="1348"/>
      <c r="G34" s="5"/>
    </row>
    <row r="35" spans="1:7" ht="12" customHeight="1">
      <c r="A35" s="12" t="s">
        <v>706</v>
      </c>
      <c r="B35" s="1349" t="s">
        <v>707</v>
      </c>
      <c r="C35" s="1349"/>
      <c r="D35" s="1349"/>
      <c r="E35" s="1349"/>
      <c r="F35" s="1349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9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1348" t="s">
        <v>705</v>
      </c>
      <c r="B15" s="1348"/>
      <c r="C15" s="1348"/>
      <c r="D15" s="1348"/>
      <c r="E15" s="1348"/>
      <c r="F15" s="1348"/>
      <c r="G15" s="5"/>
    </row>
    <row r="16" spans="1:7" ht="12" customHeight="1">
      <c r="A16" s="12" t="s">
        <v>706</v>
      </c>
      <c r="B16" s="1349" t="s">
        <v>707</v>
      </c>
      <c r="C16" s="1349"/>
      <c r="D16" s="1349"/>
      <c r="E16" s="1349"/>
      <c r="F16" s="1349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1332" t="s">
        <v>685</v>
      </c>
      <c r="C27" s="1332"/>
      <c r="D27" s="1332"/>
      <c r="E27" s="1332"/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2" t="s">
        <v>702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1348" t="s">
        <v>705</v>
      </c>
      <c r="B34" s="1348"/>
      <c r="C34" s="1348"/>
      <c r="D34" s="1348"/>
      <c r="E34" s="1348"/>
      <c r="F34" s="1348"/>
      <c r="G34" s="5"/>
    </row>
    <row r="35" spans="1:7" ht="12" customHeight="1">
      <c r="A35" s="12" t="s">
        <v>706</v>
      </c>
      <c r="B35" s="1349" t="s">
        <v>707</v>
      </c>
      <c r="C35" s="1349"/>
      <c r="D35" s="1349"/>
      <c r="E35" s="1349"/>
      <c r="F35" s="1349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9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1332" t="s">
        <v>685</v>
      </c>
      <c r="C8" s="1332"/>
      <c r="D8" s="1332"/>
      <c r="E8" s="1332"/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2" t="s">
        <v>702</v>
      </c>
      <c r="B11" s="1342"/>
      <c r="C11" s="1342"/>
      <c r="D11" s="1342"/>
      <c r="E11" s="1342"/>
      <c r="F11" s="134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1348" t="s">
        <v>705</v>
      </c>
      <c r="B15" s="1348"/>
      <c r="C15" s="1348"/>
      <c r="D15" s="1348"/>
      <c r="E15" s="1348"/>
      <c r="F15" s="1348"/>
      <c r="G15" s="5"/>
    </row>
    <row r="16" spans="1:7" ht="12" customHeight="1">
      <c r="A16" s="12" t="s">
        <v>706</v>
      </c>
      <c r="B16" s="1349" t="s">
        <v>707</v>
      </c>
      <c r="C16" s="1349"/>
      <c r="D16" s="1349"/>
      <c r="E16" s="1349"/>
      <c r="F16" s="1349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1332" t="s">
        <v>685</v>
      </c>
      <c r="C27" s="1332"/>
      <c r="D27" s="1332"/>
      <c r="E27" s="1332"/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2" t="s">
        <v>702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1348" t="s">
        <v>705</v>
      </c>
      <c r="B34" s="1348"/>
      <c r="C34" s="1348"/>
      <c r="D34" s="1348"/>
      <c r="E34" s="1348"/>
      <c r="F34" s="1348"/>
      <c r="G34" s="5"/>
    </row>
    <row r="35" spans="1:7" ht="12" customHeight="1">
      <c r="A35" s="12" t="s">
        <v>706</v>
      </c>
      <c r="B35" s="1349" t="s">
        <v>707</v>
      </c>
      <c r="C35" s="1349"/>
      <c r="D35" s="1349"/>
      <c r="E35" s="1349"/>
      <c r="F35" s="1349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D615"/>
  <sheetViews>
    <sheetView workbookViewId="0">
      <selection activeCell="B27" sqref="B27"/>
    </sheetView>
  </sheetViews>
  <sheetFormatPr defaultRowHeight="15"/>
  <cols>
    <col min="1" max="1" width="11.5703125" customWidth="1"/>
    <col min="2" max="2" width="24.28515625" customWidth="1"/>
    <col min="3" max="3" width="66" style="41" customWidth="1"/>
    <col min="4" max="4" width="9.140625" style="45"/>
  </cols>
  <sheetData>
    <row r="1" spans="1:4" ht="35.85" customHeight="1">
      <c r="A1" s="46" t="s">
        <v>52</v>
      </c>
      <c r="B1" s="47" t="s">
        <v>53</v>
      </c>
      <c r="C1" s="46" t="s">
        <v>54</v>
      </c>
      <c r="D1" s="42"/>
    </row>
    <row r="2" spans="1:4" ht="25.15" customHeight="1">
      <c r="A2" s="48" t="s">
        <v>9</v>
      </c>
      <c r="B2" s="49" t="s">
        <v>55</v>
      </c>
      <c r="C2" s="50"/>
      <c r="D2" s="43"/>
    </row>
    <row r="3" spans="1:4" ht="12.75" customHeight="1">
      <c r="A3" s="51"/>
      <c r="B3" s="52"/>
      <c r="C3" s="53" t="s">
        <v>56</v>
      </c>
      <c r="D3" s="44"/>
    </row>
    <row r="4" spans="1:4" ht="12" customHeight="1">
      <c r="A4" s="51"/>
      <c r="B4" s="52"/>
      <c r="C4" s="53" t="s">
        <v>57</v>
      </c>
      <c r="D4" s="44"/>
    </row>
    <row r="5" spans="1:4" ht="12" customHeight="1">
      <c r="A5" s="51"/>
      <c r="B5" s="52"/>
      <c r="C5" s="53" t="s">
        <v>58</v>
      </c>
      <c r="D5" s="44"/>
    </row>
    <row r="6" spans="1:4" ht="12" customHeight="1">
      <c r="A6" s="51"/>
      <c r="B6" s="52"/>
      <c r="C6" s="53" t="s">
        <v>59</v>
      </c>
      <c r="D6" s="44"/>
    </row>
    <row r="7" spans="1:4" ht="12" customHeight="1">
      <c r="A7" s="51"/>
      <c r="B7" s="52"/>
      <c r="C7" s="53" t="s">
        <v>60</v>
      </c>
      <c r="D7" s="44"/>
    </row>
    <row r="8" spans="1:4" ht="12" customHeight="1">
      <c r="A8" s="51"/>
      <c r="B8" s="52"/>
      <c r="C8" s="53" t="s">
        <v>61</v>
      </c>
      <c r="D8" s="44"/>
    </row>
    <row r="9" spans="1:4" ht="12" customHeight="1">
      <c r="A9" s="51"/>
      <c r="B9" s="52"/>
      <c r="C9" s="53" t="s">
        <v>62</v>
      </c>
      <c r="D9" s="44"/>
    </row>
    <row r="10" spans="1:4" ht="12" customHeight="1">
      <c r="A10" s="51"/>
      <c r="B10" s="52"/>
      <c r="C10" s="53" t="s">
        <v>63</v>
      </c>
      <c r="D10" s="44"/>
    </row>
    <row r="11" spans="1:4" ht="12" customHeight="1">
      <c r="A11" s="51"/>
      <c r="B11" s="52"/>
      <c r="C11" s="53" t="s">
        <v>64</v>
      </c>
      <c r="D11" s="44"/>
    </row>
    <row r="12" spans="1:4" ht="12" customHeight="1">
      <c r="A12" s="51"/>
      <c r="B12" s="52"/>
      <c r="C12" s="53" t="s">
        <v>65</v>
      </c>
      <c r="D12" s="44"/>
    </row>
    <row r="13" spans="1:4" ht="12" customHeight="1">
      <c r="A13" s="51"/>
      <c r="B13" s="52"/>
      <c r="C13" s="53" t="s">
        <v>66</v>
      </c>
      <c r="D13" s="44"/>
    </row>
    <row r="14" spans="1:4" ht="12" customHeight="1">
      <c r="A14" s="51"/>
      <c r="B14" s="52"/>
      <c r="C14" s="53" t="s">
        <v>67</v>
      </c>
      <c r="D14" s="44"/>
    </row>
    <row r="15" spans="1:4" ht="12" customHeight="1">
      <c r="A15" s="51"/>
      <c r="B15" s="52"/>
      <c r="C15" s="53" t="s">
        <v>68</v>
      </c>
      <c r="D15" s="44"/>
    </row>
    <row r="16" spans="1:4" ht="12" customHeight="1">
      <c r="A16" s="51"/>
      <c r="B16" s="52"/>
      <c r="C16" s="53" t="s">
        <v>69</v>
      </c>
      <c r="D16" s="44"/>
    </row>
    <row r="17" spans="1:4" ht="12" customHeight="1">
      <c r="A17" s="51"/>
      <c r="B17" s="52"/>
      <c r="C17" s="53" t="s">
        <v>70</v>
      </c>
      <c r="D17" s="44"/>
    </row>
    <row r="18" spans="1:4" ht="12" customHeight="1">
      <c r="A18" s="51"/>
      <c r="B18" s="52"/>
      <c r="C18" s="53" t="s">
        <v>71</v>
      </c>
      <c r="D18" s="44"/>
    </row>
    <row r="19" spans="1:4" ht="29.25" customHeight="1">
      <c r="A19" s="48" t="s">
        <v>9</v>
      </c>
      <c r="B19" s="49" t="s">
        <v>72</v>
      </c>
      <c r="C19" s="50"/>
      <c r="D19" s="43"/>
    </row>
    <row r="20" spans="1:4" ht="12" customHeight="1">
      <c r="A20" s="51"/>
      <c r="B20" s="52"/>
      <c r="C20" s="53" t="s">
        <v>73</v>
      </c>
      <c r="D20" s="44"/>
    </row>
    <row r="21" spans="1:4" ht="12" customHeight="1">
      <c r="A21" s="51"/>
      <c r="B21" s="52"/>
      <c r="C21" s="53" t="s">
        <v>74</v>
      </c>
      <c r="D21" s="44"/>
    </row>
    <row r="22" spans="1:4" ht="12" customHeight="1">
      <c r="A22" s="51"/>
      <c r="B22" s="52"/>
      <c r="C22" s="53" t="s">
        <v>75</v>
      </c>
      <c r="D22" s="44"/>
    </row>
    <row r="23" spans="1:4" ht="12" customHeight="1">
      <c r="A23" s="51"/>
      <c r="B23" s="52"/>
      <c r="C23" s="53" t="s">
        <v>76</v>
      </c>
      <c r="D23" s="44"/>
    </row>
    <row r="24" spans="1:4" ht="12" customHeight="1">
      <c r="A24" s="51"/>
      <c r="B24" s="52"/>
      <c r="C24" s="53" t="s">
        <v>77</v>
      </c>
      <c r="D24" s="44"/>
    </row>
    <row r="25" spans="1:4" ht="12" customHeight="1">
      <c r="A25" s="51"/>
      <c r="B25" s="52"/>
      <c r="C25" s="53" t="s">
        <v>78</v>
      </c>
      <c r="D25" s="44"/>
    </row>
    <row r="26" spans="1:4" ht="12" customHeight="1">
      <c r="A26" s="51"/>
      <c r="B26" s="52"/>
      <c r="C26" s="53" t="s">
        <v>79</v>
      </c>
      <c r="D26" s="44"/>
    </row>
    <row r="27" spans="1:4" ht="12" customHeight="1">
      <c r="A27" s="51"/>
      <c r="B27" s="52"/>
      <c r="C27" s="53" t="s">
        <v>80</v>
      </c>
      <c r="D27" s="44"/>
    </row>
    <row r="28" spans="1:4" ht="12" customHeight="1">
      <c r="A28" s="51"/>
      <c r="B28" s="52"/>
      <c r="C28" s="53" t="s">
        <v>81</v>
      </c>
      <c r="D28" s="44"/>
    </row>
    <row r="29" spans="1:4" ht="12" customHeight="1">
      <c r="A29" s="51"/>
      <c r="B29" s="52"/>
      <c r="C29" s="53" t="s">
        <v>82</v>
      </c>
      <c r="D29" s="44"/>
    </row>
    <row r="30" spans="1:4" ht="12" customHeight="1">
      <c r="A30" s="51"/>
      <c r="B30" s="52"/>
      <c r="C30" s="53" t="s">
        <v>83</v>
      </c>
      <c r="D30" s="44"/>
    </row>
    <row r="31" spans="1:4" ht="12" customHeight="1">
      <c r="A31" s="51"/>
      <c r="B31" s="52"/>
      <c r="C31" s="53" t="s">
        <v>84</v>
      </c>
      <c r="D31" s="44"/>
    </row>
    <row r="32" spans="1:4" ht="12" customHeight="1">
      <c r="A32" s="51"/>
      <c r="B32" s="52"/>
      <c r="C32" s="53" t="s">
        <v>85</v>
      </c>
      <c r="D32" s="44"/>
    </row>
    <row r="33" spans="1:4" ht="12" customHeight="1">
      <c r="A33" s="51"/>
      <c r="B33" s="52"/>
      <c r="C33" s="53" t="s">
        <v>86</v>
      </c>
      <c r="D33" s="44"/>
    </row>
    <row r="34" spans="1:4" ht="12" customHeight="1">
      <c r="A34" s="51"/>
      <c r="B34" s="52"/>
      <c r="C34" s="53" t="s">
        <v>87</v>
      </c>
      <c r="D34" s="44"/>
    </row>
    <row r="35" spans="1:4" ht="26.25" customHeight="1">
      <c r="A35" s="48" t="s">
        <v>16</v>
      </c>
      <c r="B35" s="49" t="s">
        <v>88</v>
      </c>
      <c r="C35" s="50"/>
      <c r="D35" s="43"/>
    </row>
    <row r="36" spans="1:4" ht="12" customHeight="1">
      <c r="A36" s="51"/>
      <c r="B36" s="52"/>
      <c r="C36" s="53" t="s">
        <v>89</v>
      </c>
      <c r="D36" s="44"/>
    </row>
    <row r="37" spans="1:4" ht="12" customHeight="1">
      <c r="A37" s="51"/>
      <c r="B37" s="52"/>
      <c r="C37" s="53" t="s">
        <v>90</v>
      </c>
      <c r="D37" s="44"/>
    </row>
    <row r="38" spans="1:4" ht="12" customHeight="1">
      <c r="A38" s="51"/>
      <c r="B38" s="52"/>
      <c r="C38" s="53" t="s">
        <v>91</v>
      </c>
      <c r="D38" s="44"/>
    </row>
    <row r="39" spans="1:4" ht="12" customHeight="1">
      <c r="A39" s="51"/>
      <c r="B39" s="51"/>
      <c r="C39" s="53" t="s">
        <v>92</v>
      </c>
    </row>
    <row r="40" spans="1:4" ht="12" customHeight="1">
      <c r="A40" s="51"/>
      <c r="B40" s="51"/>
      <c r="C40" s="53" t="s">
        <v>93</v>
      </c>
    </row>
    <row r="41" spans="1:4" ht="12" customHeight="1">
      <c r="A41" s="51"/>
      <c r="B41" s="51"/>
      <c r="C41" s="53" t="s">
        <v>94</v>
      </c>
    </row>
    <row r="42" spans="1:4" ht="12" customHeight="1">
      <c r="A42" s="51"/>
      <c r="B42" s="51"/>
      <c r="C42" s="53" t="s">
        <v>95</v>
      </c>
    </row>
    <row r="43" spans="1:4" ht="12" customHeight="1">
      <c r="A43" s="51"/>
      <c r="B43" s="51"/>
      <c r="C43" s="53" t="s">
        <v>96</v>
      </c>
    </row>
    <row r="44" spans="1:4" ht="12" customHeight="1">
      <c r="A44" s="51"/>
      <c r="B44" s="51"/>
      <c r="C44" s="53" t="s">
        <v>97</v>
      </c>
    </row>
    <row r="45" spans="1:4" ht="12" customHeight="1">
      <c r="A45" s="51"/>
      <c r="B45" s="51"/>
      <c r="C45" s="53" t="s">
        <v>98</v>
      </c>
    </row>
    <row r="46" spans="1:4" ht="12" customHeight="1">
      <c r="A46" s="51"/>
      <c r="B46" s="51"/>
      <c r="C46" s="53" t="s">
        <v>99</v>
      </c>
    </row>
    <row r="47" spans="1:4" ht="29.25" customHeight="1">
      <c r="A47" s="48" t="s">
        <v>21</v>
      </c>
      <c r="B47" s="48" t="s">
        <v>100</v>
      </c>
      <c r="C47" s="50"/>
    </row>
    <row r="48" spans="1:4" ht="12" customHeight="1">
      <c r="A48" s="51"/>
      <c r="B48" s="51"/>
      <c r="C48" s="54" t="s">
        <v>101</v>
      </c>
    </row>
    <row r="49" spans="1:3" ht="12" customHeight="1">
      <c r="A49" s="51"/>
      <c r="B49" s="51"/>
      <c r="C49" s="54" t="s">
        <v>102</v>
      </c>
    </row>
    <row r="50" spans="1:3" ht="12" customHeight="1">
      <c r="A50" s="51"/>
      <c r="B50" s="51"/>
      <c r="C50" s="54" t="s">
        <v>103</v>
      </c>
    </row>
    <row r="51" spans="1:3" ht="12" customHeight="1">
      <c r="A51" s="51"/>
      <c r="B51" s="51"/>
      <c r="C51" s="54" t="s">
        <v>104</v>
      </c>
    </row>
    <row r="52" spans="1:3" ht="12" customHeight="1">
      <c r="A52" s="51"/>
      <c r="B52" s="51"/>
      <c r="C52" s="54" t="s">
        <v>105</v>
      </c>
    </row>
    <row r="53" spans="1:3" ht="12" customHeight="1">
      <c r="A53" s="51"/>
      <c r="B53" s="51"/>
      <c r="C53" s="54" t="s">
        <v>106</v>
      </c>
    </row>
    <row r="54" spans="1:3" ht="11.85" customHeight="1">
      <c r="A54" s="51"/>
      <c r="B54" s="51"/>
      <c r="C54" s="54" t="s">
        <v>107</v>
      </c>
    </row>
    <row r="55" spans="1:3" ht="12" customHeight="1">
      <c r="A55" s="51"/>
      <c r="B55" s="51"/>
      <c r="C55" s="54" t="s">
        <v>108</v>
      </c>
    </row>
    <row r="56" spans="1:3" ht="12" customHeight="1">
      <c r="A56" s="51"/>
      <c r="B56" s="51"/>
      <c r="C56" s="54" t="s">
        <v>109</v>
      </c>
    </row>
    <row r="57" spans="1:3" ht="12" customHeight="1">
      <c r="A57" s="51"/>
      <c r="B57" s="51"/>
      <c r="C57" s="54" t="s">
        <v>110</v>
      </c>
    </row>
    <row r="58" spans="1:3" ht="12" customHeight="1">
      <c r="A58" s="51"/>
      <c r="B58" s="51"/>
      <c r="C58" s="54" t="s">
        <v>111</v>
      </c>
    </row>
    <row r="59" spans="1:3" ht="12" customHeight="1">
      <c r="A59" s="51"/>
      <c r="B59" s="51"/>
      <c r="C59" s="54" t="s">
        <v>112</v>
      </c>
    </row>
    <row r="60" spans="1:3" ht="12" customHeight="1">
      <c r="A60" s="51"/>
      <c r="B60" s="51"/>
      <c r="C60" s="53" t="s">
        <v>113</v>
      </c>
    </row>
    <row r="61" spans="1:3" ht="12" customHeight="1">
      <c r="A61" s="51"/>
      <c r="B61" s="51"/>
      <c r="C61" s="53" t="s">
        <v>114</v>
      </c>
    </row>
    <row r="62" spans="1:3" ht="12" customHeight="1">
      <c r="A62" s="51"/>
      <c r="B62" s="51"/>
      <c r="C62" s="53" t="s">
        <v>115</v>
      </c>
    </row>
    <row r="63" spans="1:3" ht="12" customHeight="1">
      <c r="A63" s="51"/>
      <c r="B63" s="51"/>
      <c r="C63" s="53" t="s">
        <v>116</v>
      </c>
    </row>
    <row r="64" spans="1:3" ht="12" customHeight="1">
      <c r="A64" s="51"/>
      <c r="B64" s="51"/>
      <c r="C64" s="53" t="s">
        <v>117</v>
      </c>
    </row>
    <row r="65" spans="1:3" ht="12" customHeight="1">
      <c r="A65" s="51"/>
      <c r="B65" s="51"/>
      <c r="C65" s="53" t="s">
        <v>118</v>
      </c>
    </row>
    <row r="66" spans="1:3" ht="12" customHeight="1">
      <c r="A66" s="51"/>
      <c r="B66" s="51"/>
      <c r="C66" s="53" t="s">
        <v>119</v>
      </c>
    </row>
    <row r="67" spans="1:3" ht="12" customHeight="1">
      <c r="A67" s="51"/>
      <c r="B67" s="51"/>
      <c r="C67" s="53" t="s">
        <v>120</v>
      </c>
    </row>
    <row r="68" spans="1:3" ht="12" customHeight="1">
      <c r="A68" s="51"/>
      <c r="B68" s="51"/>
      <c r="C68" s="53" t="s">
        <v>121</v>
      </c>
    </row>
    <row r="69" spans="1:3" ht="12" customHeight="1">
      <c r="A69" s="51"/>
      <c r="B69" s="51"/>
      <c r="C69" s="53" t="s">
        <v>122</v>
      </c>
    </row>
    <row r="70" spans="1:3" ht="12" customHeight="1">
      <c r="A70" s="51"/>
      <c r="B70" s="51"/>
      <c r="C70" s="53" t="s">
        <v>123</v>
      </c>
    </row>
    <row r="71" spans="1:3" ht="12" customHeight="1">
      <c r="A71" s="51"/>
      <c r="B71" s="51"/>
      <c r="C71" s="53" t="s">
        <v>124</v>
      </c>
    </row>
    <row r="72" spans="1:3" ht="12" customHeight="1">
      <c r="A72" s="51"/>
      <c r="B72" s="51"/>
      <c r="C72" s="53" t="s">
        <v>125</v>
      </c>
    </row>
    <row r="73" spans="1:3" ht="12" customHeight="1">
      <c r="A73" s="51"/>
      <c r="B73" s="51"/>
      <c r="C73" s="53" t="s">
        <v>126</v>
      </c>
    </row>
    <row r="74" spans="1:3" ht="12" customHeight="1">
      <c r="A74" s="51"/>
      <c r="B74" s="51"/>
      <c r="C74" s="53" t="s">
        <v>127</v>
      </c>
    </row>
    <row r="75" spans="1:3" ht="12" customHeight="1">
      <c r="A75" s="51"/>
      <c r="B75" s="51"/>
      <c r="C75" s="53" t="s">
        <v>128</v>
      </c>
    </row>
    <row r="76" spans="1:3" ht="12" customHeight="1">
      <c r="A76" s="51"/>
      <c r="B76" s="51"/>
      <c r="C76" s="53" t="s">
        <v>129</v>
      </c>
    </row>
    <row r="77" spans="1:3" ht="12" customHeight="1">
      <c r="A77" s="51"/>
      <c r="B77" s="51"/>
      <c r="C77" s="53" t="s">
        <v>130</v>
      </c>
    </row>
    <row r="78" spans="1:3" ht="12" customHeight="1">
      <c r="A78" s="51"/>
      <c r="B78" s="51"/>
      <c r="C78" s="53" t="s">
        <v>131</v>
      </c>
    </row>
    <row r="79" spans="1:3" ht="12" customHeight="1">
      <c r="A79" s="51"/>
      <c r="B79" s="51"/>
      <c r="C79" s="53" t="s">
        <v>132</v>
      </c>
    </row>
    <row r="80" spans="1:3" ht="12" customHeight="1">
      <c r="A80" s="51"/>
      <c r="B80" s="51"/>
      <c r="C80" s="53" t="s">
        <v>133</v>
      </c>
    </row>
    <row r="81" spans="1:3" ht="12" customHeight="1">
      <c r="A81" s="51"/>
      <c r="B81" s="51"/>
      <c r="C81" s="53" t="s">
        <v>134</v>
      </c>
    </row>
    <row r="82" spans="1:3" ht="12" customHeight="1">
      <c r="A82" s="51"/>
      <c r="B82" s="51"/>
      <c r="C82" s="53" t="s">
        <v>135</v>
      </c>
    </row>
    <row r="83" spans="1:3" ht="12" customHeight="1">
      <c r="A83" s="51"/>
      <c r="B83" s="51"/>
      <c r="C83" s="53" t="s">
        <v>136</v>
      </c>
    </row>
    <row r="84" spans="1:3" ht="34.9" customHeight="1">
      <c r="A84" s="48" t="s">
        <v>21</v>
      </c>
      <c r="B84" s="48" t="s">
        <v>137</v>
      </c>
      <c r="C84" s="50"/>
    </row>
    <row r="85" spans="1:3" ht="23.45" customHeight="1">
      <c r="A85" s="51"/>
      <c r="B85" s="51"/>
      <c r="C85" s="53" t="s">
        <v>138</v>
      </c>
    </row>
    <row r="86" spans="1:3" ht="23.45" customHeight="1">
      <c r="A86" s="51"/>
      <c r="B86" s="51"/>
      <c r="C86" s="54" t="s">
        <v>139</v>
      </c>
    </row>
    <row r="87" spans="1:3" ht="23.45" customHeight="1">
      <c r="A87" s="51"/>
      <c r="B87" s="51"/>
      <c r="C87" s="54" t="s">
        <v>140</v>
      </c>
    </row>
    <row r="88" spans="1:3" ht="23.45" customHeight="1">
      <c r="A88" s="51"/>
      <c r="B88" s="51"/>
      <c r="C88" s="54" t="s">
        <v>141</v>
      </c>
    </row>
    <row r="89" spans="1:3" ht="12" customHeight="1">
      <c r="A89" s="51"/>
      <c r="B89" s="51"/>
      <c r="C89" s="53" t="s">
        <v>142</v>
      </c>
    </row>
    <row r="90" spans="1:3" ht="12" customHeight="1">
      <c r="A90" s="51"/>
      <c r="B90" s="51"/>
      <c r="C90" s="53" t="s">
        <v>143</v>
      </c>
    </row>
    <row r="91" spans="1:3" ht="12" customHeight="1">
      <c r="A91" s="51"/>
      <c r="B91" s="51"/>
      <c r="C91" s="53" t="s">
        <v>144</v>
      </c>
    </row>
    <row r="92" spans="1:3" ht="23.45" customHeight="1">
      <c r="A92" s="51"/>
      <c r="B92" s="51"/>
      <c r="C92" s="54" t="s">
        <v>145</v>
      </c>
    </row>
    <row r="93" spans="1:3" ht="23.45" customHeight="1">
      <c r="A93" s="51"/>
      <c r="B93" s="51"/>
      <c r="C93" s="53" t="s">
        <v>146</v>
      </c>
    </row>
    <row r="94" spans="1:3" ht="23.45" customHeight="1">
      <c r="A94" s="51"/>
      <c r="B94" s="51"/>
      <c r="C94" s="54" t="s">
        <v>147</v>
      </c>
    </row>
    <row r="95" spans="1:3" ht="23.45" customHeight="1">
      <c r="A95" s="51"/>
      <c r="B95" s="51"/>
      <c r="C95" s="54" t="s">
        <v>148</v>
      </c>
    </row>
    <row r="96" spans="1:3" ht="23.45" customHeight="1">
      <c r="A96" s="51"/>
      <c r="B96" s="51"/>
      <c r="C96" s="54" t="s">
        <v>149</v>
      </c>
    </row>
    <row r="97" spans="1:3" ht="23.45" customHeight="1">
      <c r="A97" s="51"/>
      <c r="B97" s="51"/>
      <c r="C97" s="54" t="s">
        <v>150</v>
      </c>
    </row>
    <row r="98" spans="1:3" ht="12" customHeight="1">
      <c r="A98" s="51"/>
      <c r="B98" s="51"/>
      <c r="C98" s="53" t="s">
        <v>151</v>
      </c>
    </row>
    <row r="99" spans="1:3" ht="12" customHeight="1">
      <c r="A99" s="51"/>
      <c r="B99" s="51"/>
      <c r="C99" s="53" t="s">
        <v>152</v>
      </c>
    </row>
    <row r="100" spans="1:3" ht="12" customHeight="1">
      <c r="A100" s="51"/>
      <c r="B100" s="51"/>
      <c r="C100" s="53" t="s">
        <v>153</v>
      </c>
    </row>
    <row r="101" spans="1:3" ht="12" customHeight="1">
      <c r="A101" s="51"/>
      <c r="B101" s="51"/>
      <c r="C101" s="53" t="s">
        <v>154</v>
      </c>
    </row>
    <row r="102" spans="1:3" ht="23.45" customHeight="1">
      <c r="A102" s="51"/>
      <c r="B102" s="51"/>
      <c r="C102" s="54" t="s">
        <v>155</v>
      </c>
    </row>
    <row r="103" spans="1:3" ht="23.45" customHeight="1">
      <c r="A103" s="51"/>
      <c r="B103" s="51"/>
      <c r="C103" s="54" t="s">
        <v>156</v>
      </c>
    </row>
    <row r="104" spans="1:3" ht="12" customHeight="1">
      <c r="A104" s="51"/>
      <c r="B104" s="51"/>
      <c r="C104" s="53" t="s">
        <v>157</v>
      </c>
    </row>
    <row r="105" spans="1:3" ht="12" customHeight="1">
      <c r="A105" s="51"/>
      <c r="B105" s="51"/>
      <c r="C105" s="53" t="s">
        <v>158</v>
      </c>
    </row>
    <row r="106" spans="1:3" ht="12" customHeight="1">
      <c r="A106" s="51"/>
      <c r="B106" s="51"/>
      <c r="C106" s="53" t="s">
        <v>159</v>
      </c>
    </row>
    <row r="107" spans="1:3" ht="12" customHeight="1">
      <c r="A107" s="51"/>
      <c r="B107" s="51"/>
      <c r="C107" s="53" t="s">
        <v>160</v>
      </c>
    </row>
    <row r="108" spans="1:3" ht="12" customHeight="1">
      <c r="A108" s="51"/>
      <c r="B108" s="51"/>
      <c r="C108" s="53" t="s">
        <v>161</v>
      </c>
    </row>
    <row r="109" spans="1:3" ht="45" customHeight="1">
      <c r="A109" s="48" t="s">
        <v>21</v>
      </c>
      <c r="B109" s="48" t="s">
        <v>162</v>
      </c>
      <c r="C109" s="50"/>
    </row>
    <row r="110" spans="1:3" ht="12" customHeight="1">
      <c r="A110" s="51"/>
      <c r="B110" s="51"/>
      <c r="C110" s="53" t="s">
        <v>163</v>
      </c>
    </row>
    <row r="111" spans="1:3" ht="12" customHeight="1">
      <c r="A111" s="51"/>
      <c r="B111" s="51"/>
      <c r="C111" s="53" t="s">
        <v>164</v>
      </c>
    </row>
    <row r="112" spans="1:3" ht="12" customHeight="1">
      <c r="A112" s="51"/>
      <c r="B112" s="51"/>
      <c r="C112" s="53" t="s">
        <v>165</v>
      </c>
    </row>
    <row r="113" spans="1:3" ht="12" customHeight="1">
      <c r="A113" s="51"/>
      <c r="B113" s="51"/>
      <c r="C113" s="53" t="s">
        <v>166</v>
      </c>
    </row>
    <row r="114" spans="1:3" ht="12" customHeight="1">
      <c r="A114" s="51"/>
      <c r="B114" s="51"/>
      <c r="C114" s="53" t="s">
        <v>167</v>
      </c>
    </row>
    <row r="115" spans="1:3" ht="12" customHeight="1">
      <c r="A115" s="51"/>
      <c r="B115" s="51"/>
      <c r="C115" s="53" t="s">
        <v>168</v>
      </c>
    </row>
    <row r="116" spans="1:3" ht="12" customHeight="1">
      <c r="A116" s="51"/>
      <c r="B116" s="51"/>
      <c r="C116" s="53" t="s">
        <v>169</v>
      </c>
    </row>
    <row r="117" spans="1:3" ht="12" customHeight="1">
      <c r="A117" s="51"/>
      <c r="B117" s="51"/>
      <c r="C117" s="53" t="s">
        <v>170</v>
      </c>
    </row>
    <row r="118" spans="1:3" ht="12" customHeight="1">
      <c r="A118" s="51"/>
      <c r="B118" s="51"/>
      <c r="C118" s="53" t="s">
        <v>171</v>
      </c>
    </row>
    <row r="119" spans="1:3" ht="12" customHeight="1">
      <c r="A119" s="51"/>
      <c r="B119" s="51"/>
      <c r="C119" s="53" t="s">
        <v>172</v>
      </c>
    </row>
    <row r="120" spans="1:3" ht="47.25" customHeight="1">
      <c r="A120" s="48" t="s">
        <v>21</v>
      </c>
      <c r="B120" s="48" t="s">
        <v>173</v>
      </c>
      <c r="C120" s="50"/>
    </row>
    <row r="121" spans="1:3" ht="12" customHeight="1">
      <c r="A121" s="51"/>
      <c r="B121" s="51"/>
      <c r="C121" s="53" t="s">
        <v>174</v>
      </c>
    </row>
    <row r="122" spans="1:3" ht="12" customHeight="1">
      <c r="A122" s="51"/>
      <c r="B122" s="51"/>
      <c r="C122" s="53" t="s">
        <v>175</v>
      </c>
    </row>
    <row r="123" spans="1:3" ht="12" customHeight="1">
      <c r="A123" s="51"/>
      <c r="B123" s="51"/>
      <c r="C123" s="53" t="s">
        <v>176</v>
      </c>
    </row>
    <row r="124" spans="1:3" ht="12" customHeight="1">
      <c r="A124" s="51"/>
      <c r="B124" s="51"/>
      <c r="C124" s="53" t="s">
        <v>177</v>
      </c>
    </row>
    <row r="125" spans="1:3" ht="12" customHeight="1">
      <c r="A125" s="51"/>
      <c r="B125" s="51"/>
      <c r="C125" s="53" t="s">
        <v>178</v>
      </c>
    </row>
    <row r="126" spans="1:3" ht="12" customHeight="1">
      <c r="A126" s="51"/>
      <c r="B126" s="51"/>
      <c r="C126" s="53" t="s">
        <v>179</v>
      </c>
    </row>
    <row r="127" spans="1:3" ht="12" customHeight="1">
      <c r="A127" s="51"/>
      <c r="B127" s="51"/>
      <c r="C127" s="53" t="s">
        <v>180</v>
      </c>
    </row>
    <row r="128" spans="1:3" ht="12" customHeight="1">
      <c r="A128" s="51"/>
      <c r="B128" s="51"/>
      <c r="C128" s="53" t="s">
        <v>181</v>
      </c>
    </row>
    <row r="129" spans="1:3" ht="12" customHeight="1">
      <c r="A129" s="51"/>
      <c r="B129" s="51"/>
      <c r="C129" s="53" t="s">
        <v>182</v>
      </c>
    </row>
    <row r="130" spans="1:3" ht="12" customHeight="1">
      <c r="A130" s="51"/>
      <c r="B130" s="51"/>
      <c r="C130" s="53" t="s">
        <v>183</v>
      </c>
    </row>
    <row r="131" spans="1:3" ht="12" customHeight="1">
      <c r="A131" s="51"/>
      <c r="B131" s="51"/>
      <c r="C131" s="53" t="s">
        <v>184</v>
      </c>
    </row>
    <row r="132" spans="1:3" ht="12" customHeight="1">
      <c r="A132" s="51"/>
      <c r="B132" s="51"/>
      <c r="C132" s="53" t="s">
        <v>185</v>
      </c>
    </row>
    <row r="133" spans="1:3" ht="12" customHeight="1">
      <c r="A133" s="51"/>
      <c r="B133" s="51"/>
      <c r="C133" s="53" t="s">
        <v>186</v>
      </c>
    </row>
    <row r="134" spans="1:3" ht="12" customHeight="1">
      <c r="A134" s="51"/>
      <c r="B134" s="51"/>
      <c r="C134" s="53" t="s">
        <v>187</v>
      </c>
    </row>
    <row r="135" spans="1:3" ht="11.85" customHeight="1">
      <c r="A135" s="51"/>
      <c r="B135" s="51"/>
      <c r="C135" s="53" t="s">
        <v>188</v>
      </c>
    </row>
    <row r="136" spans="1:3" ht="12" customHeight="1">
      <c r="A136" s="51"/>
      <c r="B136" s="51"/>
      <c r="C136" s="53" t="s">
        <v>189</v>
      </c>
    </row>
    <row r="137" spans="1:3" ht="12" customHeight="1">
      <c r="A137" s="51"/>
      <c r="B137" s="51"/>
      <c r="C137" s="53" t="s">
        <v>190</v>
      </c>
    </row>
    <row r="138" spans="1:3" ht="12" customHeight="1">
      <c r="A138" s="51"/>
      <c r="B138" s="51"/>
      <c r="C138" s="53" t="s">
        <v>191</v>
      </c>
    </row>
    <row r="139" spans="1:3" ht="12" customHeight="1">
      <c r="A139" s="51"/>
      <c r="B139" s="51"/>
      <c r="C139" s="53" t="s">
        <v>192</v>
      </c>
    </row>
    <row r="140" spans="1:3" ht="12" customHeight="1">
      <c r="A140" s="51"/>
      <c r="B140" s="51"/>
      <c r="C140" s="53" t="s">
        <v>193</v>
      </c>
    </row>
    <row r="141" spans="1:3" ht="12" customHeight="1">
      <c r="A141" s="51"/>
      <c r="B141" s="51"/>
      <c r="C141" s="53" t="s">
        <v>194</v>
      </c>
    </row>
    <row r="142" spans="1:3" ht="12" customHeight="1">
      <c r="A142" s="51"/>
      <c r="B142" s="51"/>
      <c r="C142" s="53" t="s">
        <v>195</v>
      </c>
    </row>
    <row r="143" spans="1:3" ht="12" customHeight="1">
      <c r="A143" s="51"/>
      <c r="B143" s="51"/>
      <c r="C143" s="53" t="s">
        <v>196</v>
      </c>
    </row>
    <row r="144" spans="1:3" ht="12" customHeight="1">
      <c r="A144" s="51"/>
      <c r="B144" s="51"/>
      <c r="C144" s="53" t="s">
        <v>197</v>
      </c>
    </row>
    <row r="145" spans="1:3" ht="34.5" customHeight="1">
      <c r="A145" s="48" t="s">
        <v>21</v>
      </c>
      <c r="B145" s="48" t="s">
        <v>198</v>
      </c>
      <c r="C145" s="50"/>
    </row>
    <row r="146" spans="1:3" ht="12" customHeight="1">
      <c r="A146" s="51"/>
      <c r="B146" s="51"/>
      <c r="C146" s="53" t="s">
        <v>199</v>
      </c>
    </row>
    <row r="147" spans="1:3" ht="12" customHeight="1">
      <c r="A147" s="51"/>
      <c r="B147" s="51"/>
      <c r="C147" s="53" t="s">
        <v>200</v>
      </c>
    </row>
    <row r="148" spans="1:3" ht="12" customHeight="1">
      <c r="A148" s="51"/>
      <c r="B148" s="51"/>
      <c r="C148" s="53" t="s">
        <v>201</v>
      </c>
    </row>
    <row r="149" spans="1:3" ht="12" customHeight="1">
      <c r="A149" s="51"/>
      <c r="B149" s="51"/>
      <c r="C149" s="53" t="s">
        <v>202</v>
      </c>
    </row>
    <row r="150" spans="1:3" ht="12" customHeight="1">
      <c r="A150" s="51"/>
      <c r="B150" s="51"/>
      <c r="C150" s="53" t="s">
        <v>203</v>
      </c>
    </row>
    <row r="151" spans="1:3" ht="12" customHeight="1">
      <c r="A151" s="51"/>
      <c r="B151" s="51"/>
      <c r="C151" s="53" t="s">
        <v>204</v>
      </c>
    </row>
    <row r="152" spans="1:3" ht="12" customHeight="1">
      <c r="A152" s="51"/>
      <c r="B152" s="51"/>
      <c r="C152" s="53" t="s">
        <v>205</v>
      </c>
    </row>
    <row r="153" spans="1:3" ht="12" customHeight="1">
      <c r="A153" s="51"/>
      <c r="B153" s="51"/>
      <c r="C153" s="53" t="s">
        <v>206</v>
      </c>
    </row>
    <row r="154" spans="1:3" ht="12" customHeight="1">
      <c r="A154" s="51"/>
      <c r="B154" s="51"/>
      <c r="C154" s="53" t="s">
        <v>207</v>
      </c>
    </row>
    <row r="155" spans="1:3" ht="12" customHeight="1">
      <c r="A155" s="51"/>
      <c r="B155" s="51"/>
      <c r="C155" s="53" t="s">
        <v>208</v>
      </c>
    </row>
    <row r="156" spans="1:3" ht="12" customHeight="1">
      <c r="A156" s="51"/>
      <c r="B156" s="51"/>
      <c r="C156" s="53" t="s">
        <v>209</v>
      </c>
    </row>
    <row r="157" spans="1:3" ht="12" customHeight="1">
      <c r="A157" s="51"/>
      <c r="B157" s="51"/>
      <c r="C157" s="53" t="s">
        <v>210</v>
      </c>
    </row>
    <row r="158" spans="1:3" ht="12" customHeight="1">
      <c r="A158" s="51"/>
      <c r="B158" s="51"/>
      <c r="C158" s="53" t="s">
        <v>211</v>
      </c>
    </row>
    <row r="159" spans="1:3" ht="12" customHeight="1">
      <c r="A159" s="51"/>
      <c r="B159" s="51"/>
      <c r="C159" s="53" t="s">
        <v>212</v>
      </c>
    </row>
    <row r="160" spans="1:3" ht="12" customHeight="1">
      <c r="A160" s="51"/>
      <c r="B160" s="51"/>
      <c r="C160" s="53" t="s">
        <v>213</v>
      </c>
    </row>
    <row r="161" spans="1:3" ht="12" customHeight="1">
      <c r="A161" s="51"/>
      <c r="B161" s="51"/>
      <c r="C161" s="53" t="s">
        <v>214</v>
      </c>
    </row>
    <row r="162" spans="1:3" ht="12" customHeight="1">
      <c r="A162" s="51"/>
      <c r="B162" s="51"/>
      <c r="C162" s="53" t="s">
        <v>215</v>
      </c>
    </row>
    <row r="163" spans="1:3" ht="12" customHeight="1">
      <c r="A163" s="51"/>
      <c r="B163" s="51"/>
      <c r="C163" s="53" t="s">
        <v>216</v>
      </c>
    </row>
    <row r="164" spans="1:3" ht="12" customHeight="1">
      <c r="A164" s="51"/>
      <c r="B164" s="51"/>
      <c r="C164" s="53" t="s">
        <v>217</v>
      </c>
    </row>
    <row r="165" spans="1:3" ht="12" customHeight="1">
      <c r="A165" s="51"/>
      <c r="B165" s="51"/>
      <c r="C165" s="53" t="s">
        <v>218</v>
      </c>
    </row>
    <row r="166" spans="1:3" ht="12" customHeight="1">
      <c r="A166" s="51"/>
      <c r="B166" s="51"/>
      <c r="C166" s="53" t="s">
        <v>219</v>
      </c>
    </row>
    <row r="167" spans="1:3" ht="12" customHeight="1">
      <c r="A167" s="51"/>
      <c r="B167" s="51"/>
      <c r="C167" s="53" t="s">
        <v>220</v>
      </c>
    </row>
    <row r="168" spans="1:3" ht="12" customHeight="1">
      <c r="A168" s="51"/>
      <c r="B168" s="51"/>
      <c r="C168" s="53" t="s">
        <v>221</v>
      </c>
    </row>
    <row r="169" spans="1:3" ht="12" customHeight="1">
      <c r="A169" s="51"/>
      <c r="B169" s="51"/>
      <c r="C169" s="53" t="s">
        <v>222</v>
      </c>
    </row>
    <row r="170" spans="1:3" ht="12" customHeight="1">
      <c r="A170" s="51"/>
      <c r="B170" s="51"/>
      <c r="C170" s="53" t="s">
        <v>223</v>
      </c>
    </row>
    <row r="171" spans="1:3" ht="12" customHeight="1">
      <c r="A171" s="51"/>
      <c r="B171" s="51"/>
      <c r="C171" s="53" t="s">
        <v>224</v>
      </c>
    </row>
    <row r="172" spans="1:3" ht="12" customHeight="1">
      <c r="A172" s="51"/>
      <c r="B172" s="51"/>
      <c r="C172" s="53" t="s">
        <v>225</v>
      </c>
    </row>
    <row r="173" spans="1:3" ht="53.45" customHeight="1">
      <c r="A173" s="48" t="s">
        <v>21</v>
      </c>
      <c r="B173" s="48" t="s">
        <v>226</v>
      </c>
      <c r="C173" s="50"/>
    </row>
    <row r="174" spans="1:3" ht="12" customHeight="1">
      <c r="A174" s="51"/>
      <c r="B174" s="51"/>
      <c r="C174" s="53" t="s">
        <v>227</v>
      </c>
    </row>
    <row r="175" spans="1:3" ht="12" customHeight="1">
      <c r="A175" s="51"/>
      <c r="B175" s="51"/>
      <c r="C175" s="53" t="s">
        <v>228</v>
      </c>
    </row>
    <row r="176" spans="1:3" ht="12.2" customHeight="1">
      <c r="A176" s="51"/>
      <c r="B176" s="51"/>
      <c r="C176" s="53" t="s">
        <v>229</v>
      </c>
    </row>
    <row r="177" spans="1:3" ht="12" customHeight="1">
      <c r="A177" s="51"/>
      <c r="B177" s="51"/>
      <c r="C177" s="53" t="s">
        <v>230</v>
      </c>
    </row>
    <row r="178" spans="1:3" ht="12.2" customHeight="1">
      <c r="A178" s="51"/>
      <c r="B178" s="51"/>
      <c r="C178" s="53" t="s">
        <v>231</v>
      </c>
    </row>
    <row r="179" spans="1:3" ht="12" customHeight="1">
      <c r="A179" s="51"/>
      <c r="B179" s="51"/>
      <c r="C179" s="53" t="s">
        <v>232</v>
      </c>
    </row>
    <row r="180" spans="1:3" ht="12" customHeight="1">
      <c r="A180" s="51"/>
      <c r="B180" s="51"/>
      <c r="C180" s="53" t="s">
        <v>233</v>
      </c>
    </row>
    <row r="181" spans="1:3" ht="12.2" customHeight="1">
      <c r="A181" s="51"/>
      <c r="B181" s="51"/>
      <c r="C181" s="53" t="s">
        <v>234</v>
      </c>
    </row>
    <row r="182" spans="1:3" ht="12" customHeight="1">
      <c r="A182" s="51"/>
      <c r="B182" s="51"/>
      <c r="C182" s="53" t="s">
        <v>235</v>
      </c>
    </row>
    <row r="183" spans="1:3" ht="12" customHeight="1">
      <c r="A183" s="51"/>
      <c r="B183" s="51"/>
      <c r="C183" s="53" t="s">
        <v>236</v>
      </c>
    </row>
    <row r="184" spans="1:3" ht="12.2" customHeight="1">
      <c r="A184" s="51"/>
      <c r="B184" s="51"/>
      <c r="C184" s="53" t="s">
        <v>237</v>
      </c>
    </row>
    <row r="185" spans="1:3" ht="12" customHeight="1">
      <c r="A185" s="51"/>
      <c r="B185" s="51"/>
      <c r="C185" s="53" t="s">
        <v>238</v>
      </c>
    </row>
    <row r="186" spans="1:3" ht="12" customHeight="1">
      <c r="A186" s="51"/>
      <c r="B186" s="51"/>
      <c r="C186" s="53" t="s">
        <v>239</v>
      </c>
    </row>
    <row r="187" spans="1:3" ht="12" customHeight="1">
      <c r="A187" s="51"/>
      <c r="B187" s="51"/>
      <c r="C187" s="53" t="s">
        <v>240</v>
      </c>
    </row>
    <row r="188" spans="1:3" ht="12" customHeight="1">
      <c r="A188" s="51"/>
      <c r="B188" s="51"/>
      <c r="C188" s="53" t="s">
        <v>241</v>
      </c>
    </row>
    <row r="189" spans="1:3" ht="12" customHeight="1">
      <c r="A189" s="51"/>
      <c r="B189" s="51"/>
      <c r="C189" s="53" t="s">
        <v>242</v>
      </c>
    </row>
    <row r="190" spans="1:3" ht="12" customHeight="1">
      <c r="A190" s="51"/>
      <c r="B190" s="51"/>
      <c r="C190" s="53" t="s">
        <v>243</v>
      </c>
    </row>
    <row r="191" spans="1:3" ht="13.7" customHeight="1">
      <c r="A191" s="51"/>
      <c r="B191" s="51"/>
      <c r="C191" s="53" t="s">
        <v>244</v>
      </c>
    </row>
    <row r="192" spans="1:3" ht="12" customHeight="1">
      <c r="A192" s="51"/>
      <c r="B192" s="51"/>
      <c r="C192" s="53" t="s">
        <v>245</v>
      </c>
    </row>
    <row r="193" spans="1:3" ht="12" customHeight="1">
      <c r="A193" s="51"/>
      <c r="B193" s="51"/>
      <c r="C193" s="53" t="s">
        <v>246</v>
      </c>
    </row>
    <row r="194" spans="1:3" ht="12" customHeight="1">
      <c r="A194" s="51"/>
      <c r="B194" s="51"/>
      <c r="C194" s="53" t="s">
        <v>247</v>
      </c>
    </row>
    <row r="195" spans="1:3" ht="12" customHeight="1">
      <c r="A195" s="51"/>
      <c r="B195" s="51"/>
      <c r="C195" s="53" t="s">
        <v>248</v>
      </c>
    </row>
    <row r="196" spans="1:3" ht="12" customHeight="1">
      <c r="A196" s="51"/>
      <c r="B196" s="51"/>
      <c r="C196" s="53" t="s">
        <v>249</v>
      </c>
    </row>
    <row r="197" spans="1:3" ht="12" customHeight="1">
      <c r="A197" s="51"/>
      <c r="B197" s="51"/>
      <c r="C197" s="53" t="s">
        <v>250</v>
      </c>
    </row>
    <row r="198" spans="1:3" ht="12" customHeight="1">
      <c r="A198" s="51"/>
      <c r="B198" s="51"/>
      <c r="C198" s="53" t="s">
        <v>251</v>
      </c>
    </row>
    <row r="199" spans="1:3" ht="12" customHeight="1">
      <c r="A199" s="51"/>
      <c r="B199" s="51"/>
      <c r="C199" s="53" t="s">
        <v>252</v>
      </c>
    </row>
    <row r="200" spans="1:3" ht="12" customHeight="1">
      <c r="A200" s="51"/>
      <c r="B200" s="51"/>
      <c r="C200" s="53" t="s">
        <v>253</v>
      </c>
    </row>
    <row r="201" spans="1:3" ht="12" customHeight="1">
      <c r="A201" s="51"/>
      <c r="B201" s="51"/>
      <c r="C201" s="53" t="s">
        <v>254</v>
      </c>
    </row>
    <row r="202" spans="1:3" ht="12" customHeight="1">
      <c r="A202" s="51"/>
      <c r="B202" s="51"/>
      <c r="C202" s="53" t="s">
        <v>255</v>
      </c>
    </row>
    <row r="203" spans="1:3" ht="12" customHeight="1">
      <c r="A203" s="51"/>
      <c r="B203" s="51"/>
      <c r="C203" s="53" t="s">
        <v>256</v>
      </c>
    </row>
    <row r="204" spans="1:3" ht="12" customHeight="1">
      <c r="A204" s="51"/>
      <c r="B204" s="51"/>
      <c r="C204" s="53" t="s">
        <v>257</v>
      </c>
    </row>
    <row r="205" spans="1:3" ht="12" customHeight="1">
      <c r="A205" s="51"/>
      <c r="B205" s="51"/>
      <c r="C205" s="53" t="s">
        <v>258</v>
      </c>
    </row>
    <row r="206" spans="1:3" ht="12" customHeight="1">
      <c r="A206" s="51"/>
      <c r="B206" s="51"/>
      <c r="C206" s="53" t="s">
        <v>259</v>
      </c>
    </row>
    <row r="207" spans="1:3" ht="12" customHeight="1">
      <c r="A207" s="51"/>
      <c r="B207" s="51"/>
      <c r="C207" s="53" t="s">
        <v>260</v>
      </c>
    </row>
    <row r="208" spans="1:3" ht="12" customHeight="1">
      <c r="A208" s="51"/>
      <c r="B208" s="51"/>
      <c r="C208" s="53" t="s">
        <v>261</v>
      </c>
    </row>
    <row r="209" spans="1:3" ht="12" customHeight="1">
      <c r="A209" s="51"/>
      <c r="B209" s="51"/>
      <c r="C209" s="53" t="s">
        <v>262</v>
      </c>
    </row>
    <row r="210" spans="1:3" ht="12" customHeight="1">
      <c r="A210" s="51"/>
      <c r="B210" s="51"/>
      <c r="C210" s="53" t="s">
        <v>263</v>
      </c>
    </row>
    <row r="211" spans="1:3" ht="12" customHeight="1">
      <c r="A211" s="51"/>
      <c r="B211" s="51"/>
      <c r="C211" s="53" t="s">
        <v>264</v>
      </c>
    </row>
    <row r="212" spans="1:3" ht="12" customHeight="1">
      <c r="A212" s="51"/>
      <c r="B212" s="51"/>
      <c r="C212" s="53" t="s">
        <v>265</v>
      </c>
    </row>
    <row r="213" spans="1:3" ht="12" customHeight="1">
      <c r="A213" s="51"/>
      <c r="B213" s="51"/>
      <c r="C213" s="53" t="s">
        <v>266</v>
      </c>
    </row>
    <row r="214" spans="1:3" ht="12" customHeight="1">
      <c r="A214" s="51"/>
      <c r="B214" s="51"/>
      <c r="C214" s="53" t="s">
        <v>267</v>
      </c>
    </row>
    <row r="215" spans="1:3" ht="12" customHeight="1">
      <c r="A215" s="51"/>
      <c r="B215" s="51"/>
      <c r="C215" s="53" t="s">
        <v>268</v>
      </c>
    </row>
    <row r="216" spans="1:3" ht="12" customHeight="1">
      <c r="A216" s="51"/>
      <c r="B216" s="51"/>
      <c r="C216" s="53" t="s">
        <v>269</v>
      </c>
    </row>
    <row r="217" spans="1:3" ht="11.85" customHeight="1">
      <c r="A217" s="51"/>
      <c r="B217" s="51"/>
      <c r="C217" s="53" t="s">
        <v>270</v>
      </c>
    </row>
    <row r="218" spans="1:3" ht="12" customHeight="1">
      <c r="A218" s="51"/>
      <c r="B218" s="51"/>
      <c r="C218" s="53" t="s">
        <v>271</v>
      </c>
    </row>
    <row r="219" spans="1:3" ht="12" customHeight="1">
      <c r="A219" s="51"/>
      <c r="B219" s="51"/>
      <c r="C219" s="53" t="s">
        <v>272</v>
      </c>
    </row>
    <row r="220" spans="1:3" ht="12" customHeight="1">
      <c r="A220" s="51"/>
      <c r="B220" s="51"/>
      <c r="C220" s="53" t="s">
        <v>273</v>
      </c>
    </row>
    <row r="221" spans="1:3" ht="12" customHeight="1">
      <c r="A221" s="51"/>
      <c r="B221" s="51"/>
      <c r="C221" s="53" t="s">
        <v>274</v>
      </c>
    </row>
    <row r="222" spans="1:3" ht="12" customHeight="1">
      <c r="A222" s="51"/>
      <c r="B222" s="51"/>
      <c r="C222" s="53" t="s">
        <v>275</v>
      </c>
    </row>
    <row r="223" spans="1:3" ht="12" customHeight="1">
      <c r="A223" s="51"/>
      <c r="B223" s="51"/>
      <c r="C223" s="53" t="s">
        <v>276</v>
      </c>
    </row>
    <row r="224" spans="1:3" ht="12" customHeight="1">
      <c r="A224" s="51"/>
      <c r="B224" s="51"/>
      <c r="C224" s="53" t="s">
        <v>277</v>
      </c>
    </row>
    <row r="225" spans="1:3" ht="12" customHeight="1">
      <c r="A225" s="51"/>
      <c r="B225" s="51"/>
      <c r="C225" s="53" t="s">
        <v>278</v>
      </c>
    </row>
    <row r="226" spans="1:3" ht="12" customHeight="1">
      <c r="A226" s="51"/>
      <c r="B226" s="51"/>
      <c r="C226" s="53" t="s">
        <v>279</v>
      </c>
    </row>
    <row r="227" spans="1:3" ht="12" customHeight="1">
      <c r="A227" s="51"/>
      <c r="B227" s="51"/>
      <c r="C227" s="53" t="s">
        <v>280</v>
      </c>
    </row>
    <row r="228" spans="1:3" ht="12" customHeight="1">
      <c r="A228" s="51"/>
      <c r="B228" s="51"/>
      <c r="C228" s="53" t="s">
        <v>281</v>
      </c>
    </row>
    <row r="229" spans="1:3" ht="12" customHeight="1">
      <c r="A229" s="51"/>
      <c r="B229" s="51"/>
      <c r="C229" s="53" t="s">
        <v>282</v>
      </c>
    </row>
    <row r="230" spans="1:3" ht="12" customHeight="1">
      <c r="A230" s="51"/>
      <c r="B230" s="51"/>
      <c r="C230" s="53" t="s">
        <v>283</v>
      </c>
    </row>
    <row r="231" spans="1:3" ht="12" customHeight="1">
      <c r="A231" s="51"/>
      <c r="B231" s="51"/>
      <c r="C231" s="53" t="s">
        <v>284</v>
      </c>
    </row>
    <row r="232" spans="1:3" ht="12" customHeight="1">
      <c r="A232" s="51"/>
      <c r="B232" s="51"/>
      <c r="C232" s="53" t="s">
        <v>285</v>
      </c>
    </row>
    <row r="233" spans="1:3" ht="12" customHeight="1">
      <c r="A233" s="51"/>
      <c r="B233" s="51"/>
      <c r="C233" s="53" t="s">
        <v>286</v>
      </c>
    </row>
    <row r="234" spans="1:3" ht="12" customHeight="1">
      <c r="A234" s="51"/>
      <c r="B234" s="51"/>
      <c r="C234" s="53" t="s">
        <v>287</v>
      </c>
    </row>
    <row r="235" spans="1:3" ht="12" customHeight="1">
      <c r="A235" s="51"/>
      <c r="B235" s="51"/>
      <c r="C235" s="53" t="s">
        <v>288</v>
      </c>
    </row>
    <row r="236" spans="1:3" ht="12" customHeight="1">
      <c r="A236" s="51"/>
      <c r="B236" s="51"/>
      <c r="C236" s="53" t="s">
        <v>289</v>
      </c>
    </row>
    <row r="237" spans="1:3" ht="29.25" customHeight="1">
      <c r="A237" s="48" t="s">
        <v>21</v>
      </c>
      <c r="B237" s="48" t="s">
        <v>290</v>
      </c>
      <c r="C237" s="50"/>
    </row>
    <row r="238" spans="1:3" ht="12" customHeight="1">
      <c r="A238" s="51"/>
      <c r="B238" s="51"/>
      <c r="C238" s="53" t="s">
        <v>291</v>
      </c>
    </row>
    <row r="239" spans="1:3" ht="12" customHeight="1">
      <c r="A239" s="51"/>
      <c r="B239" s="51"/>
      <c r="C239" s="53" t="s">
        <v>292</v>
      </c>
    </row>
    <row r="240" spans="1:3" ht="12" customHeight="1">
      <c r="A240" s="51"/>
      <c r="B240" s="51"/>
      <c r="C240" s="53" t="s">
        <v>293</v>
      </c>
    </row>
    <row r="241" spans="1:3" ht="12" customHeight="1">
      <c r="A241" s="51"/>
      <c r="B241" s="51"/>
      <c r="C241" s="53" t="s">
        <v>294</v>
      </c>
    </row>
    <row r="242" spans="1:3" ht="12" customHeight="1">
      <c r="A242" s="51"/>
      <c r="B242" s="51"/>
      <c r="C242" s="53" t="s">
        <v>295</v>
      </c>
    </row>
    <row r="243" spans="1:3" ht="12" customHeight="1">
      <c r="A243" s="51"/>
      <c r="B243" s="51"/>
      <c r="C243" s="53" t="s">
        <v>296</v>
      </c>
    </row>
    <row r="244" spans="1:3" ht="12" customHeight="1">
      <c r="A244" s="51"/>
      <c r="B244" s="51"/>
      <c r="C244" s="53" t="s">
        <v>297</v>
      </c>
    </row>
    <row r="245" spans="1:3" ht="12" customHeight="1">
      <c r="A245" s="51"/>
      <c r="B245" s="51"/>
      <c r="C245" s="53" t="s">
        <v>298</v>
      </c>
    </row>
    <row r="246" spans="1:3" ht="12" customHeight="1">
      <c r="A246" s="51"/>
      <c r="B246" s="51"/>
      <c r="C246" s="53" t="s">
        <v>299</v>
      </c>
    </row>
    <row r="247" spans="1:3" ht="12" customHeight="1">
      <c r="A247" s="51"/>
      <c r="B247" s="51"/>
      <c r="C247" s="53" t="s">
        <v>300</v>
      </c>
    </row>
    <row r="248" spans="1:3" ht="40.15" customHeight="1">
      <c r="A248" s="48" t="s">
        <v>21</v>
      </c>
      <c r="B248" s="48" t="s">
        <v>301</v>
      </c>
      <c r="C248" s="50"/>
    </row>
    <row r="249" spans="1:3" ht="12" customHeight="1">
      <c r="A249" s="51"/>
      <c r="B249" s="51"/>
      <c r="C249" s="53" t="s">
        <v>302</v>
      </c>
    </row>
    <row r="250" spans="1:3" ht="12" customHeight="1">
      <c r="A250" s="51"/>
      <c r="B250" s="51"/>
      <c r="C250" s="53" t="s">
        <v>303</v>
      </c>
    </row>
    <row r="251" spans="1:3" ht="12" customHeight="1">
      <c r="A251" s="51"/>
      <c r="B251" s="51"/>
      <c r="C251" s="53" t="s">
        <v>304</v>
      </c>
    </row>
    <row r="252" spans="1:3" ht="12" customHeight="1">
      <c r="A252" s="51"/>
      <c r="B252" s="51"/>
      <c r="C252" s="53" t="s">
        <v>305</v>
      </c>
    </row>
    <row r="253" spans="1:3" ht="12" customHeight="1">
      <c r="A253" s="51"/>
      <c r="B253" s="51"/>
      <c r="C253" s="53" t="s">
        <v>306</v>
      </c>
    </row>
    <row r="254" spans="1:3" ht="12" customHeight="1">
      <c r="A254" s="51"/>
      <c r="B254" s="51"/>
      <c r="C254" s="53" t="s">
        <v>307</v>
      </c>
    </row>
    <row r="255" spans="1:3" ht="12" customHeight="1">
      <c r="A255" s="51"/>
      <c r="B255" s="51"/>
      <c r="C255" s="53" t="s">
        <v>308</v>
      </c>
    </row>
    <row r="256" spans="1:3" ht="23.45" customHeight="1">
      <c r="A256" s="51"/>
      <c r="B256" s="51"/>
      <c r="C256" s="54" t="s">
        <v>309</v>
      </c>
    </row>
    <row r="257" spans="1:3" ht="23.45" customHeight="1">
      <c r="A257" s="51"/>
      <c r="B257" s="51"/>
      <c r="C257" s="54" t="s">
        <v>310</v>
      </c>
    </row>
    <row r="258" spans="1:3" ht="23.45" customHeight="1">
      <c r="A258" s="51"/>
      <c r="B258" s="51"/>
      <c r="C258" s="53" t="s">
        <v>311</v>
      </c>
    </row>
    <row r="259" spans="1:3" ht="23.45" customHeight="1">
      <c r="A259" s="51"/>
      <c r="B259" s="51"/>
      <c r="C259" s="54" t="s">
        <v>312</v>
      </c>
    </row>
    <row r="260" spans="1:3" ht="23.45" customHeight="1">
      <c r="A260" s="51"/>
      <c r="B260" s="51"/>
      <c r="C260" s="54" t="s">
        <v>313</v>
      </c>
    </row>
    <row r="261" spans="1:3" ht="23.45" customHeight="1">
      <c r="A261" s="51"/>
      <c r="B261" s="51"/>
      <c r="C261" s="53" t="s">
        <v>314</v>
      </c>
    </row>
    <row r="262" spans="1:3" ht="23.45" customHeight="1">
      <c r="A262" s="51"/>
      <c r="B262" s="51"/>
      <c r="C262" s="54" t="s">
        <v>315</v>
      </c>
    </row>
    <row r="263" spans="1:3" ht="23.45" customHeight="1">
      <c r="A263" s="51"/>
      <c r="B263" s="51"/>
      <c r="C263" s="54" t="s">
        <v>316</v>
      </c>
    </row>
    <row r="264" spans="1:3" ht="23.45" customHeight="1">
      <c r="A264" s="51"/>
      <c r="B264" s="51"/>
      <c r="C264" s="54" t="s">
        <v>317</v>
      </c>
    </row>
    <row r="265" spans="1:3" ht="23.45" customHeight="1">
      <c r="A265" s="51"/>
      <c r="B265" s="51"/>
      <c r="C265" s="54" t="s">
        <v>318</v>
      </c>
    </row>
    <row r="266" spans="1:3" ht="23.45" customHeight="1">
      <c r="A266" s="51"/>
      <c r="B266" s="51"/>
      <c r="C266" s="54" t="s">
        <v>319</v>
      </c>
    </row>
    <row r="267" spans="1:3" ht="23.45" customHeight="1">
      <c r="A267" s="51"/>
      <c r="B267" s="51"/>
      <c r="C267" s="53" t="s">
        <v>320</v>
      </c>
    </row>
    <row r="268" spans="1:3" ht="23.45" customHeight="1">
      <c r="A268" s="51"/>
      <c r="B268" s="51"/>
      <c r="C268" s="54" t="s">
        <v>321</v>
      </c>
    </row>
    <row r="269" spans="1:3" ht="23.45" customHeight="1">
      <c r="A269" s="51"/>
      <c r="B269" s="51"/>
      <c r="C269" s="54" t="s">
        <v>322</v>
      </c>
    </row>
    <row r="270" spans="1:3" ht="12" customHeight="1">
      <c r="A270" s="51"/>
      <c r="B270" s="51"/>
      <c r="C270" s="53" t="s">
        <v>323</v>
      </c>
    </row>
    <row r="271" spans="1:3" ht="12" customHeight="1">
      <c r="A271" s="51"/>
      <c r="B271" s="51"/>
      <c r="C271" s="53" t="s">
        <v>324</v>
      </c>
    </row>
    <row r="272" spans="1:3" ht="12" customHeight="1">
      <c r="A272" s="51"/>
      <c r="B272" s="51"/>
      <c r="C272" s="53" t="s">
        <v>325</v>
      </c>
    </row>
    <row r="273" spans="1:3" ht="12" customHeight="1">
      <c r="A273" s="51"/>
      <c r="B273" s="51"/>
      <c r="C273" s="53" t="s">
        <v>326</v>
      </c>
    </row>
    <row r="274" spans="1:3" ht="12" customHeight="1">
      <c r="A274" s="51"/>
      <c r="B274" s="51"/>
      <c r="C274" s="53" t="s">
        <v>327</v>
      </c>
    </row>
    <row r="275" spans="1:3" ht="12" customHeight="1">
      <c r="A275" s="51"/>
      <c r="B275" s="51"/>
      <c r="C275" s="53" t="s">
        <v>328</v>
      </c>
    </row>
    <row r="276" spans="1:3" ht="12" customHeight="1">
      <c r="A276" s="51"/>
      <c r="B276" s="51"/>
      <c r="C276" s="53" t="s">
        <v>329</v>
      </c>
    </row>
    <row r="277" spans="1:3" ht="12" customHeight="1">
      <c r="A277" s="51"/>
      <c r="B277" s="51"/>
      <c r="C277" s="53" t="s">
        <v>330</v>
      </c>
    </row>
    <row r="278" spans="1:3" ht="12" customHeight="1">
      <c r="A278" s="51"/>
      <c r="B278" s="51"/>
      <c r="C278" s="53" t="s">
        <v>331</v>
      </c>
    </row>
    <row r="279" spans="1:3" ht="12" customHeight="1">
      <c r="A279" s="51"/>
      <c r="B279" s="51"/>
      <c r="C279" s="53" t="s">
        <v>332</v>
      </c>
    </row>
    <row r="280" spans="1:3" ht="12" customHeight="1">
      <c r="A280" s="51"/>
      <c r="B280" s="51"/>
      <c r="C280" s="53" t="s">
        <v>333</v>
      </c>
    </row>
    <row r="281" spans="1:3" ht="12" customHeight="1">
      <c r="A281" s="51"/>
      <c r="B281" s="51"/>
      <c r="C281" s="53" t="s">
        <v>334</v>
      </c>
    </row>
    <row r="282" spans="1:3" ht="12" customHeight="1">
      <c r="A282" s="51"/>
      <c r="B282" s="51"/>
      <c r="C282" s="53" t="s">
        <v>335</v>
      </c>
    </row>
    <row r="283" spans="1:3" ht="12" customHeight="1">
      <c r="A283" s="51"/>
      <c r="B283" s="51"/>
      <c r="C283" s="53" t="s">
        <v>336</v>
      </c>
    </row>
    <row r="284" spans="1:3" ht="12" customHeight="1">
      <c r="A284" s="51"/>
      <c r="B284" s="51"/>
      <c r="C284" s="53" t="s">
        <v>337</v>
      </c>
    </row>
    <row r="285" spans="1:3" ht="12" customHeight="1">
      <c r="A285" s="51"/>
      <c r="B285" s="51"/>
      <c r="C285" s="53" t="s">
        <v>338</v>
      </c>
    </row>
    <row r="286" spans="1:3" ht="12" customHeight="1">
      <c r="A286" s="51"/>
      <c r="B286" s="51"/>
      <c r="C286" s="53" t="s">
        <v>339</v>
      </c>
    </row>
    <row r="287" spans="1:3" ht="12" customHeight="1">
      <c r="A287" s="51"/>
      <c r="B287" s="51"/>
      <c r="C287" s="53" t="s">
        <v>340</v>
      </c>
    </row>
    <row r="288" spans="1:3" ht="12" customHeight="1">
      <c r="A288" s="51"/>
      <c r="B288" s="51"/>
      <c r="C288" s="53" t="s">
        <v>341</v>
      </c>
    </row>
    <row r="289" spans="1:3" ht="12" customHeight="1">
      <c r="A289" s="51"/>
      <c r="B289" s="51"/>
      <c r="C289" s="53" t="s">
        <v>342</v>
      </c>
    </row>
    <row r="290" spans="1:3" ht="12" customHeight="1">
      <c r="A290" s="51"/>
      <c r="B290" s="51"/>
      <c r="C290" s="53" t="s">
        <v>343</v>
      </c>
    </row>
    <row r="291" spans="1:3" ht="30.75" customHeight="1">
      <c r="A291" s="48" t="s">
        <v>21</v>
      </c>
      <c r="B291" s="48" t="s">
        <v>344</v>
      </c>
      <c r="C291" s="50"/>
    </row>
    <row r="292" spans="1:3" ht="11.85" customHeight="1">
      <c r="A292" s="51"/>
      <c r="B292" s="51"/>
      <c r="C292" s="53" t="s">
        <v>345</v>
      </c>
    </row>
    <row r="293" spans="1:3" ht="12" customHeight="1">
      <c r="A293" s="51"/>
      <c r="B293" s="51"/>
      <c r="C293" s="53" t="s">
        <v>346</v>
      </c>
    </row>
    <row r="294" spans="1:3" ht="12" customHeight="1">
      <c r="A294" s="51"/>
      <c r="B294" s="51"/>
      <c r="C294" s="53" t="s">
        <v>347</v>
      </c>
    </row>
    <row r="295" spans="1:3" ht="12" customHeight="1">
      <c r="A295" s="51"/>
      <c r="B295" s="51"/>
      <c r="C295" s="53" t="s">
        <v>348</v>
      </c>
    </row>
    <row r="296" spans="1:3" ht="12" customHeight="1">
      <c r="A296" s="51"/>
      <c r="B296" s="51"/>
      <c r="C296" s="53" t="s">
        <v>349</v>
      </c>
    </row>
    <row r="297" spans="1:3" ht="23.45" customHeight="1">
      <c r="A297" s="51"/>
      <c r="B297" s="51"/>
      <c r="C297" s="54" t="s">
        <v>350</v>
      </c>
    </row>
    <row r="298" spans="1:3" ht="23.45" customHeight="1">
      <c r="A298" s="51"/>
      <c r="B298" s="51"/>
      <c r="C298" s="54" t="s">
        <v>351</v>
      </c>
    </row>
    <row r="299" spans="1:3" ht="12" customHeight="1">
      <c r="A299" s="51"/>
      <c r="B299" s="51"/>
      <c r="C299" s="53" t="s">
        <v>352</v>
      </c>
    </row>
    <row r="300" spans="1:3" ht="23.45" customHeight="1">
      <c r="A300" s="51"/>
      <c r="B300" s="51"/>
      <c r="C300" s="54" t="s">
        <v>353</v>
      </c>
    </row>
    <row r="301" spans="1:3" ht="11.85" customHeight="1">
      <c r="A301" s="51"/>
      <c r="B301" s="51"/>
      <c r="C301" s="53" t="s">
        <v>354</v>
      </c>
    </row>
    <row r="302" spans="1:3" ht="23.45" customHeight="1">
      <c r="A302" s="51"/>
      <c r="B302" s="51"/>
      <c r="C302" s="54" t="s">
        <v>355</v>
      </c>
    </row>
    <row r="303" spans="1:3" ht="23.45" customHeight="1">
      <c r="A303" s="51"/>
      <c r="B303" s="51"/>
      <c r="C303" s="54" t="s">
        <v>356</v>
      </c>
    </row>
    <row r="304" spans="1:3" ht="12" customHeight="1">
      <c r="A304" s="51"/>
      <c r="B304" s="51"/>
      <c r="C304" s="53" t="s">
        <v>357</v>
      </c>
    </row>
    <row r="305" spans="1:3" ht="12" customHeight="1">
      <c r="A305" s="51"/>
      <c r="B305" s="51"/>
      <c r="C305" s="53" t="s">
        <v>358</v>
      </c>
    </row>
    <row r="306" spans="1:3" ht="12" customHeight="1">
      <c r="A306" s="51"/>
      <c r="B306" s="51"/>
      <c r="C306" s="53" t="s">
        <v>359</v>
      </c>
    </row>
    <row r="307" spans="1:3" ht="12" customHeight="1">
      <c r="A307" s="51"/>
      <c r="B307" s="51"/>
      <c r="C307" s="53" t="s">
        <v>360</v>
      </c>
    </row>
    <row r="308" spans="1:3" ht="12" customHeight="1">
      <c r="A308" s="51"/>
      <c r="B308" s="51"/>
      <c r="C308" s="53" t="s">
        <v>361</v>
      </c>
    </row>
    <row r="309" spans="1:3" ht="12" customHeight="1">
      <c r="A309" s="51"/>
      <c r="B309" s="51"/>
      <c r="C309" s="53" t="s">
        <v>362</v>
      </c>
    </row>
    <row r="310" spans="1:3" ht="12" customHeight="1">
      <c r="A310" s="51"/>
      <c r="B310" s="51"/>
      <c r="C310" s="53" t="s">
        <v>363</v>
      </c>
    </row>
    <row r="311" spans="1:3" ht="12" customHeight="1">
      <c r="A311" s="51"/>
      <c r="B311" s="51"/>
      <c r="C311" s="53" t="s">
        <v>364</v>
      </c>
    </row>
    <row r="312" spans="1:3" ht="12" customHeight="1">
      <c r="A312" s="51"/>
      <c r="B312" s="51"/>
      <c r="C312" s="53" t="s">
        <v>365</v>
      </c>
    </row>
    <row r="313" spans="1:3" ht="12" customHeight="1">
      <c r="A313" s="51"/>
      <c r="B313" s="51"/>
      <c r="C313" s="53" t="s">
        <v>366</v>
      </c>
    </row>
    <row r="314" spans="1:3" ht="12" customHeight="1">
      <c r="A314" s="51"/>
      <c r="B314" s="51"/>
      <c r="C314" s="53" t="s">
        <v>367</v>
      </c>
    </row>
    <row r="315" spans="1:3" ht="23.45" customHeight="1">
      <c r="A315" s="51"/>
      <c r="B315" s="51"/>
      <c r="C315" s="54" t="s">
        <v>368</v>
      </c>
    </row>
    <row r="316" spans="1:3" ht="23.45" customHeight="1">
      <c r="A316" s="51"/>
      <c r="B316" s="51"/>
      <c r="C316" s="54" t="s">
        <v>369</v>
      </c>
    </row>
    <row r="317" spans="1:3" ht="12" customHeight="1">
      <c r="A317" s="51"/>
      <c r="B317" s="51"/>
      <c r="C317" s="53" t="s">
        <v>370</v>
      </c>
    </row>
    <row r="318" spans="1:3" ht="12" customHeight="1">
      <c r="A318" s="51"/>
      <c r="B318" s="51"/>
      <c r="C318" s="53" t="s">
        <v>371</v>
      </c>
    </row>
    <row r="319" spans="1:3" ht="12" customHeight="1">
      <c r="A319" s="51"/>
      <c r="B319" s="51"/>
      <c r="C319" s="53" t="s">
        <v>372</v>
      </c>
    </row>
    <row r="320" spans="1:3" ht="42" customHeight="1">
      <c r="A320" s="48" t="s">
        <v>21</v>
      </c>
      <c r="B320" s="48" t="s">
        <v>373</v>
      </c>
      <c r="C320" s="50"/>
    </row>
    <row r="321" spans="1:3" ht="13.9" customHeight="1">
      <c r="A321" s="51"/>
      <c r="B321" s="51"/>
      <c r="C321" s="53" t="s">
        <v>374</v>
      </c>
    </row>
    <row r="322" spans="1:3" ht="13.7" customHeight="1">
      <c r="A322" s="51"/>
      <c r="B322" s="51"/>
      <c r="C322" s="53" t="s">
        <v>375</v>
      </c>
    </row>
    <row r="323" spans="1:3" ht="13.7" customHeight="1">
      <c r="A323" s="51"/>
      <c r="B323" s="51"/>
      <c r="C323" s="53" t="s">
        <v>376</v>
      </c>
    </row>
    <row r="324" spans="1:3" ht="13.9" customHeight="1">
      <c r="A324" s="51"/>
      <c r="B324" s="51"/>
      <c r="C324" s="53" t="s">
        <v>377</v>
      </c>
    </row>
    <row r="325" spans="1:3" ht="13.7" customHeight="1">
      <c r="A325" s="51"/>
      <c r="B325" s="51"/>
      <c r="C325" s="53" t="s">
        <v>378</v>
      </c>
    </row>
    <row r="326" spans="1:3" ht="13.7" customHeight="1">
      <c r="A326" s="51"/>
      <c r="B326" s="51"/>
      <c r="C326" s="53" t="s">
        <v>379</v>
      </c>
    </row>
    <row r="327" spans="1:3" ht="13.9" customHeight="1">
      <c r="A327" s="51"/>
      <c r="B327" s="51"/>
      <c r="C327" s="53" t="s">
        <v>380</v>
      </c>
    </row>
    <row r="328" spans="1:3" ht="13.7" customHeight="1">
      <c r="A328" s="51"/>
      <c r="B328" s="51"/>
      <c r="C328" s="53" t="s">
        <v>381</v>
      </c>
    </row>
    <row r="329" spans="1:3" ht="13.9" customHeight="1">
      <c r="A329" s="51"/>
      <c r="B329" s="51"/>
      <c r="C329" s="53" t="s">
        <v>382</v>
      </c>
    </row>
    <row r="330" spans="1:3" ht="13.7" customHeight="1">
      <c r="A330" s="51"/>
      <c r="B330" s="51"/>
      <c r="C330" s="53" t="s">
        <v>383</v>
      </c>
    </row>
    <row r="331" spans="1:3" ht="13.7" customHeight="1">
      <c r="A331" s="51"/>
      <c r="B331" s="51"/>
      <c r="C331" s="53" t="s">
        <v>384</v>
      </c>
    </row>
    <row r="332" spans="1:3" ht="13.9" customHeight="1">
      <c r="A332" s="51"/>
      <c r="B332" s="51"/>
      <c r="C332" s="53" t="s">
        <v>385</v>
      </c>
    </row>
    <row r="333" spans="1:3" ht="13.7" customHeight="1">
      <c r="A333" s="51"/>
      <c r="B333" s="51"/>
      <c r="C333" s="53" t="s">
        <v>386</v>
      </c>
    </row>
    <row r="334" spans="1:3" ht="13.7" customHeight="1">
      <c r="A334" s="51"/>
      <c r="B334" s="51"/>
      <c r="C334" s="53" t="s">
        <v>387</v>
      </c>
    </row>
    <row r="335" spans="1:3" ht="12" customHeight="1">
      <c r="A335" s="51"/>
      <c r="B335" s="51"/>
      <c r="C335" s="53" t="s">
        <v>388</v>
      </c>
    </row>
    <row r="336" spans="1:3" ht="12" customHeight="1">
      <c r="A336" s="51"/>
      <c r="B336" s="51"/>
      <c r="C336" s="53" t="s">
        <v>389</v>
      </c>
    </row>
    <row r="337" spans="1:3" ht="12" customHeight="1">
      <c r="A337" s="51"/>
      <c r="B337" s="51"/>
      <c r="C337" s="53" t="s">
        <v>390</v>
      </c>
    </row>
    <row r="338" spans="1:3" ht="12" customHeight="1">
      <c r="A338" s="51"/>
      <c r="B338" s="51"/>
      <c r="C338" s="53" t="s">
        <v>391</v>
      </c>
    </row>
    <row r="339" spans="1:3" ht="12" customHeight="1">
      <c r="A339" s="51"/>
      <c r="B339" s="51"/>
      <c r="C339" s="53" t="s">
        <v>392</v>
      </c>
    </row>
    <row r="340" spans="1:3" ht="12" customHeight="1">
      <c r="A340" s="51"/>
      <c r="B340" s="51"/>
      <c r="C340" s="53" t="s">
        <v>393</v>
      </c>
    </row>
    <row r="341" spans="1:3" ht="12" customHeight="1">
      <c r="A341" s="51"/>
      <c r="B341" s="51"/>
      <c r="C341" s="53" t="s">
        <v>394</v>
      </c>
    </row>
    <row r="342" spans="1:3" ht="12" customHeight="1">
      <c r="A342" s="51"/>
      <c r="B342" s="51"/>
      <c r="C342" s="53" t="s">
        <v>395</v>
      </c>
    </row>
    <row r="343" spans="1:3" ht="12" customHeight="1">
      <c r="A343" s="51"/>
      <c r="B343" s="51"/>
      <c r="C343" s="53" t="s">
        <v>396</v>
      </c>
    </row>
    <row r="344" spans="1:3" ht="12" customHeight="1">
      <c r="A344" s="51"/>
      <c r="B344" s="51"/>
      <c r="C344" s="53" t="s">
        <v>397</v>
      </c>
    </row>
    <row r="345" spans="1:3" ht="31.5" customHeight="1">
      <c r="A345" s="48" t="s">
        <v>21</v>
      </c>
      <c r="B345" s="48" t="s">
        <v>398</v>
      </c>
      <c r="C345" s="50"/>
    </row>
    <row r="346" spans="1:3" ht="28.9" customHeight="1">
      <c r="A346" s="51"/>
      <c r="B346" s="51"/>
      <c r="C346" s="53" t="s">
        <v>399</v>
      </c>
    </row>
    <row r="347" spans="1:3" ht="13.7" customHeight="1">
      <c r="A347" s="51"/>
      <c r="B347" s="51"/>
      <c r="C347" s="53" t="s">
        <v>400</v>
      </c>
    </row>
    <row r="348" spans="1:3" ht="13.9" customHeight="1">
      <c r="A348" s="51"/>
      <c r="B348" s="51"/>
      <c r="C348" s="53" t="s">
        <v>401</v>
      </c>
    </row>
    <row r="349" spans="1:3" ht="26.85" customHeight="1">
      <c r="A349" s="51"/>
      <c r="B349" s="51"/>
      <c r="C349" s="54" t="s">
        <v>402</v>
      </c>
    </row>
    <row r="350" spans="1:3" ht="27" customHeight="1">
      <c r="A350" s="51"/>
      <c r="B350" s="51"/>
      <c r="C350" s="54" t="s">
        <v>403</v>
      </c>
    </row>
    <row r="351" spans="1:3" ht="13.7" customHeight="1">
      <c r="A351" s="51"/>
      <c r="B351" s="51"/>
      <c r="C351" s="53" t="s">
        <v>404</v>
      </c>
    </row>
    <row r="352" spans="1:3" ht="12" customHeight="1">
      <c r="A352" s="51"/>
      <c r="B352" s="51"/>
      <c r="C352" s="53" t="s">
        <v>405</v>
      </c>
    </row>
    <row r="353" spans="1:3" ht="12" customHeight="1">
      <c r="A353" s="51"/>
      <c r="B353" s="51"/>
      <c r="C353" s="53" t="s">
        <v>406</v>
      </c>
    </row>
    <row r="354" spans="1:3" ht="12" customHeight="1">
      <c r="A354" s="51"/>
      <c r="B354" s="51"/>
      <c r="C354" s="53" t="s">
        <v>407</v>
      </c>
    </row>
    <row r="355" spans="1:3" ht="12" customHeight="1">
      <c r="A355" s="51"/>
      <c r="B355" s="51"/>
      <c r="C355" s="53" t="s">
        <v>408</v>
      </c>
    </row>
    <row r="356" spans="1:3" ht="12" customHeight="1">
      <c r="A356" s="51"/>
      <c r="B356" s="51"/>
      <c r="C356" s="53" t="s">
        <v>409</v>
      </c>
    </row>
    <row r="357" spans="1:3" ht="12" customHeight="1">
      <c r="A357" s="51"/>
      <c r="B357" s="51"/>
      <c r="C357" s="53" t="s">
        <v>410</v>
      </c>
    </row>
    <row r="358" spans="1:3" ht="12" customHeight="1">
      <c r="A358" s="51"/>
      <c r="B358" s="51"/>
      <c r="C358" s="53" t="s">
        <v>411</v>
      </c>
    </row>
    <row r="359" spans="1:3" ht="12" customHeight="1">
      <c r="A359" s="51"/>
      <c r="B359" s="51"/>
      <c r="C359" s="53" t="s">
        <v>412</v>
      </c>
    </row>
    <row r="360" spans="1:3" ht="12" customHeight="1">
      <c r="A360" s="51"/>
      <c r="B360" s="51"/>
      <c r="C360" s="53" t="s">
        <v>413</v>
      </c>
    </row>
    <row r="361" spans="1:3" ht="12" customHeight="1">
      <c r="A361" s="51"/>
      <c r="B361" s="51"/>
      <c r="C361" s="53" t="s">
        <v>414</v>
      </c>
    </row>
    <row r="362" spans="1:3" ht="23.45" customHeight="1">
      <c r="A362" s="51"/>
      <c r="B362" s="51"/>
      <c r="C362" s="54" t="s">
        <v>415</v>
      </c>
    </row>
    <row r="363" spans="1:3" ht="23.45" customHeight="1">
      <c r="A363" s="51"/>
      <c r="B363" s="51"/>
      <c r="C363" s="54" t="s">
        <v>416</v>
      </c>
    </row>
    <row r="364" spans="1:3" ht="23.45" customHeight="1">
      <c r="A364" s="51"/>
      <c r="B364" s="51"/>
      <c r="C364" s="54" t="s">
        <v>417</v>
      </c>
    </row>
    <row r="365" spans="1:3" ht="12" customHeight="1">
      <c r="A365" s="51"/>
      <c r="B365" s="51"/>
      <c r="C365" s="53" t="s">
        <v>418</v>
      </c>
    </row>
    <row r="366" spans="1:3" ht="47.25" customHeight="1">
      <c r="A366" s="48" t="s">
        <v>30</v>
      </c>
      <c r="B366" s="48" t="s">
        <v>419</v>
      </c>
      <c r="C366" s="50"/>
    </row>
    <row r="367" spans="1:3" ht="12" customHeight="1">
      <c r="A367" s="51"/>
      <c r="B367" s="51"/>
      <c r="C367" s="53" t="s">
        <v>420</v>
      </c>
    </row>
    <row r="368" spans="1:3" ht="12" customHeight="1">
      <c r="A368" s="51"/>
      <c r="B368" s="51"/>
      <c r="C368" s="53" t="s">
        <v>421</v>
      </c>
    </row>
    <row r="369" spans="1:3" ht="12" customHeight="1">
      <c r="A369" s="51"/>
      <c r="B369" s="51"/>
      <c r="C369" s="53" t="s">
        <v>422</v>
      </c>
    </row>
    <row r="370" spans="1:3" ht="12" customHeight="1">
      <c r="A370" s="51"/>
      <c r="B370" s="51"/>
      <c r="C370" s="53" t="s">
        <v>423</v>
      </c>
    </row>
    <row r="371" spans="1:3" ht="12" customHeight="1">
      <c r="A371" s="51"/>
      <c r="B371" s="51"/>
      <c r="C371" s="53" t="s">
        <v>424</v>
      </c>
    </row>
    <row r="372" spans="1:3" ht="12" customHeight="1">
      <c r="A372" s="51"/>
      <c r="B372" s="51"/>
      <c r="C372" s="53" t="s">
        <v>425</v>
      </c>
    </row>
    <row r="373" spans="1:3" ht="12" customHeight="1">
      <c r="A373" s="51"/>
      <c r="B373" s="51"/>
      <c r="C373" s="53" t="s">
        <v>426</v>
      </c>
    </row>
    <row r="374" spans="1:3" ht="12" customHeight="1">
      <c r="A374" s="51"/>
      <c r="B374" s="51"/>
      <c r="C374" s="53" t="s">
        <v>427</v>
      </c>
    </row>
    <row r="375" spans="1:3" ht="12" customHeight="1">
      <c r="A375" s="51"/>
      <c r="B375" s="51"/>
      <c r="C375" s="53" t="s">
        <v>428</v>
      </c>
    </row>
    <row r="376" spans="1:3" ht="12" customHeight="1">
      <c r="A376" s="51"/>
      <c r="B376" s="51"/>
      <c r="C376" s="53" t="s">
        <v>429</v>
      </c>
    </row>
    <row r="377" spans="1:3" ht="12" customHeight="1">
      <c r="A377" s="51"/>
      <c r="B377" s="51"/>
      <c r="C377" s="53" t="s">
        <v>430</v>
      </c>
    </row>
    <row r="378" spans="1:3" ht="12" customHeight="1">
      <c r="A378" s="51"/>
      <c r="B378" s="51"/>
      <c r="C378" s="53" t="s">
        <v>431</v>
      </c>
    </row>
    <row r="379" spans="1:3" ht="12" customHeight="1">
      <c r="A379" s="51"/>
      <c r="B379" s="51"/>
      <c r="C379" s="53" t="s">
        <v>432</v>
      </c>
    </row>
    <row r="380" spans="1:3" ht="12" customHeight="1">
      <c r="A380" s="51"/>
      <c r="B380" s="51"/>
      <c r="C380" s="53" t="s">
        <v>433</v>
      </c>
    </row>
    <row r="381" spans="1:3" ht="12" customHeight="1">
      <c r="A381" s="51"/>
      <c r="B381" s="51"/>
      <c r="C381" s="53" t="s">
        <v>434</v>
      </c>
    </row>
    <row r="382" spans="1:3" ht="12" customHeight="1">
      <c r="A382" s="51"/>
      <c r="B382" s="51"/>
      <c r="C382" s="53" t="s">
        <v>435</v>
      </c>
    </row>
    <row r="383" spans="1:3" ht="12" customHeight="1">
      <c r="A383" s="51"/>
      <c r="B383" s="51"/>
      <c r="C383" s="53" t="s">
        <v>436</v>
      </c>
    </row>
    <row r="384" spans="1:3" ht="12" customHeight="1">
      <c r="A384" s="51"/>
      <c r="B384" s="51"/>
      <c r="C384" s="53" t="s">
        <v>437</v>
      </c>
    </row>
    <row r="385" spans="1:3" ht="12" customHeight="1">
      <c r="A385" s="51"/>
      <c r="B385" s="51"/>
      <c r="C385" s="53" t="s">
        <v>438</v>
      </c>
    </row>
    <row r="386" spans="1:3" ht="12" customHeight="1">
      <c r="A386" s="51"/>
      <c r="B386" s="51"/>
      <c r="C386" s="53" t="s">
        <v>439</v>
      </c>
    </row>
    <row r="387" spans="1:3" ht="12" customHeight="1">
      <c r="A387" s="51"/>
      <c r="B387" s="51"/>
      <c r="C387" s="53" t="s">
        <v>440</v>
      </c>
    </row>
    <row r="388" spans="1:3" ht="12" customHeight="1">
      <c r="A388" s="51"/>
      <c r="B388" s="51"/>
      <c r="C388" s="55" t="s">
        <v>441</v>
      </c>
    </row>
    <row r="389" spans="1:3" ht="12" customHeight="1">
      <c r="A389" s="51"/>
      <c r="B389" s="51"/>
      <c r="C389" s="55" t="s">
        <v>442</v>
      </c>
    </row>
    <row r="390" spans="1:3" ht="12" customHeight="1">
      <c r="A390" s="51"/>
      <c r="B390" s="51"/>
      <c r="C390" s="55" t="s">
        <v>443</v>
      </c>
    </row>
    <row r="391" spans="1:3" ht="12" customHeight="1">
      <c r="A391" s="51"/>
      <c r="B391" s="51"/>
      <c r="C391" s="55" t="s">
        <v>444</v>
      </c>
    </row>
    <row r="392" spans="1:3" ht="12" customHeight="1">
      <c r="A392" s="51"/>
      <c r="B392" s="51"/>
      <c r="C392" s="55" t="s">
        <v>445</v>
      </c>
    </row>
    <row r="393" spans="1:3" ht="12" customHeight="1">
      <c r="A393" s="51"/>
      <c r="B393" s="51"/>
      <c r="C393" s="55" t="s">
        <v>446</v>
      </c>
    </row>
    <row r="394" spans="1:3" ht="12" customHeight="1">
      <c r="A394" s="51"/>
      <c r="B394" s="51"/>
      <c r="C394" s="55" t="s">
        <v>447</v>
      </c>
    </row>
    <row r="395" spans="1:3" ht="12" customHeight="1">
      <c r="A395" s="51"/>
      <c r="B395" s="51"/>
      <c r="C395" s="55" t="s">
        <v>448</v>
      </c>
    </row>
    <row r="396" spans="1:3" ht="12" customHeight="1">
      <c r="A396" s="51"/>
      <c r="B396" s="51"/>
      <c r="C396" s="55" t="s">
        <v>449</v>
      </c>
    </row>
    <row r="397" spans="1:3" ht="12" customHeight="1">
      <c r="A397" s="51"/>
      <c r="B397" s="51"/>
      <c r="C397" s="55" t="s">
        <v>450</v>
      </c>
    </row>
    <row r="398" spans="1:3" ht="12" customHeight="1">
      <c r="A398" s="51"/>
      <c r="B398" s="51"/>
      <c r="C398" s="55" t="s">
        <v>451</v>
      </c>
    </row>
    <row r="399" spans="1:3" ht="12" customHeight="1">
      <c r="A399" s="51"/>
      <c r="B399" s="51"/>
      <c r="C399" s="55" t="s">
        <v>452</v>
      </c>
    </row>
    <row r="400" spans="1:3" ht="12" customHeight="1">
      <c r="A400" s="51"/>
      <c r="B400" s="51"/>
      <c r="C400" s="55" t="s">
        <v>453</v>
      </c>
    </row>
    <row r="401" spans="1:3" ht="12" customHeight="1">
      <c r="A401" s="51"/>
      <c r="B401" s="51"/>
      <c r="C401" s="55" t="s">
        <v>454</v>
      </c>
    </row>
    <row r="402" spans="1:3" ht="12.75" customHeight="1">
      <c r="A402" s="51"/>
      <c r="B402" s="51"/>
      <c r="C402" s="55" t="s">
        <v>455</v>
      </c>
    </row>
    <row r="403" spans="1:3" ht="44.25" customHeight="1">
      <c r="A403" s="48" t="s">
        <v>46</v>
      </c>
      <c r="B403" s="48" t="s">
        <v>456</v>
      </c>
      <c r="C403" s="56"/>
    </row>
    <row r="404" spans="1:3" ht="12.75" customHeight="1">
      <c r="A404" s="51"/>
      <c r="B404" s="51"/>
      <c r="C404" s="55" t="s">
        <v>457</v>
      </c>
    </row>
    <row r="405" spans="1:3" ht="12" customHeight="1">
      <c r="A405" s="51"/>
      <c r="B405" s="51"/>
      <c r="C405" s="55" t="s">
        <v>458</v>
      </c>
    </row>
    <row r="406" spans="1:3" ht="12" customHeight="1">
      <c r="A406" s="51"/>
      <c r="B406" s="51"/>
      <c r="C406" s="55" t="s">
        <v>459</v>
      </c>
    </row>
    <row r="407" spans="1:3" ht="12" customHeight="1">
      <c r="A407" s="51"/>
      <c r="B407" s="51"/>
      <c r="C407" s="55" t="s">
        <v>460</v>
      </c>
    </row>
    <row r="408" spans="1:3" ht="12" customHeight="1">
      <c r="A408" s="51"/>
      <c r="B408" s="51"/>
      <c r="C408" s="55" t="s">
        <v>461</v>
      </c>
    </row>
    <row r="409" spans="1:3" ht="12" customHeight="1">
      <c r="A409" s="51"/>
      <c r="B409" s="51"/>
      <c r="C409" s="55" t="s">
        <v>462</v>
      </c>
    </row>
    <row r="410" spans="1:3" ht="12" customHeight="1">
      <c r="A410" s="51"/>
      <c r="B410" s="51"/>
      <c r="C410" s="55" t="s">
        <v>463</v>
      </c>
    </row>
    <row r="411" spans="1:3" ht="12" customHeight="1">
      <c r="A411" s="51"/>
      <c r="B411" s="51"/>
      <c r="C411" s="55" t="s">
        <v>464</v>
      </c>
    </row>
    <row r="412" spans="1:3" ht="12" customHeight="1">
      <c r="A412" s="51"/>
      <c r="B412" s="51"/>
      <c r="C412" s="55" t="s">
        <v>465</v>
      </c>
    </row>
    <row r="413" spans="1:3" ht="12" customHeight="1">
      <c r="A413" s="51"/>
      <c r="B413" s="51"/>
      <c r="C413" s="55" t="s">
        <v>466</v>
      </c>
    </row>
    <row r="414" spans="1:3" ht="12" customHeight="1">
      <c r="A414" s="51"/>
      <c r="B414" s="51"/>
      <c r="C414" s="55" t="s">
        <v>467</v>
      </c>
    </row>
    <row r="415" spans="1:3" ht="12" customHeight="1">
      <c r="A415" s="51"/>
      <c r="B415" s="51"/>
      <c r="C415" s="55" t="s">
        <v>468</v>
      </c>
    </row>
    <row r="416" spans="1:3" ht="12" customHeight="1">
      <c r="A416" s="51"/>
      <c r="B416" s="51"/>
      <c r="C416" s="55" t="s">
        <v>469</v>
      </c>
    </row>
    <row r="417" spans="1:3" ht="12" customHeight="1">
      <c r="A417" s="51"/>
      <c r="B417" s="51"/>
      <c r="C417" s="55" t="s">
        <v>470</v>
      </c>
    </row>
    <row r="418" spans="1:3" ht="12" customHeight="1">
      <c r="A418" s="51"/>
      <c r="B418" s="51"/>
      <c r="C418" s="55" t="s">
        <v>471</v>
      </c>
    </row>
    <row r="419" spans="1:3" ht="12" customHeight="1">
      <c r="A419" s="51"/>
      <c r="B419" s="51"/>
      <c r="C419" s="55" t="s">
        <v>472</v>
      </c>
    </row>
    <row r="420" spans="1:3" ht="12" customHeight="1">
      <c r="A420" s="51"/>
      <c r="B420" s="51"/>
      <c r="C420" s="55" t="s">
        <v>473</v>
      </c>
    </row>
    <row r="421" spans="1:3" ht="12" customHeight="1">
      <c r="A421" s="51"/>
      <c r="B421" s="51"/>
      <c r="C421" s="55" t="s">
        <v>474</v>
      </c>
    </row>
    <row r="422" spans="1:3" ht="12" customHeight="1">
      <c r="A422" s="51"/>
      <c r="B422" s="51"/>
      <c r="C422" s="55" t="s">
        <v>475</v>
      </c>
    </row>
    <row r="423" spans="1:3" ht="12" customHeight="1">
      <c r="A423" s="51"/>
      <c r="B423" s="51"/>
      <c r="C423" s="55" t="s">
        <v>476</v>
      </c>
    </row>
    <row r="424" spans="1:3" ht="12" customHeight="1">
      <c r="A424" s="51"/>
      <c r="B424" s="51"/>
      <c r="C424" s="55" t="s">
        <v>477</v>
      </c>
    </row>
    <row r="425" spans="1:3" ht="12" customHeight="1">
      <c r="A425" s="51"/>
      <c r="B425" s="51"/>
      <c r="C425" s="55" t="s">
        <v>478</v>
      </c>
    </row>
    <row r="426" spans="1:3" ht="12" customHeight="1">
      <c r="A426" s="51"/>
      <c r="B426" s="51"/>
      <c r="C426" s="55" t="s">
        <v>479</v>
      </c>
    </row>
    <row r="427" spans="1:3" ht="12" customHeight="1">
      <c r="A427" s="51"/>
      <c r="B427" s="51"/>
      <c r="C427" s="55" t="s">
        <v>480</v>
      </c>
    </row>
    <row r="428" spans="1:3" ht="12" customHeight="1">
      <c r="A428" s="51"/>
      <c r="B428" s="51"/>
      <c r="C428" s="55" t="s">
        <v>481</v>
      </c>
    </row>
    <row r="429" spans="1:3" ht="12" customHeight="1">
      <c r="A429" s="51"/>
      <c r="B429" s="51"/>
      <c r="C429" s="55" t="s">
        <v>482</v>
      </c>
    </row>
    <row r="430" spans="1:3" ht="12" customHeight="1">
      <c r="A430" s="51"/>
      <c r="B430" s="51"/>
      <c r="C430" s="55" t="s">
        <v>483</v>
      </c>
    </row>
    <row r="431" spans="1:3" ht="12" customHeight="1">
      <c r="A431" s="51"/>
      <c r="B431" s="51"/>
      <c r="C431" s="55" t="s">
        <v>484</v>
      </c>
    </row>
    <row r="432" spans="1:3" ht="12" customHeight="1">
      <c r="A432" s="51"/>
      <c r="B432" s="51"/>
      <c r="C432" s="55" t="s">
        <v>485</v>
      </c>
    </row>
    <row r="433" spans="1:3" ht="12" customHeight="1">
      <c r="A433" s="51"/>
      <c r="B433" s="51"/>
      <c r="C433" s="55" t="s">
        <v>486</v>
      </c>
    </row>
    <row r="434" spans="1:3" ht="12" customHeight="1">
      <c r="A434" s="51"/>
      <c r="B434" s="51"/>
      <c r="C434" s="55" t="s">
        <v>487</v>
      </c>
    </row>
    <row r="435" spans="1:3" ht="12" customHeight="1">
      <c r="A435" s="51"/>
      <c r="B435" s="51"/>
      <c r="C435" s="55" t="s">
        <v>488</v>
      </c>
    </row>
    <row r="436" spans="1:3" ht="12" customHeight="1">
      <c r="A436" s="51"/>
      <c r="B436" s="51"/>
      <c r="C436" s="55" t="s">
        <v>489</v>
      </c>
    </row>
    <row r="437" spans="1:3" ht="11.85" customHeight="1">
      <c r="A437" s="51"/>
      <c r="B437" s="51"/>
      <c r="C437" s="55" t="s">
        <v>490</v>
      </c>
    </row>
    <row r="438" spans="1:3" ht="12" customHeight="1">
      <c r="A438" s="51"/>
      <c r="B438" s="51"/>
      <c r="C438" s="55" t="s">
        <v>491</v>
      </c>
    </row>
    <row r="439" spans="1:3" ht="12" customHeight="1">
      <c r="A439" s="51"/>
      <c r="B439" s="51"/>
      <c r="C439" s="55" t="s">
        <v>492</v>
      </c>
    </row>
    <row r="440" spans="1:3" ht="12" customHeight="1">
      <c r="A440" s="51"/>
      <c r="B440" s="51"/>
      <c r="C440" s="55" t="s">
        <v>493</v>
      </c>
    </row>
    <row r="441" spans="1:3" ht="12" customHeight="1">
      <c r="A441" s="51"/>
      <c r="B441" s="51"/>
      <c r="C441" s="55" t="s">
        <v>494</v>
      </c>
    </row>
    <row r="442" spans="1:3" ht="12" customHeight="1">
      <c r="A442" s="51"/>
      <c r="B442" s="51"/>
      <c r="C442" s="55" t="s">
        <v>495</v>
      </c>
    </row>
    <row r="443" spans="1:3" ht="12" customHeight="1">
      <c r="A443" s="51"/>
      <c r="B443" s="51"/>
      <c r="C443" s="55" t="s">
        <v>496</v>
      </c>
    </row>
    <row r="444" spans="1:3" ht="12" customHeight="1">
      <c r="A444" s="51"/>
      <c r="B444" s="51"/>
      <c r="C444" s="55" t="s">
        <v>497</v>
      </c>
    </row>
    <row r="445" spans="1:3" ht="12" customHeight="1">
      <c r="A445" s="51"/>
      <c r="B445" s="51"/>
      <c r="C445" s="55" t="s">
        <v>498</v>
      </c>
    </row>
    <row r="446" spans="1:3" ht="12" customHeight="1">
      <c r="A446" s="51"/>
      <c r="B446" s="51"/>
      <c r="C446" s="55" t="s">
        <v>499</v>
      </c>
    </row>
    <row r="447" spans="1:3" ht="12" customHeight="1">
      <c r="A447" s="51"/>
      <c r="B447" s="51"/>
      <c r="C447" s="55" t="s">
        <v>500</v>
      </c>
    </row>
    <row r="448" spans="1:3" ht="12" customHeight="1">
      <c r="A448" s="51"/>
      <c r="B448" s="51"/>
      <c r="C448" s="55" t="s">
        <v>501</v>
      </c>
    </row>
    <row r="449" spans="1:3" ht="12" customHeight="1">
      <c r="A449" s="51"/>
      <c r="B449" s="51"/>
      <c r="C449" s="55" t="s">
        <v>502</v>
      </c>
    </row>
    <row r="450" spans="1:3" ht="12" customHeight="1">
      <c r="A450" s="51"/>
      <c r="B450" s="51"/>
      <c r="C450" s="55" t="s">
        <v>503</v>
      </c>
    </row>
    <row r="451" spans="1:3" ht="12" customHeight="1">
      <c r="A451" s="51"/>
      <c r="B451" s="51"/>
      <c r="C451" s="55" t="s">
        <v>504</v>
      </c>
    </row>
    <row r="452" spans="1:3" ht="12" customHeight="1">
      <c r="A452" s="51"/>
      <c r="B452" s="51"/>
      <c r="C452" s="55" t="s">
        <v>505</v>
      </c>
    </row>
    <row r="453" spans="1:3" ht="12" customHeight="1">
      <c r="A453" s="51"/>
      <c r="B453" s="51"/>
      <c r="C453" s="55" t="s">
        <v>506</v>
      </c>
    </row>
    <row r="454" spans="1:3" ht="12" customHeight="1">
      <c r="A454" s="51"/>
      <c r="B454" s="51"/>
      <c r="C454" s="55" t="s">
        <v>507</v>
      </c>
    </row>
    <row r="455" spans="1:3" ht="12" customHeight="1">
      <c r="A455" s="51"/>
      <c r="B455" s="51"/>
      <c r="C455" s="55" t="s">
        <v>508</v>
      </c>
    </row>
    <row r="456" spans="1:3" ht="12" customHeight="1">
      <c r="A456" s="51"/>
      <c r="B456" s="51"/>
      <c r="C456" s="55" t="s">
        <v>509</v>
      </c>
    </row>
    <row r="457" spans="1:3" ht="12" customHeight="1">
      <c r="A457" s="51"/>
      <c r="B457" s="51"/>
      <c r="C457" s="55" t="s">
        <v>510</v>
      </c>
    </row>
    <row r="458" spans="1:3" ht="12" customHeight="1">
      <c r="A458" s="51"/>
      <c r="B458" s="51"/>
      <c r="C458" s="55" t="s">
        <v>511</v>
      </c>
    </row>
    <row r="459" spans="1:3" ht="12" customHeight="1">
      <c r="A459" s="51"/>
      <c r="B459" s="51"/>
      <c r="C459" s="55" t="s">
        <v>512</v>
      </c>
    </row>
    <row r="460" spans="1:3" ht="12" customHeight="1">
      <c r="A460" s="51"/>
      <c r="B460" s="51"/>
      <c r="C460" s="55" t="s">
        <v>513</v>
      </c>
    </row>
    <row r="461" spans="1:3" ht="12" customHeight="1">
      <c r="A461" s="51"/>
      <c r="B461" s="51"/>
      <c r="C461" s="55" t="s">
        <v>514</v>
      </c>
    </row>
    <row r="462" spans="1:3" ht="12" customHeight="1">
      <c r="A462" s="51"/>
      <c r="B462" s="51"/>
      <c r="C462" s="55" t="s">
        <v>515</v>
      </c>
    </row>
    <row r="463" spans="1:3" ht="12" customHeight="1">
      <c r="A463" s="51"/>
      <c r="B463" s="51"/>
      <c r="C463" s="55" t="s">
        <v>516</v>
      </c>
    </row>
    <row r="464" spans="1:3" ht="12" customHeight="1">
      <c r="A464" s="51"/>
      <c r="B464" s="51"/>
      <c r="C464" s="55" t="s">
        <v>517</v>
      </c>
    </row>
    <row r="465" spans="1:3" ht="12" customHeight="1">
      <c r="A465" s="51"/>
      <c r="B465" s="51"/>
      <c r="C465" s="55" t="s">
        <v>518</v>
      </c>
    </row>
    <row r="466" spans="1:3" ht="12" customHeight="1">
      <c r="A466" s="51"/>
      <c r="B466" s="51"/>
      <c r="C466" s="55" t="s">
        <v>519</v>
      </c>
    </row>
    <row r="467" spans="1:3" ht="12" customHeight="1">
      <c r="A467" s="51"/>
      <c r="B467" s="51"/>
      <c r="C467" s="55" t="s">
        <v>520</v>
      </c>
    </row>
    <row r="468" spans="1:3" ht="12" customHeight="1">
      <c r="A468" s="51"/>
      <c r="B468" s="51"/>
      <c r="C468" s="55" t="s">
        <v>521</v>
      </c>
    </row>
    <row r="469" spans="1:3" ht="12" customHeight="1">
      <c r="A469" s="51"/>
      <c r="B469" s="51"/>
      <c r="C469" s="55" t="s">
        <v>522</v>
      </c>
    </row>
    <row r="470" spans="1:3" ht="12" customHeight="1">
      <c r="A470" s="51"/>
      <c r="B470" s="51"/>
      <c r="C470" s="55" t="s">
        <v>523</v>
      </c>
    </row>
    <row r="471" spans="1:3" ht="12" customHeight="1">
      <c r="A471" s="51"/>
      <c r="B471" s="51"/>
      <c r="C471" s="55" t="s">
        <v>524</v>
      </c>
    </row>
    <row r="472" spans="1:3" ht="12" customHeight="1">
      <c r="A472" s="51"/>
      <c r="B472" s="51"/>
      <c r="C472" s="55" t="s">
        <v>525</v>
      </c>
    </row>
    <row r="473" spans="1:3" ht="12" customHeight="1">
      <c r="A473" s="51"/>
      <c r="B473" s="51"/>
      <c r="C473" s="55" t="s">
        <v>526</v>
      </c>
    </row>
    <row r="474" spans="1:3" ht="12" customHeight="1">
      <c r="A474" s="51"/>
      <c r="B474" s="51"/>
      <c r="C474" s="55" t="s">
        <v>527</v>
      </c>
    </row>
    <row r="475" spans="1:3" ht="12" customHeight="1">
      <c r="A475" s="51"/>
      <c r="B475" s="51"/>
      <c r="C475" s="55" t="s">
        <v>528</v>
      </c>
    </row>
    <row r="476" spans="1:3" ht="12" customHeight="1">
      <c r="A476" s="51"/>
      <c r="B476" s="51"/>
      <c r="C476" s="55" t="s">
        <v>529</v>
      </c>
    </row>
    <row r="477" spans="1:3" ht="12" customHeight="1">
      <c r="A477" s="51"/>
      <c r="B477" s="51"/>
      <c r="C477" s="55" t="s">
        <v>530</v>
      </c>
    </row>
    <row r="478" spans="1:3" ht="12" customHeight="1">
      <c r="A478" s="51"/>
      <c r="B478" s="51"/>
      <c r="C478" s="55" t="s">
        <v>531</v>
      </c>
    </row>
    <row r="479" spans="1:3" ht="12" customHeight="1">
      <c r="A479" s="51"/>
      <c r="B479" s="51"/>
      <c r="C479" s="55" t="s">
        <v>532</v>
      </c>
    </row>
    <row r="480" spans="1:3" ht="12" customHeight="1">
      <c r="A480" s="51"/>
      <c r="B480" s="51"/>
      <c r="C480" s="55" t="s">
        <v>533</v>
      </c>
    </row>
    <row r="481" spans="1:3" ht="12" customHeight="1">
      <c r="A481" s="51"/>
      <c r="B481" s="51"/>
      <c r="C481" s="55" t="s">
        <v>534</v>
      </c>
    </row>
    <row r="482" spans="1:3" ht="12" customHeight="1">
      <c r="A482" s="51"/>
      <c r="B482" s="51"/>
      <c r="C482" s="55" t="s">
        <v>535</v>
      </c>
    </row>
    <row r="483" spans="1:3" ht="33" customHeight="1">
      <c r="A483" s="48" t="s">
        <v>46</v>
      </c>
      <c r="B483" s="48" t="s">
        <v>536</v>
      </c>
      <c r="C483" s="56"/>
    </row>
    <row r="484" spans="1:3" ht="12" customHeight="1">
      <c r="A484" s="51"/>
      <c r="B484" s="51"/>
      <c r="C484" s="55" t="s">
        <v>537</v>
      </c>
    </row>
    <row r="485" spans="1:3" ht="12" customHeight="1">
      <c r="A485" s="51"/>
      <c r="B485" s="51"/>
      <c r="C485" s="55" t="s">
        <v>538</v>
      </c>
    </row>
    <row r="486" spans="1:3" ht="12" customHeight="1">
      <c r="A486" s="51"/>
      <c r="B486" s="51"/>
      <c r="C486" s="55" t="s">
        <v>539</v>
      </c>
    </row>
    <row r="487" spans="1:3" ht="11.85" customHeight="1">
      <c r="A487" s="51"/>
      <c r="B487" s="51"/>
      <c r="C487" s="53" t="s">
        <v>540</v>
      </c>
    </row>
    <row r="488" spans="1:3" ht="12" customHeight="1">
      <c r="A488" s="51"/>
      <c r="B488" s="51"/>
      <c r="C488" s="53" t="s">
        <v>541</v>
      </c>
    </row>
    <row r="489" spans="1:3" ht="12" customHeight="1">
      <c r="A489" s="51"/>
      <c r="B489" s="51"/>
      <c r="C489" s="53" t="s">
        <v>542</v>
      </c>
    </row>
    <row r="490" spans="1:3" ht="12" customHeight="1">
      <c r="A490" s="51"/>
      <c r="B490" s="51"/>
      <c r="C490" s="53" t="s">
        <v>543</v>
      </c>
    </row>
    <row r="491" spans="1:3" ht="12" customHeight="1">
      <c r="A491" s="51"/>
      <c r="B491" s="51"/>
      <c r="C491" s="53" t="s">
        <v>544</v>
      </c>
    </row>
    <row r="492" spans="1:3" ht="12" customHeight="1">
      <c r="A492" s="51"/>
      <c r="B492" s="51"/>
      <c r="C492" s="53" t="s">
        <v>545</v>
      </c>
    </row>
    <row r="493" spans="1:3" ht="12" customHeight="1">
      <c r="A493" s="51"/>
      <c r="B493" s="51"/>
      <c r="C493" s="53" t="s">
        <v>546</v>
      </c>
    </row>
    <row r="494" spans="1:3" ht="12" customHeight="1">
      <c r="A494" s="51"/>
      <c r="B494" s="51"/>
      <c r="C494" s="53" t="s">
        <v>547</v>
      </c>
    </row>
    <row r="495" spans="1:3" ht="12" customHeight="1">
      <c r="A495" s="51"/>
      <c r="B495" s="51"/>
      <c r="C495" s="53" t="s">
        <v>548</v>
      </c>
    </row>
    <row r="496" spans="1:3" ht="12" customHeight="1">
      <c r="A496" s="51"/>
      <c r="B496" s="51"/>
      <c r="C496" s="53" t="s">
        <v>549</v>
      </c>
    </row>
    <row r="497" spans="1:3" ht="12" customHeight="1">
      <c r="A497" s="51"/>
      <c r="B497" s="51"/>
      <c r="C497" s="53" t="s">
        <v>550</v>
      </c>
    </row>
    <row r="498" spans="1:3" ht="12" customHeight="1">
      <c r="A498" s="51"/>
      <c r="B498" s="51"/>
      <c r="C498" s="53" t="s">
        <v>551</v>
      </c>
    </row>
    <row r="499" spans="1:3" ht="12" customHeight="1">
      <c r="A499" s="51"/>
      <c r="B499" s="51"/>
      <c r="C499" s="53" t="s">
        <v>552</v>
      </c>
    </row>
    <row r="500" spans="1:3" ht="12" customHeight="1">
      <c r="A500" s="51"/>
      <c r="B500" s="51"/>
      <c r="C500" s="53" t="s">
        <v>553</v>
      </c>
    </row>
    <row r="501" spans="1:3" ht="12" customHeight="1">
      <c r="A501" s="51"/>
      <c r="B501" s="51"/>
      <c r="C501" s="53" t="s">
        <v>554</v>
      </c>
    </row>
    <row r="502" spans="1:3" ht="12" customHeight="1">
      <c r="A502" s="51"/>
      <c r="B502" s="51"/>
      <c r="C502" s="53" t="s">
        <v>555</v>
      </c>
    </row>
    <row r="503" spans="1:3" ht="12" customHeight="1">
      <c r="A503" s="51"/>
      <c r="B503" s="51"/>
      <c r="C503" s="53" t="s">
        <v>556</v>
      </c>
    </row>
    <row r="504" spans="1:3" ht="12" customHeight="1">
      <c r="A504" s="51"/>
      <c r="B504" s="51"/>
      <c r="C504" s="53" t="s">
        <v>557</v>
      </c>
    </row>
    <row r="505" spans="1:3" ht="12" customHeight="1">
      <c r="A505" s="51"/>
      <c r="B505" s="51"/>
      <c r="C505" s="53" t="s">
        <v>558</v>
      </c>
    </row>
    <row r="506" spans="1:3" ht="12" customHeight="1">
      <c r="A506" s="51"/>
      <c r="B506" s="51"/>
      <c r="C506" s="53" t="s">
        <v>559</v>
      </c>
    </row>
    <row r="507" spans="1:3" ht="12" customHeight="1">
      <c r="A507" s="51"/>
      <c r="B507" s="51"/>
      <c r="C507" s="53" t="s">
        <v>560</v>
      </c>
    </row>
    <row r="508" spans="1:3" ht="12" customHeight="1">
      <c r="A508" s="51"/>
      <c r="B508" s="51"/>
      <c r="C508" s="53" t="s">
        <v>561</v>
      </c>
    </row>
    <row r="509" spans="1:3" ht="12" customHeight="1">
      <c r="A509" s="51"/>
      <c r="B509" s="51"/>
      <c r="C509" s="53" t="s">
        <v>562</v>
      </c>
    </row>
    <row r="510" spans="1:3" ht="12" customHeight="1">
      <c r="A510" s="51"/>
      <c r="B510" s="51"/>
      <c r="C510" s="53" t="s">
        <v>563</v>
      </c>
    </row>
    <row r="511" spans="1:3" ht="12" customHeight="1">
      <c r="A511" s="51"/>
      <c r="B511" s="51"/>
      <c r="C511" s="53" t="s">
        <v>564</v>
      </c>
    </row>
    <row r="512" spans="1:3" ht="12" customHeight="1">
      <c r="A512" s="51"/>
      <c r="B512" s="51"/>
      <c r="C512" s="53" t="s">
        <v>565</v>
      </c>
    </row>
    <row r="513" spans="1:3" ht="12" customHeight="1">
      <c r="A513" s="51"/>
      <c r="B513" s="51"/>
      <c r="C513" s="53" t="s">
        <v>566</v>
      </c>
    </row>
    <row r="514" spans="1:3" ht="12" customHeight="1">
      <c r="A514" s="51"/>
      <c r="B514" s="51"/>
      <c r="C514" s="53" t="s">
        <v>567</v>
      </c>
    </row>
    <row r="515" spans="1:3" ht="12" customHeight="1">
      <c r="A515" s="51"/>
      <c r="B515" s="51"/>
      <c r="C515" s="53" t="s">
        <v>568</v>
      </c>
    </row>
    <row r="516" spans="1:3" ht="12" customHeight="1">
      <c r="A516" s="51"/>
      <c r="B516" s="51"/>
      <c r="C516" s="53" t="s">
        <v>569</v>
      </c>
    </row>
    <row r="517" spans="1:3" ht="12" customHeight="1">
      <c r="A517" s="51"/>
      <c r="B517" s="51"/>
      <c r="C517" s="53" t="s">
        <v>570</v>
      </c>
    </row>
    <row r="518" spans="1:3" ht="12" customHeight="1">
      <c r="A518" s="51"/>
      <c r="B518" s="51"/>
      <c r="C518" s="53" t="s">
        <v>571</v>
      </c>
    </row>
    <row r="519" spans="1:3" ht="12" customHeight="1">
      <c r="A519" s="51"/>
      <c r="B519" s="51"/>
      <c r="C519" s="53" t="s">
        <v>572</v>
      </c>
    </row>
    <row r="520" spans="1:3" ht="12" customHeight="1">
      <c r="A520" s="51"/>
      <c r="B520" s="51"/>
      <c r="C520" s="53" t="s">
        <v>573</v>
      </c>
    </row>
    <row r="521" spans="1:3" ht="12" customHeight="1">
      <c r="A521" s="51"/>
      <c r="B521" s="51"/>
      <c r="C521" s="53" t="s">
        <v>574</v>
      </c>
    </row>
    <row r="522" spans="1:3" ht="12" customHeight="1">
      <c r="A522" s="51"/>
      <c r="B522" s="51"/>
      <c r="C522" s="53" t="s">
        <v>575</v>
      </c>
    </row>
    <row r="523" spans="1:3" ht="12" customHeight="1">
      <c r="A523" s="51"/>
      <c r="B523" s="51"/>
      <c r="C523" s="53" t="s">
        <v>576</v>
      </c>
    </row>
    <row r="524" spans="1:3" ht="12" customHeight="1">
      <c r="A524" s="51"/>
      <c r="B524" s="51"/>
      <c r="C524" s="53" t="s">
        <v>577</v>
      </c>
    </row>
    <row r="525" spans="1:3" ht="12" customHeight="1">
      <c r="A525" s="51"/>
      <c r="B525" s="51"/>
      <c r="C525" s="53" t="s">
        <v>578</v>
      </c>
    </row>
    <row r="526" spans="1:3" ht="12" customHeight="1">
      <c r="A526" s="51"/>
      <c r="B526" s="51"/>
      <c r="C526" s="53" t="s">
        <v>579</v>
      </c>
    </row>
    <row r="527" spans="1:3" ht="12" customHeight="1">
      <c r="A527" s="51"/>
      <c r="B527" s="51"/>
      <c r="C527" s="53" t="s">
        <v>580</v>
      </c>
    </row>
    <row r="528" spans="1:3" ht="12" customHeight="1">
      <c r="A528" s="51"/>
      <c r="B528" s="51"/>
      <c r="C528" s="53" t="s">
        <v>581</v>
      </c>
    </row>
    <row r="529" spans="1:3" ht="12" customHeight="1">
      <c r="A529" s="51"/>
      <c r="B529" s="51"/>
      <c r="C529" s="53" t="s">
        <v>582</v>
      </c>
    </row>
    <row r="530" spans="1:3" ht="12" customHeight="1">
      <c r="A530" s="51"/>
      <c r="B530" s="51"/>
      <c r="C530" s="53" t="s">
        <v>583</v>
      </c>
    </row>
    <row r="531" spans="1:3" ht="12" customHeight="1">
      <c r="A531" s="51"/>
      <c r="B531" s="51"/>
      <c r="C531" s="53" t="s">
        <v>584</v>
      </c>
    </row>
    <row r="532" spans="1:3" ht="12" customHeight="1">
      <c r="A532" s="51"/>
      <c r="B532" s="51"/>
      <c r="C532" s="53" t="s">
        <v>585</v>
      </c>
    </row>
    <row r="533" spans="1:3" ht="12" customHeight="1">
      <c r="A533" s="51"/>
      <c r="B533" s="51"/>
      <c r="C533" s="53" t="s">
        <v>586</v>
      </c>
    </row>
    <row r="534" spans="1:3" ht="12" customHeight="1">
      <c r="A534" s="51"/>
      <c r="B534" s="51"/>
      <c r="C534" s="53" t="s">
        <v>587</v>
      </c>
    </row>
    <row r="535" spans="1:3" ht="12" customHeight="1">
      <c r="A535" s="51"/>
      <c r="B535" s="51"/>
      <c r="C535" s="53" t="s">
        <v>588</v>
      </c>
    </row>
    <row r="536" spans="1:3" ht="12" customHeight="1">
      <c r="A536" s="51"/>
      <c r="B536" s="51"/>
      <c r="C536" s="53" t="s">
        <v>589</v>
      </c>
    </row>
    <row r="537" spans="1:3" ht="12" customHeight="1">
      <c r="A537" s="51"/>
      <c r="B537" s="51"/>
      <c r="C537" s="53" t="s">
        <v>590</v>
      </c>
    </row>
    <row r="538" spans="1:3" ht="12" customHeight="1">
      <c r="A538" s="51"/>
      <c r="B538" s="51"/>
      <c r="C538" s="53" t="s">
        <v>591</v>
      </c>
    </row>
    <row r="539" spans="1:3" ht="12" customHeight="1">
      <c r="A539" s="51"/>
      <c r="B539" s="51"/>
      <c r="C539" s="53" t="s">
        <v>592</v>
      </c>
    </row>
    <row r="540" spans="1:3" ht="12" customHeight="1">
      <c r="A540" s="51"/>
      <c r="B540" s="51"/>
      <c r="C540" s="53" t="s">
        <v>593</v>
      </c>
    </row>
    <row r="541" spans="1:3" ht="12" customHeight="1">
      <c r="A541" s="51"/>
      <c r="B541" s="51"/>
      <c r="C541" s="53" t="s">
        <v>594</v>
      </c>
    </row>
    <row r="542" spans="1:3" ht="12" customHeight="1">
      <c r="A542" s="51"/>
      <c r="B542" s="51"/>
      <c r="C542" s="53" t="s">
        <v>595</v>
      </c>
    </row>
    <row r="543" spans="1:3" ht="12" customHeight="1">
      <c r="A543" s="51"/>
      <c r="B543" s="51"/>
      <c r="C543" s="53" t="s">
        <v>596</v>
      </c>
    </row>
    <row r="544" spans="1:3" ht="12" customHeight="1">
      <c r="A544" s="51"/>
      <c r="B544" s="51"/>
      <c r="C544" s="53" t="s">
        <v>597</v>
      </c>
    </row>
    <row r="545" spans="1:3" ht="12" customHeight="1">
      <c r="A545" s="51"/>
      <c r="B545" s="51"/>
      <c r="C545" s="53" t="s">
        <v>598</v>
      </c>
    </row>
    <row r="546" spans="1:3" ht="12" customHeight="1">
      <c r="A546" s="51"/>
      <c r="B546" s="51"/>
      <c r="C546" s="53" t="s">
        <v>599</v>
      </c>
    </row>
    <row r="547" spans="1:3" ht="12" customHeight="1">
      <c r="A547" s="51"/>
      <c r="B547" s="51"/>
      <c r="C547" s="53" t="s">
        <v>600</v>
      </c>
    </row>
    <row r="548" spans="1:3" ht="12" customHeight="1">
      <c r="A548" s="51"/>
      <c r="B548" s="51"/>
      <c r="C548" s="53" t="s">
        <v>601</v>
      </c>
    </row>
    <row r="549" spans="1:3" ht="12" customHeight="1">
      <c r="A549" s="51"/>
      <c r="B549" s="51"/>
      <c r="C549" s="53" t="s">
        <v>602</v>
      </c>
    </row>
    <row r="550" spans="1:3" ht="12" customHeight="1">
      <c r="A550" s="51"/>
      <c r="B550" s="51"/>
      <c r="C550" s="53" t="s">
        <v>603</v>
      </c>
    </row>
    <row r="551" spans="1:3" ht="12" customHeight="1">
      <c r="A551" s="51"/>
      <c r="B551" s="51"/>
      <c r="C551" s="53" t="s">
        <v>604</v>
      </c>
    </row>
    <row r="552" spans="1:3" ht="12" customHeight="1">
      <c r="A552" s="51"/>
      <c r="B552" s="51"/>
      <c r="C552" s="53" t="s">
        <v>605</v>
      </c>
    </row>
    <row r="553" spans="1:3" ht="11.85" customHeight="1">
      <c r="A553" s="51"/>
      <c r="B553" s="51"/>
      <c r="C553" s="53" t="s">
        <v>606</v>
      </c>
    </row>
    <row r="554" spans="1:3" ht="12" customHeight="1">
      <c r="A554" s="51"/>
      <c r="B554" s="51"/>
      <c r="C554" s="53" t="s">
        <v>607</v>
      </c>
    </row>
    <row r="555" spans="1:3" ht="12" customHeight="1">
      <c r="A555" s="51"/>
      <c r="B555" s="51"/>
      <c r="C555" s="53" t="s">
        <v>608</v>
      </c>
    </row>
    <row r="556" spans="1:3" ht="12" customHeight="1">
      <c r="A556" s="51"/>
      <c r="B556" s="51"/>
      <c r="C556" s="53" t="s">
        <v>609</v>
      </c>
    </row>
    <row r="557" spans="1:3" ht="12" customHeight="1">
      <c r="A557" s="51"/>
      <c r="B557" s="51"/>
      <c r="C557" s="53" t="s">
        <v>610</v>
      </c>
    </row>
    <row r="558" spans="1:3" ht="12" customHeight="1">
      <c r="A558" s="51"/>
      <c r="B558" s="51"/>
      <c r="C558" s="53" t="s">
        <v>611</v>
      </c>
    </row>
    <row r="559" spans="1:3" ht="12" customHeight="1">
      <c r="A559" s="51"/>
      <c r="B559" s="51"/>
      <c r="C559" s="53" t="s">
        <v>612</v>
      </c>
    </row>
    <row r="560" spans="1:3" ht="12" customHeight="1">
      <c r="A560" s="51"/>
      <c r="B560" s="51"/>
      <c r="C560" s="53" t="s">
        <v>613</v>
      </c>
    </row>
    <row r="561" spans="1:3" ht="12" customHeight="1">
      <c r="A561" s="51"/>
      <c r="B561" s="51"/>
      <c r="C561" s="53" t="s">
        <v>614</v>
      </c>
    </row>
    <row r="562" spans="1:3" ht="12" customHeight="1">
      <c r="A562" s="51"/>
      <c r="B562" s="51"/>
      <c r="C562" s="53" t="s">
        <v>615</v>
      </c>
    </row>
    <row r="563" spans="1:3" ht="45" customHeight="1">
      <c r="A563" s="48" t="s">
        <v>46</v>
      </c>
      <c r="B563" s="48" t="s">
        <v>616</v>
      </c>
      <c r="C563" s="50"/>
    </row>
    <row r="564" spans="1:3" ht="12" customHeight="1">
      <c r="A564" s="51"/>
      <c r="B564" s="51"/>
      <c r="C564" s="53" t="s">
        <v>617</v>
      </c>
    </row>
    <row r="565" spans="1:3" ht="12" customHeight="1">
      <c r="A565" s="51"/>
      <c r="B565" s="51"/>
      <c r="C565" s="53" t="s">
        <v>618</v>
      </c>
    </row>
    <row r="566" spans="1:3" ht="12" customHeight="1">
      <c r="A566" s="51"/>
      <c r="B566" s="51"/>
      <c r="C566" s="53" t="s">
        <v>619</v>
      </c>
    </row>
    <row r="567" spans="1:3" ht="12" customHeight="1">
      <c r="A567" s="51"/>
      <c r="B567" s="51"/>
      <c r="C567" s="53" t="s">
        <v>620</v>
      </c>
    </row>
    <row r="568" spans="1:3" ht="12" customHeight="1">
      <c r="A568" s="51"/>
      <c r="B568" s="51"/>
      <c r="C568" s="53" t="s">
        <v>621</v>
      </c>
    </row>
    <row r="569" spans="1:3" ht="12" customHeight="1">
      <c r="A569" s="51"/>
      <c r="B569" s="51"/>
      <c r="C569" s="53" t="s">
        <v>622</v>
      </c>
    </row>
    <row r="570" spans="1:3" ht="12" customHeight="1">
      <c r="A570" s="51"/>
      <c r="B570" s="51"/>
      <c r="C570" s="53" t="s">
        <v>623</v>
      </c>
    </row>
    <row r="571" spans="1:3" ht="12" customHeight="1">
      <c r="A571" s="51"/>
      <c r="B571" s="51"/>
      <c r="C571" s="53" t="s">
        <v>624</v>
      </c>
    </row>
    <row r="572" spans="1:3" ht="12" customHeight="1">
      <c r="A572" s="51"/>
      <c r="B572" s="51"/>
      <c r="C572" s="53" t="s">
        <v>625</v>
      </c>
    </row>
    <row r="573" spans="1:3" ht="12" customHeight="1">
      <c r="A573" s="51"/>
      <c r="B573" s="51"/>
      <c r="C573" s="53" t="s">
        <v>626</v>
      </c>
    </row>
    <row r="574" spans="1:3" ht="12" customHeight="1">
      <c r="A574" s="51"/>
      <c r="B574" s="51"/>
      <c r="C574" s="53" t="s">
        <v>627</v>
      </c>
    </row>
    <row r="575" spans="1:3" ht="12" customHeight="1">
      <c r="A575" s="51"/>
      <c r="B575" s="51"/>
      <c r="C575" s="53" t="s">
        <v>628</v>
      </c>
    </row>
    <row r="576" spans="1:3" ht="12" customHeight="1">
      <c r="A576" s="51"/>
      <c r="B576" s="51"/>
      <c r="C576" s="53" t="s">
        <v>629</v>
      </c>
    </row>
    <row r="577" spans="1:3" ht="12" customHeight="1">
      <c r="A577" s="51"/>
      <c r="B577" s="51"/>
      <c r="C577" s="53" t="s">
        <v>630</v>
      </c>
    </row>
    <row r="578" spans="1:3" ht="12" customHeight="1">
      <c r="A578" s="51"/>
      <c r="B578" s="51"/>
      <c r="C578" s="53" t="s">
        <v>631</v>
      </c>
    </row>
    <row r="579" spans="1:3" ht="12" customHeight="1">
      <c r="A579" s="51"/>
      <c r="B579" s="51"/>
      <c r="C579" s="53" t="s">
        <v>632</v>
      </c>
    </row>
    <row r="580" spans="1:3" ht="12" customHeight="1">
      <c r="A580" s="51"/>
      <c r="B580" s="51"/>
      <c r="C580" s="53" t="s">
        <v>633</v>
      </c>
    </row>
    <row r="581" spans="1:3" ht="12" customHeight="1">
      <c r="A581" s="51"/>
      <c r="B581" s="51"/>
      <c r="C581" s="53" t="s">
        <v>634</v>
      </c>
    </row>
    <row r="582" spans="1:3" ht="12" customHeight="1">
      <c r="A582" s="51"/>
      <c r="B582" s="51"/>
      <c r="C582" s="53" t="s">
        <v>635</v>
      </c>
    </row>
    <row r="583" spans="1:3" ht="12" customHeight="1">
      <c r="A583" s="51"/>
      <c r="B583" s="51"/>
      <c r="C583" s="53" t="s">
        <v>636</v>
      </c>
    </row>
    <row r="584" spans="1:3" ht="12" customHeight="1">
      <c r="A584" s="51"/>
      <c r="B584" s="51"/>
      <c r="C584" s="53" t="s">
        <v>637</v>
      </c>
    </row>
    <row r="585" spans="1:3" ht="12" customHeight="1">
      <c r="A585" s="51"/>
      <c r="B585" s="51"/>
      <c r="C585" s="53" t="s">
        <v>638</v>
      </c>
    </row>
    <row r="586" spans="1:3" ht="12" customHeight="1">
      <c r="A586" s="51"/>
      <c r="B586" s="51"/>
      <c r="C586" s="53" t="s">
        <v>639</v>
      </c>
    </row>
    <row r="587" spans="1:3" ht="12" customHeight="1">
      <c r="A587" s="51"/>
      <c r="B587" s="51"/>
      <c r="C587" s="53" t="s">
        <v>640</v>
      </c>
    </row>
    <row r="588" spans="1:3" ht="12" customHeight="1">
      <c r="A588" s="51"/>
      <c r="B588" s="51"/>
      <c r="C588" s="53" t="s">
        <v>641</v>
      </c>
    </row>
    <row r="589" spans="1:3" ht="12" customHeight="1">
      <c r="A589" s="51"/>
      <c r="B589" s="51"/>
      <c r="C589" s="53" t="s">
        <v>642</v>
      </c>
    </row>
    <row r="590" spans="1:3" ht="12" customHeight="1">
      <c r="A590" s="51"/>
      <c r="B590" s="51"/>
      <c r="C590" s="53" t="s">
        <v>643</v>
      </c>
    </row>
    <row r="591" spans="1:3" ht="12" customHeight="1">
      <c r="A591" s="51"/>
      <c r="B591" s="51"/>
      <c r="C591" s="53" t="s">
        <v>644</v>
      </c>
    </row>
    <row r="592" spans="1:3" ht="42.75" customHeight="1">
      <c r="A592" s="48" t="s">
        <v>46</v>
      </c>
      <c r="B592" s="48" t="s">
        <v>645</v>
      </c>
      <c r="C592" s="50"/>
    </row>
    <row r="593" spans="1:3" ht="23.45" customHeight="1">
      <c r="A593" s="51"/>
      <c r="B593" s="51"/>
      <c r="C593" s="54" t="s">
        <v>646</v>
      </c>
    </row>
    <row r="594" spans="1:3" ht="23.45" customHeight="1">
      <c r="A594" s="51"/>
      <c r="B594" s="51"/>
      <c r="C594" s="54" t="s">
        <v>647</v>
      </c>
    </row>
    <row r="595" spans="1:3" ht="23.45" customHeight="1">
      <c r="A595" s="51"/>
      <c r="B595" s="51"/>
      <c r="C595" s="54" t="s">
        <v>648</v>
      </c>
    </row>
    <row r="596" spans="1:3" ht="23.45" customHeight="1">
      <c r="A596" s="51"/>
      <c r="B596" s="51"/>
      <c r="C596" s="54" t="s">
        <v>649</v>
      </c>
    </row>
    <row r="597" spans="1:3" ht="23.45" customHeight="1">
      <c r="A597" s="51"/>
      <c r="B597" s="51"/>
      <c r="C597" s="54" t="s">
        <v>650</v>
      </c>
    </row>
    <row r="598" spans="1:3" ht="23.45" customHeight="1">
      <c r="A598" s="51"/>
      <c r="B598" s="51"/>
      <c r="C598" s="54" t="s">
        <v>651</v>
      </c>
    </row>
    <row r="599" spans="1:3" ht="23.45" customHeight="1">
      <c r="A599" s="51"/>
      <c r="B599" s="51"/>
      <c r="C599" s="54" t="s">
        <v>652</v>
      </c>
    </row>
    <row r="600" spans="1:3" ht="23.45" customHeight="1">
      <c r="A600" s="51"/>
      <c r="B600" s="51"/>
      <c r="C600" s="54" t="s">
        <v>653</v>
      </c>
    </row>
    <row r="601" spans="1:3" ht="23.45" customHeight="1">
      <c r="A601" s="51"/>
      <c r="B601" s="51"/>
      <c r="C601" s="54" t="s">
        <v>654</v>
      </c>
    </row>
    <row r="602" spans="1:3" ht="23.45" customHeight="1">
      <c r="A602" s="51"/>
      <c r="B602" s="51"/>
      <c r="C602" s="54" t="s">
        <v>655</v>
      </c>
    </row>
    <row r="603" spans="1:3" ht="23.45" customHeight="1">
      <c r="A603" s="51"/>
      <c r="B603" s="51"/>
      <c r="C603" s="54" t="s">
        <v>656</v>
      </c>
    </row>
    <row r="604" spans="1:3" ht="23.45" customHeight="1">
      <c r="A604" s="51"/>
      <c r="B604" s="51"/>
      <c r="C604" s="54" t="s">
        <v>657</v>
      </c>
    </row>
    <row r="605" spans="1:3" ht="33.75" customHeight="1">
      <c r="A605" s="48" t="s">
        <v>46</v>
      </c>
      <c r="B605" s="48" t="s">
        <v>658</v>
      </c>
      <c r="C605" s="50"/>
    </row>
    <row r="606" spans="1:3" ht="12" customHeight="1">
      <c r="A606" s="51"/>
      <c r="B606" s="51"/>
      <c r="C606" s="53" t="s">
        <v>659</v>
      </c>
    </row>
    <row r="607" spans="1:3" ht="12" customHeight="1">
      <c r="A607" s="51"/>
      <c r="B607" s="51"/>
      <c r="C607" s="53" t="s">
        <v>660</v>
      </c>
    </row>
    <row r="608" spans="1:3" ht="12" customHeight="1">
      <c r="A608" s="51"/>
      <c r="B608" s="51"/>
      <c r="C608" s="53" t="s">
        <v>661</v>
      </c>
    </row>
    <row r="609" spans="1:3" ht="12" customHeight="1">
      <c r="A609" s="51"/>
      <c r="B609" s="51"/>
      <c r="C609" s="53" t="s">
        <v>662</v>
      </c>
    </row>
    <row r="610" spans="1:3" ht="12" customHeight="1">
      <c r="A610" s="51"/>
      <c r="B610" s="51"/>
      <c r="C610" s="53" t="s">
        <v>663</v>
      </c>
    </row>
    <row r="611" spans="1:3" ht="12" customHeight="1">
      <c r="A611" s="51"/>
      <c r="B611" s="51"/>
      <c r="C611" s="53" t="s">
        <v>664</v>
      </c>
    </row>
    <row r="612" spans="1:3" ht="12" customHeight="1">
      <c r="A612" s="51"/>
      <c r="B612" s="51"/>
      <c r="C612" s="53" t="s">
        <v>665</v>
      </c>
    </row>
    <row r="613" spans="1:3" ht="12" customHeight="1">
      <c r="A613" s="51"/>
      <c r="B613" s="51"/>
      <c r="C613" s="53" t="s">
        <v>666</v>
      </c>
    </row>
    <row r="614" spans="1:3" ht="12" customHeight="1">
      <c r="A614" s="51"/>
      <c r="B614" s="51"/>
      <c r="C614" s="53" t="s">
        <v>667</v>
      </c>
    </row>
    <row r="615" spans="1:3" ht="13.35" customHeight="1">
      <c r="A615" s="51"/>
      <c r="B615" s="51"/>
      <c r="C615" s="53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5703125" customWidth="1"/>
  </cols>
  <sheetData>
    <row r="1" spans="1:7">
      <c r="A1" s="71" t="s">
        <v>2146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29" t="s">
        <v>876</v>
      </c>
      <c r="C20" s="1329"/>
      <c r="D20" s="1329"/>
      <c r="E20" s="1333" t="s">
        <v>710</v>
      </c>
      <c r="F20" s="1333"/>
      <c r="G20" s="5"/>
    </row>
    <row r="21" spans="1:7" ht="10.9" customHeight="1">
      <c r="A21" s="10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2147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0" t="s">
        <v>708</v>
      </c>
      <c r="B43" s="1329" t="s">
        <v>876</v>
      </c>
      <c r="C43" s="1329"/>
      <c r="D43" s="1329"/>
      <c r="E43" s="1333" t="s">
        <v>710</v>
      </c>
      <c r="F43" s="1333"/>
      <c r="G43" s="5"/>
    </row>
    <row r="44" spans="1:7" ht="10.9" customHeight="1">
      <c r="A44" s="10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93">
    <tabColor rgb="FFFF0000"/>
  </sheetPr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8" t="s">
        <v>2505</v>
      </c>
    </row>
    <row r="2" spans="1:7">
      <c r="A2" s="70"/>
    </row>
    <row r="3" spans="1:7">
      <c r="A3" s="71" t="s">
        <v>2506</v>
      </c>
    </row>
    <row r="4" spans="1:7">
      <c r="A4" s="71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1332" t="s">
        <v>685</v>
      </c>
      <c r="F10" s="1332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7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12" customHeight="1">
      <c r="A22" s="64" t="s">
        <v>2507</v>
      </c>
      <c r="B22" s="89"/>
      <c r="C22" s="89"/>
      <c r="D22" s="89"/>
      <c r="E22" s="89"/>
      <c r="F22" s="89"/>
      <c r="G22" s="88"/>
    </row>
    <row r="23" spans="1:7" ht="12" customHeight="1">
      <c r="A23" s="90"/>
      <c r="B23" s="89"/>
      <c r="C23" s="89"/>
      <c r="D23" s="89"/>
      <c r="E23" s="89"/>
      <c r="F23" s="89"/>
      <c r="G23" s="8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10:F10"/>
    <mergeCell ref="E13:F13"/>
    <mergeCell ref="E16:F16"/>
    <mergeCell ref="B18:F18"/>
    <mergeCell ref="B19:D19"/>
    <mergeCell ref="E19:F19"/>
    <mergeCell ref="B38:D38"/>
    <mergeCell ref="E38:F38"/>
    <mergeCell ref="B39:F39"/>
    <mergeCell ref="B20:F20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94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.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9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9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2513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9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2515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98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2517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.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9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200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1332" t="s">
        <v>685</v>
      </c>
      <c r="F8" s="133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1332" t="s">
        <v>705</v>
      </c>
      <c r="F14" s="1332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71" t="s">
        <v>2521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1332" t="s">
        <v>685</v>
      </c>
      <c r="F27" s="1332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2" t="s">
        <v>702</v>
      </c>
      <c r="F30" s="1332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1332" t="s">
        <v>705</v>
      </c>
      <c r="F33" s="1332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2" t="s">
        <v>707</v>
      </c>
      <c r="C35" s="1332"/>
      <c r="D35" s="1332"/>
      <c r="E35" s="1332"/>
      <c r="F35" s="1332"/>
      <c r="G35" s="5"/>
    </row>
    <row r="36" spans="1:7" ht="12" customHeight="1">
      <c r="A36" s="12" t="s">
        <v>708</v>
      </c>
      <c r="B36" s="1329" t="s">
        <v>709</v>
      </c>
      <c r="C36" s="1329"/>
      <c r="D36" s="1329"/>
      <c r="E36" s="1330" t="s">
        <v>710</v>
      </c>
      <c r="F36" s="1330"/>
      <c r="G36" s="5"/>
    </row>
    <row r="37" spans="1:7" ht="12" customHeight="1">
      <c r="A37" s="12" t="s">
        <v>711</v>
      </c>
      <c r="B37" s="1331" t="s">
        <v>712</v>
      </c>
      <c r="C37" s="1331"/>
      <c r="D37" s="1331"/>
      <c r="E37" s="1331"/>
      <c r="F37" s="1331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201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2523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20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  <pageSetup orientation="portrait" horizontalDpi="360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2148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29" t="s">
        <v>876</v>
      </c>
      <c r="C20" s="1329"/>
      <c r="D20" s="1329"/>
      <c r="E20" s="1333" t="s">
        <v>710</v>
      </c>
      <c r="F20" s="1333"/>
      <c r="G20" s="5"/>
    </row>
    <row r="21" spans="1:7" ht="10.9" customHeight="1">
      <c r="A21" s="10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2149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29" t="s">
        <v>876</v>
      </c>
      <c r="C42" s="1329"/>
      <c r="D42" s="1329"/>
      <c r="E42" s="1333" t="s">
        <v>710</v>
      </c>
      <c r="F42" s="1333"/>
      <c r="G42" s="5"/>
    </row>
    <row r="43" spans="1:7" ht="10.9" customHeight="1">
      <c r="A43" s="10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20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20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20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20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20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20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1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1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1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5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29" t="s">
        <v>876</v>
      </c>
      <c r="C20" s="1329"/>
      <c r="D20" s="1329"/>
      <c r="E20" s="1333" t="s">
        <v>710</v>
      </c>
      <c r="F20" s="1333"/>
      <c r="G20" s="5"/>
    </row>
    <row r="21" spans="1:7" ht="10.9" customHeight="1">
      <c r="A21" s="10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2151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29" t="s">
        <v>876</v>
      </c>
      <c r="C42" s="1329"/>
      <c r="D42" s="1329"/>
      <c r="E42" s="1333" t="s">
        <v>710</v>
      </c>
      <c r="F42" s="1333"/>
      <c r="G42" s="5"/>
    </row>
    <row r="43" spans="1:7" ht="10.9" customHeight="1">
      <c r="A43" s="10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1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1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1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1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17"/>
  <dimension ref="A1:G39"/>
  <sheetViews>
    <sheetView topLeftCell="A25" workbookViewId="0">
      <selection activeCell="D52" sqref="D52"/>
    </sheetView>
  </sheetViews>
  <sheetFormatPr defaultRowHeight="15"/>
  <cols>
    <col min="1" max="1" width="5.28515625" customWidth="1"/>
    <col min="2" max="2" width="22.28515625" customWidth="1"/>
    <col min="3" max="3" width="7" style="105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2554</v>
      </c>
    </row>
    <row r="3" spans="1:7" ht="35.1" customHeight="1">
      <c r="A3" s="6" t="s">
        <v>762</v>
      </c>
      <c r="B3" s="6" t="s">
        <v>763</v>
      </c>
      <c r="C3" s="9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75"/>
      <c r="D4" s="5"/>
      <c r="E4" s="5"/>
      <c r="F4" s="5"/>
      <c r="G4" s="5"/>
    </row>
    <row r="5" spans="1:7" ht="12" customHeight="1">
      <c r="A5" s="5"/>
      <c r="B5" s="3" t="s">
        <v>673</v>
      </c>
      <c r="C5" s="95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95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95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7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75"/>
      <c r="D10" s="5"/>
      <c r="E10" s="5"/>
      <c r="F10" s="5"/>
      <c r="G10" s="5"/>
    </row>
    <row r="11" spans="1:7" ht="13.7" customHeight="1">
      <c r="A11" s="5"/>
      <c r="B11" s="3" t="s">
        <v>1638</v>
      </c>
      <c r="C11" s="7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7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75"/>
      <c r="D13" s="5"/>
      <c r="E13" s="5"/>
      <c r="F13" s="5"/>
      <c r="G13" s="5"/>
    </row>
    <row r="14" spans="1:7" ht="23.45" customHeight="1">
      <c r="A14" s="5"/>
      <c r="B14" s="2" t="s">
        <v>1666</v>
      </c>
      <c r="C14" s="75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7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7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76"/>
      <c r="D20" s="93"/>
      <c r="E20" s="93"/>
      <c r="F20" s="93"/>
      <c r="G20" s="91"/>
    </row>
    <row r="21" spans="1:7" ht="12" customHeight="1">
      <c r="A21" s="64" t="s">
        <v>2555</v>
      </c>
      <c r="B21" s="93"/>
      <c r="C21" s="76"/>
      <c r="D21" s="93"/>
      <c r="E21" s="93"/>
      <c r="F21" s="93"/>
      <c r="G21" s="91"/>
    </row>
    <row r="22" spans="1:7" ht="12" customHeight="1">
      <c r="A22" s="95"/>
      <c r="B22" s="93"/>
      <c r="C22" s="76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9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75"/>
      <c r="D24" s="5"/>
      <c r="E24" s="5"/>
      <c r="F24" s="5"/>
      <c r="G24" s="5"/>
    </row>
    <row r="25" spans="1:7" ht="12" customHeight="1">
      <c r="A25" s="5"/>
      <c r="B25" s="3" t="s">
        <v>673</v>
      </c>
      <c r="C25" s="95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95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95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7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75"/>
      <c r="D30" s="5"/>
      <c r="E30" s="5"/>
      <c r="F30" s="5"/>
      <c r="G30" s="5"/>
    </row>
    <row r="31" spans="1:7" ht="13.7" customHeight="1">
      <c r="A31" s="5"/>
      <c r="B31" s="3" t="s">
        <v>1643</v>
      </c>
      <c r="C31" s="7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7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75"/>
      <c r="D33" s="5"/>
      <c r="E33" s="5"/>
      <c r="F33" s="5"/>
      <c r="G33" s="5"/>
    </row>
    <row r="34" spans="1:7" ht="23.45" customHeight="1">
      <c r="A34" s="5"/>
      <c r="B34" s="2" t="s">
        <v>1666</v>
      </c>
      <c r="C34" s="75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7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7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1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1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2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2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2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71" t="s">
        <v>2565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6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2152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29" t="s">
        <v>876</v>
      </c>
      <c r="C20" s="1329"/>
      <c r="D20" s="1329"/>
      <c r="E20" s="1333" t="s">
        <v>710</v>
      </c>
      <c r="F20" s="1333"/>
      <c r="G20" s="5"/>
    </row>
    <row r="21" spans="1:7" ht="10.9" customHeight="1">
      <c r="A21" s="10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0.9" customHeight="1">
      <c r="A22" s="80"/>
      <c r="B22" s="32"/>
      <c r="C22" s="32"/>
      <c r="D22" s="32"/>
      <c r="E22" s="32"/>
      <c r="F22" s="32"/>
      <c r="G22" s="28"/>
    </row>
    <row r="23" spans="1:7" ht="10.9" customHeight="1">
      <c r="A23" s="81" t="s">
        <v>2153</v>
      </c>
      <c r="B23" s="79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29" t="s">
        <v>876</v>
      </c>
      <c r="C42" s="1329"/>
      <c r="D42" s="1329"/>
      <c r="E42" s="1333" t="s">
        <v>710</v>
      </c>
      <c r="F42" s="1333"/>
      <c r="G42" s="5"/>
    </row>
    <row r="43" spans="1:7" ht="10.9" customHeight="1">
      <c r="A43" s="10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2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24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2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2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2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2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2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30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.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3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32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7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42578125" customWidth="1"/>
  </cols>
  <sheetData>
    <row r="1" spans="1:7">
      <c r="A1" s="81" t="s">
        <v>2154</v>
      </c>
      <c r="B1" s="73"/>
      <c r="C1" s="73"/>
      <c r="D1" s="73"/>
      <c r="E1" s="73"/>
      <c r="F1" s="73"/>
      <c r="G1" s="73"/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29" t="s">
        <v>876</v>
      </c>
      <c r="C21" s="1329"/>
      <c r="D21" s="1329"/>
      <c r="E21" s="1333" t="s">
        <v>710</v>
      </c>
      <c r="F21" s="1333"/>
      <c r="G21" s="5"/>
    </row>
    <row r="22" spans="1:7" ht="10.9" customHeight="1">
      <c r="A22" s="10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0.9" customHeight="1">
      <c r="A23" s="80"/>
      <c r="B23" s="32"/>
      <c r="C23" s="32"/>
      <c r="D23" s="32"/>
      <c r="E23" s="32"/>
      <c r="F23" s="32"/>
      <c r="G23" s="28"/>
    </row>
    <row r="24" spans="1:7" ht="16.5" customHeight="1">
      <c r="A24" s="81" t="s">
        <v>2155</v>
      </c>
      <c r="B24" s="79"/>
      <c r="C24" s="32"/>
      <c r="D24" s="32"/>
      <c r="E24" s="32"/>
      <c r="F24" s="32"/>
      <c r="G24" s="28"/>
    </row>
    <row r="25" spans="1:7" ht="10.9" customHeight="1">
      <c r="A25" s="65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0" t="s">
        <v>708</v>
      </c>
      <c r="B44" s="1329" t="s">
        <v>876</v>
      </c>
      <c r="C44" s="1329"/>
      <c r="D44" s="1329"/>
      <c r="E44" s="1333" t="s">
        <v>710</v>
      </c>
      <c r="F44" s="1333"/>
      <c r="G44" s="5"/>
    </row>
    <row r="45" spans="1:7" ht="10.9" customHeight="1">
      <c r="A45" s="10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33">
    <tabColor rgb="FFFF0000"/>
  </sheetPr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2585</v>
      </c>
    </row>
    <row r="2" spans="1:7">
      <c r="A2" s="70"/>
    </row>
    <row r="3" spans="1:7" ht="16.5">
      <c r="A3" s="106"/>
    </row>
    <row r="4" spans="1:7">
      <c r="A4" s="64" t="s">
        <v>2586</v>
      </c>
    </row>
    <row r="5" spans="1:7" ht="35.1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1786</v>
      </c>
      <c r="F7" s="91"/>
      <c r="G7" s="91"/>
    </row>
    <row r="8" spans="1:7" ht="12" customHeight="1">
      <c r="A8" s="91"/>
      <c r="B8" s="92" t="s">
        <v>1480</v>
      </c>
      <c r="C8" s="92" t="s">
        <v>678</v>
      </c>
      <c r="D8" s="95" t="s">
        <v>675</v>
      </c>
      <c r="E8" s="92" t="s">
        <v>1787</v>
      </c>
      <c r="F8" s="91"/>
      <c r="G8" s="91"/>
    </row>
    <row r="9" spans="1:7" ht="12" customHeight="1">
      <c r="A9" s="91"/>
      <c r="B9" s="92" t="s">
        <v>683</v>
      </c>
      <c r="C9" s="92" t="s">
        <v>684</v>
      </c>
      <c r="D9" s="95" t="s">
        <v>675</v>
      </c>
      <c r="E9" s="92" t="s">
        <v>1669</v>
      </c>
      <c r="F9" s="91"/>
      <c r="G9" s="91"/>
    </row>
    <row r="10" spans="1:7" ht="12" customHeight="1">
      <c r="A10" s="91"/>
      <c r="B10" s="91"/>
      <c r="C10" s="91"/>
      <c r="D10" s="91"/>
      <c r="E10" s="91"/>
      <c r="F10" s="91"/>
      <c r="G10" s="91"/>
    </row>
    <row r="11" spans="1:7" ht="12" customHeight="1">
      <c r="A11" s="1342" t="s">
        <v>685</v>
      </c>
      <c r="B11" s="1342"/>
      <c r="C11" s="1342"/>
      <c r="D11" s="1342"/>
      <c r="E11" s="1342"/>
      <c r="F11" s="1342"/>
      <c r="G11" s="91"/>
    </row>
    <row r="12" spans="1:7" ht="12" customHeight="1">
      <c r="A12" s="95" t="s">
        <v>686</v>
      </c>
      <c r="B12" s="92" t="s">
        <v>687</v>
      </c>
      <c r="C12" s="91"/>
      <c r="D12" s="91"/>
      <c r="E12" s="91"/>
      <c r="F12" s="91"/>
      <c r="G12" s="91"/>
    </row>
    <row r="13" spans="1:7" ht="13.7" customHeight="1">
      <c r="A13" s="91"/>
      <c r="B13" s="94" t="s">
        <v>1920</v>
      </c>
      <c r="C13" s="91"/>
      <c r="D13" s="95" t="s">
        <v>1423</v>
      </c>
      <c r="E13" s="95">
        <v>1</v>
      </c>
      <c r="F13" s="91"/>
      <c r="G13" s="91"/>
    </row>
    <row r="14" spans="1:7" ht="12" customHeight="1">
      <c r="A14" s="91"/>
      <c r="B14" s="91"/>
      <c r="C14" s="91"/>
      <c r="D14" s="91"/>
      <c r="E14" s="1332" t="s">
        <v>702</v>
      </c>
      <c r="F14" s="1332"/>
      <c r="G14" s="91"/>
    </row>
    <row r="15" spans="1:7" ht="12" customHeight="1">
      <c r="A15" s="95" t="s">
        <v>703</v>
      </c>
      <c r="B15" s="92" t="s">
        <v>704</v>
      </c>
      <c r="C15" s="91"/>
      <c r="D15" s="91"/>
      <c r="E15" s="91"/>
      <c r="F15" s="91"/>
      <c r="G15" s="91"/>
    </row>
    <row r="16" spans="1:7" ht="31.5" customHeight="1">
      <c r="A16" s="91"/>
      <c r="B16" s="98" t="s">
        <v>1666</v>
      </c>
      <c r="C16" s="91"/>
      <c r="D16" s="98" t="s">
        <v>1483</v>
      </c>
      <c r="E16" s="98" t="s">
        <v>1510</v>
      </c>
      <c r="F16" s="91"/>
      <c r="G16" s="91"/>
    </row>
    <row r="17" spans="1:7" ht="12" customHeight="1">
      <c r="A17" s="91"/>
      <c r="B17" s="91"/>
      <c r="C17" s="91"/>
      <c r="D17" s="91"/>
      <c r="E17" s="1332" t="s">
        <v>705</v>
      </c>
      <c r="F17" s="1332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5" t="s">
        <v>706</v>
      </c>
      <c r="B19" s="1332" t="s">
        <v>707</v>
      </c>
      <c r="C19" s="1332"/>
      <c r="D19" s="1332"/>
      <c r="E19" s="1332"/>
      <c r="F19" s="1332"/>
      <c r="G19" s="91"/>
    </row>
    <row r="20" spans="1:7" ht="12" customHeight="1">
      <c r="A20" s="95" t="s">
        <v>708</v>
      </c>
      <c r="B20" s="1329" t="s">
        <v>709</v>
      </c>
      <c r="C20" s="1329"/>
      <c r="D20" s="1329"/>
      <c r="E20" s="1330" t="s">
        <v>710</v>
      </c>
      <c r="F20" s="1330"/>
      <c r="G20" s="91"/>
    </row>
    <row r="21" spans="1:7" ht="12" customHeight="1">
      <c r="A21" s="95" t="s">
        <v>711</v>
      </c>
      <c r="B21" s="1331" t="s">
        <v>712</v>
      </c>
      <c r="C21" s="1331"/>
      <c r="D21" s="1331"/>
      <c r="E21" s="1331"/>
      <c r="F21" s="1331"/>
      <c r="G21" s="91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3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2588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3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2590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3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12" t="s">
        <v>708</v>
      </c>
      <c r="B18" s="1329" t="s">
        <v>709</v>
      </c>
      <c r="C18" s="1329"/>
      <c r="D18" s="1329"/>
      <c r="E18" s="1330" t="s">
        <v>710</v>
      </c>
      <c r="F18" s="1330"/>
      <c r="G18" s="5"/>
    </row>
    <row r="19" spans="1:7" ht="12" customHeight="1">
      <c r="A19" s="12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2592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12" t="s">
        <v>708</v>
      </c>
      <c r="B38" s="1329" t="s">
        <v>709</v>
      </c>
      <c r="C38" s="1329"/>
      <c r="D38" s="1329"/>
      <c r="E38" s="1330" t="s">
        <v>710</v>
      </c>
      <c r="F38" s="1330"/>
      <c r="G38" s="5"/>
    </row>
    <row r="39" spans="1:7" ht="12" customHeight="1">
      <c r="A39" s="12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3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3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3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4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241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242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8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3.7109375" customWidth="1"/>
    <col min="3" max="3" width="5.7109375" customWidth="1"/>
    <col min="4" max="4" width="8.28515625" customWidth="1"/>
    <col min="5" max="5" width="11" customWidth="1"/>
    <col min="6" max="6" width="13.42578125" customWidth="1"/>
    <col min="7" max="7" width="14.85546875" customWidth="1"/>
  </cols>
  <sheetData>
    <row r="1" spans="1:7">
      <c r="A1" s="71" t="s">
        <v>2156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29" t="s">
        <v>876</v>
      </c>
      <c r="C21" s="1329"/>
      <c r="D21" s="1329"/>
      <c r="E21" s="1333" t="s">
        <v>710</v>
      </c>
      <c r="F21" s="1333"/>
      <c r="G21" s="5"/>
    </row>
    <row r="22" spans="1:7" ht="10.9" customHeight="1">
      <c r="A22" s="10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8" customHeight="1">
      <c r="A24" s="64" t="s">
        <v>2157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0.9" customHeight="1">
      <c r="A44" s="10" t="s">
        <v>708</v>
      </c>
      <c r="B44" s="1336" t="s">
        <v>876</v>
      </c>
      <c r="C44" s="1336"/>
      <c r="D44" s="1336"/>
      <c r="E44" s="1333" t="s">
        <v>710</v>
      </c>
      <c r="F44" s="1333"/>
      <c r="G44" s="5"/>
    </row>
    <row r="45" spans="1:7" ht="10.9" customHeight="1">
      <c r="A45" s="10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24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244"/>
  <dimension ref="A1:G41"/>
  <sheetViews>
    <sheetView topLeftCell="A22" workbookViewId="0"/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.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24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2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247"/>
  <dimension ref="A1:G18"/>
  <sheetViews>
    <sheetView workbookViewId="0">
      <selection activeCell="G18" sqref="A1:G1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1342" t="s">
        <v>685</v>
      </c>
      <c r="B8" s="1342"/>
      <c r="C8" s="1342"/>
      <c r="D8" s="1342"/>
      <c r="E8" s="1342"/>
      <c r="F8" s="134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12" t="s">
        <v>706</v>
      </c>
      <c r="B16" s="1332" t="s">
        <v>707</v>
      </c>
      <c r="C16" s="1332"/>
      <c r="D16" s="1332"/>
      <c r="E16" s="1332"/>
      <c r="F16" s="1332"/>
      <c r="G16" s="5"/>
    </row>
    <row r="17" spans="1:7" ht="12" customHeight="1">
      <c r="A17" s="12" t="s">
        <v>708</v>
      </c>
      <c r="B17" s="1329" t="s">
        <v>709</v>
      </c>
      <c r="C17" s="1329"/>
      <c r="D17" s="1329"/>
      <c r="E17" s="1330" t="s">
        <v>710</v>
      </c>
      <c r="F17" s="1330"/>
      <c r="G17" s="5"/>
    </row>
    <row r="18" spans="1:7" ht="12" customHeight="1">
      <c r="A18" s="12" t="s">
        <v>711</v>
      </c>
      <c r="B18" s="1331" t="s">
        <v>712</v>
      </c>
      <c r="C18" s="1331"/>
      <c r="D18" s="1331"/>
      <c r="E18" s="1331"/>
      <c r="F18" s="1331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248">
    <tabColor rgb="FFFF0000"/>
  </sheetPr>
  <dimension ref="A1:G22"/>
  <sheetViews>
    <sheetView workbookViewId="0">
      <selection activeCell="G22"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78" t="s">
        <v>2614</v>
      </c>
      <c r="B1" s="93"/>
      <c r="C1" s="93"/>
      <c r="D1" s="93"/>
      <c r="E1" s="93"/>
      <c r="F1" s="93"/>
      <c r="G1" s="91"/>
    </row>
    <row r="2" spans="1:7" ht="12" customHeight="1">
      <c r="A2" s="87"/>
      <c r="B2" s="93"/>
      <c r="C2" s="93"/>
      <c r="D2" s="93"/>
      <c r="E2" s="93"/>
      <c r="F2" s="93"/>
      <c r="G2" s="91"/>
    </row>
    <row r="3" spans="1:7" ht="12" customHeight="1">
      <c r="A3" s="71" t="s">
        <v>2615</v>
      </c>
      <c r="B3" s="93"/>
      <c r="C3" s="93"/>
      <c r="D3" s="93"/>
      <c r="E3" s="93"/>
      <c r="F3" s="93"/>
      <c r="G3" s="91"/>
    </row>
    <row r="4" spans="1:7" ht="35.1" customHeight="1">
      <c r="A4" s="96" t="s">
        <v>762</v>
      </c>
      <c r="B4" s="96" t="s">
        <v>763</v>
      </c>
      <c r="C4" s="96" t="s">
        <v>764</v>
      </c>
      <c r="D4" s="96" t="s">
        <v>765</v>
      </c>
      <c r="E4" s="96" t="s">
        <v>766</v>
      </c>
      <c r="F4" s="97" t="s">
        <v>767</v>
      </c>
      <c r="G4" s="97" t="s">
        <v>768</v>
      </c>
    </row>
    <row r="5" spans="1:7" ht="12" customHeight="1">
      <c r="A5" s="95" t="s">
        <v>671</v>
      </c>
      <c r="B5" s="92" t="s">
        <v>672</v>
      </c>
      <c r="C5" s="91"/>
      <c r="D5" s="91"/>
      <c r="E5" s="91"/>
      <c r="F5" s="91"/>
      <c r="G5" s="91"/>
    </row>
    <row r="6" spans="1:7" ht="12" customHeight="1">
      <c r="A6" s="91"/>
      <c r="B6" s="92" t="s">
        <v>673</v>
      </c>
      <c r="C6" s="92" t="s">
        <v>674</v>
      </c>
      <c r="D6" s="95" t="s">
        <v>675</v>
      </c>
      <c r="E6" s="92" t="s">
        <v>2002</v>
      </c>
      <c r="F6" s="91"/>
      <c r="G6" s="91"/>
    </row>
    <row r="7" spans="1:7" ht="12" customHeight="1">
      <c r="A7" s="91"/>
      <c r="B7" s="92" t="s">
        <v>1480</v>
      </c>
      <c r="C7" s="92" t="s">
        <v>678</v>
      </c>
      <c r="D7" s="95" t="s">
        <v>675</v>
      </c>
      <c r="E7" s="92" t="s">
        <v>1916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823</v>
      </c>
      <c r="F8" s="91"/>
      <c r="G8" s="91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2003</v>
      </c>
      <c r="C11" s="91"/>
      <c r="D11" s="95" t="s">
        <v>1423</v>
      </c>
      <c r="E11" s="95">
        <v>1</v>
      </c>
      <c r="F11" s="91"/>
      <c r="G11" s="91"/>
    </row>
    <row r="12" spans="1:7" ht="12" customHeight="1">
      <c r="A12" s="91"/>
      <c r="B12" s="91"/>
      <c r="C12" s="91"/>
      <c r="D12" s="91"/>
      <c r="E12" s="1332" t="s">
        <v>702</v>
      </c>
      <c r="F12" s="1332"/>
      <c r="G12" s="91"/>
    </row>
    <row r="13" spans="1:7" ht="12" customHeight="1">
      <c r="A13" s="95" t="s">
        <v>703</v>
      </c>
      <c r="B13" s="92" t="s">
        <v>704</v>
      </c>
      <c r="C13" s="91"/>
      <c r="D13" s="91"/>
      <c r="E13" s="91"/>
      <c r="F13" s="91"/>
      <c r="G13" s="91"/>
    </row>
    <row r="14" spans="1:7" ht="35.1" customHeight="1">
      <c r="A14" s="91"/>
      <c r="B14" s="92" t="s">
        <v>1829</v>
      </c>
      <c r="C14" s="91"/>
      <c r="D14" s="98" t="s">
        <v>1483</v>
      </c>
      <c r="E14" s="98" t="s">
        <v>2004</v>
      </c>
      <c r="F14" s="91"/>
      <c r="G14" s="91"/>
    </row>
    <row r="15" spans="1:7" ht="23.45" customHeight="1">
      <c r="A15" s="91"/>
      <c r="B15" s="98" t="s">
        <v>2005</v>
      </c>
      <c r="C15" s="91"/>
      <c r="D15" s="98" t="s">
        <v>1483</v>
      </c>
      <c r="E15" s="98" t="s">
        <v>2006</v>
      </c>
      <c r="F15" s="91"/>
      <c r="G15" s="91"/>
    </row>
    <row r="16" spans="1:7" ht="23.45" customHeight="1">
      <c r="A16" s="91"/>
      <c r="B16" s="98" t="s">
        <v>2007</v>
      </c>
      <c r="C16" s="91"/>
      <c r="D16" s="98" t="s">
        <v>1483</v>
      </c>
      <c r="E16" s="98" t="s">
        <v>2008</v>
      </c>
      <c r="F16" s="91"/>
      <c r="G16" s="91"/>
    </row>
    <row r="17" spans="1:7" ht="23.45" customHeight="1">
      <c r="A17" s="91"/>
      <c r="B17" s="98" t="s">
        <v>1666</v>
      </c>
      <c r="C17" s="91"/>
      <c r="D17" s="98" t="s">
        <v>1483</v>
      </c>
      <c r="E17" s="98" t="s">
        <v>2009</v>
      </c>
      <c r="F17" s="91"/>
      <c r="G17" s="91"/>
    </row>
    <row r="18" spans="1:7" ht="12" customHeight="1">
      <c r="A18" s="91"/>
      <c r="B18" s="91"/>
      <c r="C18" s="91"/>
      <c r="D18" s="91"/>
      <c r="E18" s="1332" t="s">
        <v>705</v>
      </c>
      <c r="F18" s="1332"/>
      <c r="G18" s="91"/>
    </row>
    <row r="19" spans="1:7" ht="12" customHeight="1">
      <c r="A19" s="91"/>
      <c r="B19" s="91"/>
      <c r="C19" s="91"/>
      <c r="D19" s="91"/>
      <c r="E19" s="91"/>
      <c r="F19" s="91"/>
      <c r="G19" s="91"/>
    </row>
    <row r="20" spans="1:7" ht="12" customHeight="1">
      <c r="A20" s="95" t="s">
        <v>706</v>
      </c>
      <c r="B20" s="1332" t="s">
        <v>707</v>
      </c>
      <c r="C20" s="1332"/>
      <c r="D20" s="1332"/>
      <c r="E20" s="1332"/>
      <c r="F20" s="1332"/>
      <c r="G20" s="91"/>
    </row>
    <row r="21" spans="1:7" ht="12" customHeight="1">
      <c r="A21" s="95" t="s">
        <v>708</v>
      </c>
      <c r="B21" s="1329" t="s">
        <v>709</v>
      </c>
      <c r="C21" s="1329"/>
      <c r="D21" s="1329"/>
      <c r="E21" s="1330" t="s">
        <v>710</v>
      </c>
      <c r="F21" s="1330"/>
      <c r="G21" s="91"/>
    </row>
    <row r="22" spans="1:7" ht="12.2" customHeight="1">
      <c r="A22" s="95" t="s">
        <v>711</v>
      </c>
      <c r="B22" s="1331" t="s">
        <v>712</v>
      </c>
      <c r="C22" s="1331"/>
      <c r="D22" s="1331"/>
      <c r="E22" s="1331"/>
      <c r="F22" s="1331"/>
      <c r="G22" s="91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249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1342" t="s">
        <v>685</v>
      </c>
      <c r="B8" s="1342"/>
      <c r="C8" s="1342"/>
      <c r="D8" s="1342"/>
      <c r="E8" s="1342"/>
      <c r="F8" s="134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2617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12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12" t="s">
        <v>708</v>
      </c>
      <c r="B41" s="1329" t="s">
        <v>709</v>
      </c>
      <c r="C41" s="1329"/>
      <c r="D41" s="1329"/>
      <c r="E41" s="1330" t="s">
        <v>710</v>
      </c>
      <c r="F41" s="1330"/>
      <c r="G41" s="5"/>
    </row>
    <row r="42" spans="1:7" ht="12" customHeight="1">
      <c r="A42" s="12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25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1342" t="s">
        <v>685</v>
      </c>
      <c r="B8" s="1342"/>
      <c r="C8" s="1342"/>
      <c r="D8" s="1342"/>
      <c r="E8" s="1342"/>
      <c r="F8" s="134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2619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12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12" t="s">
        <v>708</v>
      </c>
      <c r="B41" s="1329" t="s">
        <v>709</v>
      </c>
      <c r="C41" s="1329"/>
      <c r="D41" s="1329"/>
      <c r="E41" s="1330" t="s">
        <v>710</v>
      </c>
      <c r="F41" s="1330"/>
      <c r="G41" s="5"/>
    </row>
    <row r="42" spans="1:7" ht="12" customHeight="1">
      <c r="A42" s="12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251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1342" t="s">
        <v>685</v>
      </c>
      <c r="B8" s="1342"/>
      <c r="C8" s="1342"/>
      <c r="D8" s="1342"/>
      <c r="E8" s="1342"/>
      <c r="F8" s="134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2621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12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12" t="s">
        <v>708</v>
      </c>
      <c r="B41" s="1329" t="s">
        <v>709</v>
      </c>
      <c r="C41" s="1329"/>
      <c r="D41" s="1329"/>
      <c r="E41" s="1330" t="s">
        <v>710</v>
      </c>
      <c r="F41" s="1330"/>
      <c r="G41" s="5"/>
    </row>
    <row r="42" spans="1:7" ht="12" customHeight="1">
      <c r="A42" s="12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Sheet252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5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5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5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709</v>
      </c>
      <c r="C20" s="1329"/>
      <c r="D20" s="1329"/>
      <c r="E20" s="1330" t="s">
        <v>710</v>
      </c>
      <c r="F20" s="1330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12" customHeight="1">
      <c r="A23" s="64" t="s">
        <v>2623</v>
      </c>
      <c r="B23" s="93"/>
      <c r="C23" s="93"/>
      <c r="D23" s="93"/>
      <c r="E23" s="93"/>
      <c r="F23" s="93"/>
      <c r="G23" s="91"/>
    </row>
    <row r="24" spans="1:7" ht="12" customHeight="1">
      <c r="A24" s="95"/>
      <c r="B24" s="93"/>
      <c r="C24" s="93"/>
      <c r="D24" s="93"/>
      <c r="E24" s="93"/>
      <c r="F24" s="93"/>
      <c r="G24" s="91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1342" t="s">
        <v>685</v>
      </c>
      <c r="B30" s="1342"/>
      <c r="C30" s="1342"/>
      <c r="D30" s="1342"/>
      <c r="E30" s="1342"/>
      <c r="F30" s="134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12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12" t="s">
        <v>708</v>
      </c>
      <c r="B41" s="1329" t="s">
        <v>709</v>
      </c>
      <c r="C41" s="1329"/>
      <c r="D41" s="1329"/>
      <c r="E41" s="1330" t="s">
        <v>710</v>
      </c>
      <c r="F41" s="1330"/>
      <c r="G41" s="5"/>
    </row>
    <row r="42" spans="1:7" ht="12" customHeight="1">
      <c r="A42" s="12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A9:F9"/>
    <mergeCell ref="E12:F12"/>
    <mergeCell ref="E18:F18"/>
    <mergeCell ref="B19:F19"/>
    <mergeCell ref="B20:D20"/>
    <mergeCell ref="E20:F20"/>
    <mergeCell ref="B41:D41"/>
    <mergeCell ref="E41:F41"/>
    <mergeCell ref="B42:F42"/>
    <mergeCell ref="B21:F21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9"/>
  <dimension ref="A1:G45"/>
  <sheetViews>
    <sheetView topLeftCell="A34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0.9" customHeight="1">
      <c r="A21" s="10" t="s">
        <v>708</v>
      </c>
      <c r="B21" s="1336" t="s">
        <v>876</v>
      </c>
      <c r="C21" s="1336"/>
      <c r="D21" s="1336"/>
      <c r="E21" s="1333" t="s">
        <v>710</v>
      </c>
      <c r="F21" s="1333"/>
      <c r="G21" s="5"/>
    </row>
    <row r="22" spans="1:7" ht="10.9" customHeight="1">
      <c r="A22" s="10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6.5" customHeight="1">
      <c r="A24" s="64" t="s">
        <v>2159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0" t="s">
        <v>708</v>
      </c>
      <c r="B44" s="1329" t="s">
        <v>876</v>
      </c>
      <c r="C44" s="1329"/>
      <c r="D44" s="1329"/>
      <c r="E44" s="1333" t="s">
        <v>710</v>
      </c>
      <c r="F44" s="1333"/>
      <c r="G44" s="5"/>
    </row>
    <row r="45" spans="1:7" ht="10.9" customHeight="1">
      <c r="A45" s="10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253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1342" t="s">
        <v>685</v>
      </c>
      <c r="B8" s="1342"/>
      <c r="C8" s="1342"/>
      <c r="D8" s="1342"/>
      <c r="E8" s="1342"/>
      <c r="F8" s="134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2625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1342" t="s">
        <v>685</v>
      </c>
      <c r="B29" s="1342"/>
      <c r="C29" s="1342"/>
      <c r="D29" s="1342"/>
      <c r="E29" s="1342"/>
      <c r="F29" s="1342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5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5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5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8:F8"/>
    <mergeCell ref="E11:F11"/>
    <mergeCell ref="E17:F17"/>
    <mergeCell ref="B18:F18"/>
    <mergeCell ref="B19:D19"/>
    <mergeCell ref="E19:F19"/>
    <mergeCell ref="B40:D40"/>
    <mergeCell ref="E40:F40"/>
    <mergeCell ref="B41:F41"/>
    <mergeCell ref="B20:F20"/>
    <mergeCell ref="A29:F29"/>
    <mergeCell ref="E32:F32"/>
    <mergeCell ref="E38:F38"/>
    <mergeCell ref="B39:F39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254"/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1342" t="s">
        <v>685</v>
      </c>
      <c r="B8" s="1342"/>
      <c r="C8" s="1342"/>
      <c r="D8" s="1342"/>
      <c r="E8" s="1342"/>
      <c r="F8" s="1342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2" t="s">
        <v>702</v>
      </c>
      <c r="F11" s="1332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255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139" t="s">
        <v>2627</v>
      </c>
      <c r="B1" s="41"/>
      <c r="C1" s="41"/>
      <c r="D1" s="41"/>
      <c r="E1" s="41"/>
      <c r="F1" s="41"/>
      <c r="G1" s="41"/>
    </row>
    <row r="2" spans="1:7" ht="12.2" customHeight="1">
      <c r="A2" s="163"/>
      <c r="B2" s="68"/>
      <c r="C2" s="68"/>
      <c r="D2" s="68"/>
      <c r="E2" s="68"/>
      <c r="F2" s="68"/>
      <c r="G2" s="66"/>
    </row>
    <row r="3" spans="1:7" ht="12.2" customHeight="1">
      <c r="A3" s="158" t="s">
        <v>2628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4.9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868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1337</v>
      </c>
      <c r="F8" s="91"/>
      <c r="G8" s="91"/>
    </row>
    <row r="9" spans="1:7" ht="12" customHeight="1">
      <c r="A9" s="1342" t="s">
        <v>685</v>
      </c>
      <c r="B9" s="1342"/>
      <c r="C9" s="1342"/>
      <c r="D9" s="1342"/>
      <c r="E9" s="1342"/>
      <c r="F9" s="1342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2091</v>
      </c>
      <c r="C11" s="91"/>
      <c r="D11" s="95" t="s">
        <v>883</v>
      </c>
      <c r="E11" s="92" t="s">
        <v>784</v>
      </c>
      <c r="F11" s="91"/>
      <c r="G11" s="91"/>
    </row>
    <row r="12" spans="1:7" ht="12" customHeight="1">
      <c r="A12" s="91"/>
      <c r="B12" s="92" t="s">
        <v>2092</v>
      </c>
      <c r="C12" s="91"/>
      <c r="D12" s="95" t="s">
        <v>2093</v>
      </c>
      <c r="E12" s="92" t="s">
        <v>699</v>
      </c>
      <c r="F12" s="91"/>
      <c r="G12" s="91"/>
    </row>
    <row r="13" spans="1:7" ht="12" customHeight="1">
      <c r="A13" s="91"/>
      <c r="B13" s="92" t="s">
        <v>2094</v>
      </c>
      <c r="C13" s="91"/>
      <c r="D13" s="95" t="s">
        <v>2093</v>
      </c>
      <c r="E13" s="92" t="s">
        <v>784</v>
      </c>
      <c r="F13" s="91"/>
      <c r="G13" s="91"/>
    </row>
    <row r="14" spans="1:7" ht="12" customHeight="1">
      <c r="A14" s="91"/>
      <c r="B14" s="91"/>
      <c r="C14" s="91"/>
      <c r="D14" s="91"/>
      <c r="E14" s="91"/>
      <c r="F14" s="91"/>
      <c r="G14" s="91"/>
    </row>
    <row r="15" spans="1:7" ht="12" customHeight="1">
      <c r="A15" s="91"/>
      <c r="B15" s="91"/>
      <c r="C15" s="91"/>
      <c r="D15" s="91"/>
      <c r="E15" s="1332" t="s">
        <v>702</v>
      </c>
      <c r="F15" s="1332"/>
      <c r="G15" s="91"/>
    </row>
    <row r="16" spans="1:7" ht="12" customHeight="1">
      <c r="A16" s="95" t="s">
        <v>703</v>
      </c>
      <c r="B16" s="92" t="s">
        <v>704</v>
      </c>
      <c r="C16" s="91"/>
      <c r="D16" s="91"/>
      <c r="E16" s="91"/>
      <c r="F16" s="91"/>
      <c r="G16" s="91"/>
    </row>
    <row r="17" spans="1:7" ht="12" customHeight="1">
      <c r="A17" s="91"/>
      <c r="B17" s="91"/>
      <c r="C17" s="91"/>
      <c r="D17" s="91"/>
      <c r="E17" s="91"/>
      <c r="F17" s="9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1"/>
      <c r="B19" s="91"/>
      <c r="C19" s="91"/>
      <c r="D19" s="91"/>
      <c r="E19" s="1331" t="s">
        <v>705</v>
      </c>
      <c r="F19" s="1331"/>
      <c r="G19" s="91"/>
    </row>
    <row r="20" spans="1:7" ht="12" customHeight="1">
      <c r="A20" s="95" t="s">
        <v>706</v>
      </c>
      <c r="B20" s="1332" t="s">
        <v>707</v>
      </c>
      <c r="C20" s="1332"/>
      <c r="D20" s="1332"/>
      <c r="E20" s="1332"/>
      <c r="F20" s="1332"/>
      <c r="G20" s="91"/>
    </row>
    <row r="21" spans="1:7" ht="12" customHeight="1">
      <c r="A21" s="95" t="s">
        <v>708</v>
      </c>
      <c r="B21" s="1329" t="s">
        <v>709</v>
      </c>
      <c r="C21" s="1329"/>
      <c r="D21" s="1329"/>
      <c r="E21" s="1330" t="s">
        <v>710</v>
      </c>
      <c r="F21" s="1330"/>
      <c r="G21" s="91"/>
    </row>
    <row r="22" spans="1:7" ht="12.2" customHeight="1">
      <c r="A22" s="95" t="s">
        <v>711</v>
      </c>
      <c r="B22" s="1331" t="s">
        <v>712</v>
      </c>
      <c r="C22" s="1331"/>
      <c r="D22" s="1331"/>
      <c r="E22" s="1331"/>
      <c r="F22" s="1331"/>
      <c r="G22" s="91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256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2" t="s">
        <v>685</v>
      </c>
      <c r="B7" s="1342"/>
      <c r="C7" s="1342"/>
      <c r="D7" s="1342"/>
      <c r="E7" s="1342"/>
      <c r="F7" s="1342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42" t="s">
        <v>685</v>
      </c>
      <c r="B28" s="1342"/>
      <c r="C28" s="1342"/>
      <c r="D28" s="1342"/>
      <c r="E28" s="1342"/>
      <c r="F28" s="1342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25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2" t="s">
        <v>685</v>
      </c>
      <c r="B7" s="1342"/>
      <c r="C7" s="1342"/>
      <c r="D7" s="1342"/>
      <c r="E7" s="1342"/>
      <c r="F7" s="1342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42" t="s">
        <v>685</v>
      </c>
      <c r="B28" s="1342"/>
      <c r="C28" s="1342"/>
      <c r="D28" s="1342"/>
      <c r="E28" s="1342"/>
      <c r="F28" s="1342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258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2" t="s">
        <v>685</v>
      </c>
      <c r="B7" s="1342"/>
      <c r="C7" s="1342"/>
      <c r="D7" s="1342"/>
      <c r="E7" s="1342"/>
      <c r="F7" s="1342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42" t="s">
        <v>685</v>
      </c>
      <c r="B28" s="1342"/>
      <c r="C28" s="1342"/>
      <c r="D28" s="1342"/>
      <c r="E28" s="1342"/>
      <c r="F28" s="1342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7.100000000000001" customHeight="1">
      <c r="A41" s="1" t="s">
        <v>711</v>
      </c>
      <c r="B41" s="1350" t="s">
        <v>712</v>
      </c>
      <c r="C41" s="1350"/>
      <c r="D41" s="1350"/>
      <c r="E41" s="1350"/>
      <c r="F41" s="1350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259"/>
  <dimension ref="A1:G41"/>
  <sheetViews>
    <sheetView topLeftCell="A19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2" t="s">
        <v>685</v>
      </c>
      <c r="B7" s="1342"/>
      <c r="C7" s="1342"/>
      <c r="D7" s="1342"/>
      <c r="E7" s="1342"/>
      <c r="F7" s="1342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709</v>
      </c>
      <c r="C19" s="1329"/>
      <c r="D19" s="1329"/>
      <c r="E19" s="1330" t="s">
        <v>710</v>
      </c>
      <c r="F19" s="1330"/>
      <c r="G19" s="5"/>
    </row>
    <row r="20" spans="1:7" ht="19.7" customHeight="1">
      <c r="A20" s="1" t="s">
        <v>711</v>
      </c>
      <c r="B20" s="1350" t="s">
        <v>712</v>
      </c>
      <c r="C20" s="1350"/>
      <c r="D20" s="1350"/>
      <c r="E20" s="1350"/>
      <c r="F20" s="1350"/>
      <c r="G20" s="5"/>
    </row>
    <row r="21" spans="1:7" ht="19.7" customHeight="1">
      <c r="A21" s="1"/>
      <c r="B21" s="99"/>
      <c r="C21" s="99"/>
      <c r="D21" s="99"/>
      <c r="E21" s="99"/>
      <c r="F21" s="99"/>
      <c r="G21" s="91"/>
    </row>
    <row r="22" spans="1:7" ht="19.7" customHeight="1">
      <c r="A22" s="71" t="s">
        <v>2636</v>
      </c>
      <c r="B22" s="99"/>
      <c r="C22" s="99"/>
      <c r="D22" s="99"/>
      <c r="E22" s="99"/>
      <c r="F22" s="99"/>
      <c r="G22" s="91"/>
    </row>
    <row r="23" spans="1:7" ht="19.7" customHeight="1">
      <c r="A23" s="1"/>
      <c r="B23" s="99"/>
      <c r="C23" s="99"/>
      <c r="D23" s="99"/>
      <c r="E23" s="99"/>
      <c r="F23" s="99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1332" t="s">
        <v>685</v>
      </c>
      <c r="F28" s="1332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7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709</v>
      </c>
      <c r="C40" s="1329"/>
      <c r="D40" s="1329"/>
      <c r="E40" s="1330" t="s">
        <v>710</v>
      </c>
      <c r="F40" s="1330"/>
      <c r="G40" s="5"/>
    </row>
    <row r="41" spans="1:7" ht="17.100000000000001" customHeight="1">
      <c r="A41" s="1" t="s">
        <v>711</v>
      </c>
      <c r="B41" s="1350" t="s">
        <v>712</v>
      </c>
      <c r="C41" s="1350"/>
      <c r="D41" s="1350"/>
      <c r="E41" s="1350"/>
      <c r="F41" s="1350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E28:F28"/>
    <mergeCell ref="E34:F34"/>
    <mergeCell ref="E38:F38"/>
    <mergeCell ref="B39:F3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260"/>
  <dimension ref="A1:C13"/>
  <sheetViews>
    <sheetView workbookViewId="0">
      <selection activeCell="B19" sqref="B19"/>
    </sheetView>
  </sheetViews>
  <sheetFormatPr defaultRowHeight="15"/>
  <cols>
    <col min="1" max="1" width="5.7109375" style="105" customWidth="1"/>
    <col min="2" max="2" width="37.140625" customWidth="1"/>
    <col min="3" max="3" width="11.42578125" customWidth="1"/>
  </cols>
  <sheetData>
    <row r="1" spans="1:3" ht="17.850000000000001" customHeight="1">
      <c r="A1" s="107" t="s">
        <v>2097</v>
      </c>
      <c r="B1" s="24" t="s">
        <v>2098</v>
      </c>
      <c r="C1" s="24" t="s">
        <v>2099</v>
      </c>
    </row>
    <row r="2" spans="1:3" ht="14.45" customHeight="1">
      <c r="A2" s="107" t="s">
        <v>2100</v>
      </c>
      <c r="B2" s="24" t="s">
        <v>2101</v>
      </c>
      <c r="C2" s="24" t="s">
        <v>2099</v>
      </c>
    </row>
    <row r="3" spans="1:3" ht="14.45" customHeight="1">
      <c r="A3" s="107" t="s">
        <v>2102</v>
      </c>
      <c r="B3" s="24" t="s">
        <v>2103</v>
      </c>
      <c r="C3" s="24" t="s">
        <v>2099</v>
      </c>
    </row>
    <row r="4" spans="1:3" ht="14.65" customHeight="1">
      <c r="A4" s="107" t="s">
        <v>2104</v>
      </c>
      <c r="B4" s="24" t="s">
        <v>2105</v>
      </c>
      <c r="C4" s="24" t="s">
        <v>2099</v>
      </c>
    </row>
    <row r="5" spans="1:3" ht="14.65" customHeight="1">
      <c r="A5" s="107" t="s">
        <v>2106</v>
      </c>
      <c r="B5" s="24" t="s">
        <v>2107</v>
      </c>
      <c r="C5" s="24" t="s">
        <v>2099</v>
      </c>
    </row>
    <row r="6" spans="1:3" ht="14.45" customHeight="1">
      <c r="A6" s="107" t="s">
        <v>2108</v>
      </c>
      <c r="B6" s="24" t="s">
        <v>2109</v>
      </c>
      <c r="C6" s="24" t="s">
        <v>2099</v>
      </c>
    </row>
    <row r="7" spans="1:3" ht="14.45" customHeight="1">
      <c r="A7" s="107" t="s">
        <v>2110</v>
      </c>
      <c r="B7" s="24" t="s">
        <v>2111</v>
      </c>
      <c r="C7" s="24" t="s">
        <v>2112</v>
      </c>
    </row>
    <row r="8" spans="1:3" ht="14.65" customHeight="1">
      <c r="A8" s="107" t="s">
        <v>2113</v>
      </c>
      <c r="B8" s="24" t="s">
        <v>2114</v>
      </c>
      <c r="C8" s="24" t="s">
        <v>2099</v>
      </c>
    </row>
    <row r="9" spans="1:3" ht="14.65" customHeight="1">
      <c r="A9" s="107" t="s">
        <v>2115</v>
      </c>
      <c r="B9" s="24" t="s">
        <v>2116</v>
      </c>
      <c r="C9" s="24" t="s">
        <v>2117</v>
      </c>
    </row>
    <row r="10" spans="1:3" ht="14.45" customHeight="1">
      <c r="A10" s="107" t="s">
        <v>2118</v>
      </c>
      <c r="B10" s="24" t="s">
        <v>2119</v>
      </c>
      <c r="C10" s="24" t="s">
        <v>2099</v>
      </c>
    </row>
    <row r="11" spans="1:3" ht="14.45" customHeight="1">
      <c r="A11" s="107" t="s">
        <v>2120</v>
      </c>
      <c r="B11" s="24" t="s">
        <v>2121</v>
      </c>
      <c r="C11" s="24" t="s">
        <v>2099</v>
      </c>
    </row>
    <row r="12" spans="1:3" ht="14.45" customHeight="1">
      <c r="A12" s="107" t="s">
        <v>2122</v>
      </c>
      <c r="B12" s="24" t="s">
        <v>2123</v>
      </c>
      <c r="C12" s="24" t="s">
        <v>2124</v>
      </c>
    </row>
    <row r="13" spans="1:3" ht="31.35" customHeight="1">
      <c r="A13" s="108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0"/>
  <dimension ref="A1:G45"/>
  <sheetViews>
    <sheetView topLeftCell="A43" workbookViewId="0">
      <selection activeCell="G45"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29" t="s">
        <v>876</v>
      </c>
      <c r="C21" s="1329"/>
      <c r="D21" s="1329"/>
      <c r="E21" s="1333" t="s">
        <v>710</v>
      </c>
      <c r="F21" s="1333"/>
      <c r="G21" s="5"/>
    </row>
    <row r="22" spans="1:7" ht="10.9" customHeight="1">
      <c r="A22" s="10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2161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0.9" customHeight="1">
      <c r="A44" s="10" t="s">
        <v>708</v>
      </c>
      <c r="B44" s="1336" t="s">
        <v>876</v>
      </c>
      <c r="C44" s="1336"/>
      <c r="D44" s="1336"/>
      <c r="E44" s="1333" t="s">
        <v>710</v>
      </c>
      <c r="F44" s="1333"/>
      <c r="G44" s="5"/>
    </row>
    <row r="45" spans="1:7" ht="10.9" customHeight="1">
      <c r="A45" s="10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1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29" t="s">
        <v>876</v>
      </c>
      <c r="C21" s="1329"/>
      <c r="D21" s="1329"/>
      <c r="E21" s="1333" t="s">
        <v>710</v>
      </c>
      <c r="F21" s="1333"/>
      <c r="G21" s="5"/>
    </row>
    <row r="22" spans="1:7" ht="10.9" customHeight="1">
      <c r="A22" s="10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2163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0" t="s">
        <v>708</v>
      </c>
      <c r="B43" s="1329" t="s">
        <v>876</v>
      </c>
      <c r="C43" s="1329"/>
      <c r="D43" s="1329"/>
      <c r="E43" s="1333" t="s">
        <v>710</v>
      </c>
      <c r="F43" s="1333"/>
      <c r="G43" s="5"/>
    </row>
    <row r="44" spans="1:7" ht="10.9" customHeight="1">
      <c r="A44" s="10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2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29" t="s">
        <v>876</v>
      </c>
      <c r="C20" s="1329"/>
      <c r="D20" s="1329"/>
      <c r="E20" s="1333" t="s">
        <v>710</v>
      </c>
      <c r="F20" s="1333"/>
      <c r="G20" s="5"/>
    </row>
    <row r="21" spans="1:7" ht="10.9" customHeight="1">
      <c r="A21" s="10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2165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29" t="s">
        <v>876</v>
      </c>
      <c r="C42" s="1329"/>
      <c r="D42" s="1329"/>
      <c r="E42" s="1333" t="s">
        <v>710</v>
      </c>
      <c r="F42" s="1333"/>
      <c r="G42" s="5"/>
    </row>
    <row r="43" spans="1:7" ht="10.9" customHeight="1">
      <c r="A43" s="10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L8758"/>
  <sheetViews>
    <sheetView view="pageBreakPreview" topLeftCell="A396" zoomScaleSheetLayoutView="100" workbookViewId="0">
      <selection activeCell="F419" sqref="F419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8.85546875" style="260" customWidth="1"/>
    <col min="5" max="5" width="10.7109375" style="376" customWidth="1"/>
    <col min="6" max="6" width="14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8" ht="20.25">
      <c r="A1" s="1191" t="s">
        <v>4710</v>
      </c>
      <c r="B1" s="1191"/>
      <c r="C1" s="1191"/>
      <c r="D1" s="1191"/>
      <c r="E1" s="1191"/>
      <c r="F1" s="1191"/>
      <c r="G1" s="1191"/>
    </row>
    <row r="3" spans="1:8" s="265" customFormat="1">
      <c r="A3" s="286" t="s">
        <v>3507</v>
      </c>
      <c r="B3" s="265" t="s">
        <v>3508</v>
      </c>
      <c r="C3" s="286"/>
      <c r="D3" s="286"/>
      <c r="E3" s="597"/>
      <c r="F3" s="598"/>
      <c r="G3" s="599"/>
    </row>
    <row r="4" spans="1:8">
      <c r="A4" s="600" t="s">
        <v>4022</v>
      </c>
      <c r="B4" s="601" t="s">
        <v>2661</v>
      </c>
      <c r="C4" s="600"/>
      <c r="D4" s="600"/>
      <c r="E4" s="602"/>
      <c r="F4" s="603"/>
      <c r="G4" s="601"/>
    </row>
    <row r="5" spans="1:8" ht="24.95" customHeight="1">
      <c r="A5" s="290" t="s">
        <v>1003</v>
      </c>
      <c r="B5" s="290" t="s">
        <v>1004</v>
      </c>
      <c r="C5" s="290" t="s">
        <v>1005</v>
      </c>
      <c r="D5" s="290" t="s">
        <v>1006</v>
      </c>
      <c r="E5" s="373" t="s">
        <v>1007</v>
      </c>
      <c r="F5" s="389" t="s">
        <v>2639</v>
      </c>
      <c r="G5" s="604" t="s">
        <v>2638</v>
      </c>
      <c r="H5" s="260"/>
    </row>
    <row r="6" spans="1:8">
      <c r="A6" s="294" t="s">
        <v>671</v>
      </c>
      <c r="B6" s="411" t="s">
        <v>672</v>
      </c>
      <c r="C6" s="247"/>
      <c r="D6" s="247"/>
      <c r="E6" s="372"/>
      <c r="F6" s="360"/>
      <c r="G6" s="421"/>
    </row>
    <row r="7" spans="1:8">
      <c r="A7" s="247"/>
      <c r="B7" s="410" t="s">
        <v>673</v>
      </c>
      <c r="C7" s="247" t="s">
        <v>674</v>
      </c>
      <c r="D7" s="247" t="s">
        <v>675</v>
      </c>
      <c r="E7" s="372">
        <v>0.4</v>
      </c>
      <c r="F7" s="360">
        <f>'UPAD-BAHAN-ALAT'!$I$12</f>
        <v>110000</v>
      </c>
      <c r="G7" s="248">
        <f>F7*E7</f>
        <v>44000</v>
      </c>
    </row>
    <row r="8" spans="1:8">
      <c r="A8" s="247"/>
      <c r="B8" s="410" t="s">
        <v>677</v>
      </c>
      <c r="C8" s="247" t="s">
        <v>678</v>
      </c>
      <c r="D8" s="247" t="s">
        <v>675</v>
      </c>
      <c r="E8" s="372">
        <v>0.2</v>
      </c>
      <c r="F8" s="360">
        <f>'UPAD-BAHAN-ALAT'!$I$13</f>
        <v>140000</v>
      </c>
      <c r="G8" s="248">
        <f>F8*E8</f>
        <v>28000</v>
      </c>
    </row>
    <row r="9" spans="1:8">
      <c r="A9" s="247"/>
      <c r="B9" s="410" t="s">
        <v>680</v>
      </c>
      <c r="C9" s="247" t="s">
        <v>681</v>
      </c>
      <c r="D9" s="247" t="s">
        <v>675</v>
      </c>
      <c r="E9" s="372">
        <v>0.02</v>
      </c>
      <c r="F9" s="360">
        <f>'UPAD-BAHAN-ALAT'!$I$15</f>
        <v>150000</v>
      </c>
      <c r="G9" s="248">
        <f>F9*E9</f>
        <v>3000</v>
      </c>
    </row>
    <row r="10" spans="1:8">
      <c r="A10" s="247"/>
      <c r="B10" s="410" t="s">
        <v>683</v>
      </c>
      <c r="C10" s="247" t="s">
        <v>684</v>
      </c>
      <c r="D10" s="247" t="s">
        <v>675</v>
      </c>
      <c r="E10" s="372">
        <v>0.02</v>
      </c>
      <c r="F10" s="360">
        <f>'UPAD-BAHAN-ALAT'!$I$14</f>
        <v>140000</v>
      </c>
      <c r="G10" s="248">
        <f>F10*E10</f>
        <v>2800</v>
      </c>
    </row>
    <row r="11" spans="1:8">
      <c r="A11" s="247"/>
      <c r="B11" s="410"/>
      <c r="C11" s="247"/>
      <c r="D11" s="247"/>
      <c r="E11" s="1146" t="s">
        <v>685</v>
      </c>
      <c r="F11" s="1146"/>
      <c r="G11" s="248">
        <f>SUM(G7:G10)</f>
        <v>77800</v>
      </c>
    </row>
    <row r="12" spans="1:8">
      <c r="A12" s="294" t="s">
        <v>686</v>
      </c>
      <c r="B12" s="411" t="s">
        <v>687</v>
      </c>
      <c r="C12" s="247"/>
      <c r="D12" s="247"/>
      <c r="E12" s="372"/>
      <c r="F12" s="360"/>
      <c r="G12" s="248"/>
    </row>
    <row r="13" spans="1:8">
      <c r="A13" s="247"/>
      <c r="B13" s="410" t="s">
        <v>2641</v>
      </c>
      <c r="C13" s="247"/>
      <c r="D13" s="247" t="s">
        <v>688</v>
      </c>
      <c r="E13" s="372">
        <v>1.25</v>
      </c>
      <c r="F13" s="360">
        <f>'UPAD-BAHAN-ALAT'!$I$91</f>
        <v>21000</v>
      </c>
      <c r="G13" s="248">
        <f>F13*E13</f>
        <v>26250</v>
      </c>
    </row>
    <row r="14" spans="1:8">
      <c r="A14" s="247"/>
      <c r="B14" s="410" t="s">
        <v>689</v>
      </c>
      <c r="C14" s="247"/>
      <c r="D14" s="247" t="s">
        <v>690</v>
      </c>
      <c r="E14" s="372">
        <v>5</v>
      </c>
      <c r="F14" s="360">
        <f>'UPAD-BAHAN-ALAT'!$I$77</f>
        <v>1625</v>
      </c>
      <c r="G14" s="248">
        <f t="shared" ref="G14:G19" si="0">F14*E14</f>
        <v>8125</v>
      </c>
    </row>
    <row r="15" spans="1:8">
      <c r="A15" s="247"/>
      <c r="B15" s="410" t="s">
        <v>691</v>
      </c>
      <c r="C15" s="247"/>
      <c r="D15" s="247" t="s">
        <v>2646</v>
      </c>
      <c r="E15" s="372">
        <v>5.0000000000000001E-3</v>
      </c>
      <c r="F15" s="360">
        <f>'UPAD-BAHAN-ALAT'!$I$71</f>
        <v>176000</v>
      </c>
      <c r="G15" s="248">
        <f t="shared" si="0"/>
        <v>880</v>
      </c>
    </row>
    <row r="16" spans="1:8">
      <c r="A16" s="247"/>
      <c r="B16" s="410" t="s">
        <v>694</v>
      </c>
      <c r="C16" s="247"/>
      <c r="D16" s="247" t="s">
        <v>2646</v>
      </c>
      <c r="E16" s="372">
        <v>8.9999999999999993E-3</v>
      </c>
      <c r="F16" s="360">
        <f>'UPAD-BAHAN-ALAT'!$I$51</f>
        <v>298200</v>
      </c>
      <c r="G16" s="248">
        <f t="shared" si="0"/>
        <v>2683.7999999999997</v>
      </c>
    </row>
    <row r="17" spans="1:8">
      <c r="A17" s="247"/>
      <c r="B17" s="410" t="s">
        <v>696</v>
      </c>
      <c r="C17" s="247"/>
      <c r="D17" s="247" t="s">
        <v>2646</v>
      </c>
      <c r="E17" s="372">
        <v>7.1999999999999995E-2</v>
      </c>
      <c r="F17" s="360">
        <f>'UPAD-BAHAN-ALAT'!$I$96</f>
        <v>3465000</v>
      </c>
      <c r="G17" s="248">
        <f t="shared" si="0"/>
        <v>249479.99999999997</v>
      </c>
    </row>
    <row r="18" spans="1:8">
      <c r="A18" s="247"/>
      <c r="B18" s="410" t="s">
        <v>698</v>
      </c>
      <c r="C18" s="247"/>
      <c r="D18" s="247" t="s">
        <v>690</v>
      </c>
      <c r="E18" s="372">
        <v>0.06</v>
      </c>
      <c r="F18" s="360">
        <f>'UPAD-BAHAN-ALAT'!$I$139</f>
        <v>21000</v>
      </c>
      <c r="G18" s="248">
        <f t="shared" si="0"/>
        <v>1260</v>
      </c>
    </row>
    <row r="19" spans="1:8">
      <c r="A19" s="247"/>
      <c r="B19" s="410" t="s">
        <v>700</v>
      </c>
      <c r="C19" s="247"/>
      <c r="D19" s="247" t="s">
        <v>701</v>
      </c>
      <c r="E19" s="372">
        <v>0.4</v>
      </c>
      <c r="F19" s="360">
        <f>'UPAD-BAHAN-ALAT'!$I$381</f>
        <v>8400</v>
      </c>
      <c r="G19" s="248">
        <f t="shared" si="0"/>
        <v>3360</v>
      </c>
    </row>
    <row r="20" spans="1:8">
      <c r="A20" s="247"/>
      <c r="B20" s="410"/>
      <c r="C20" s="247"/>
      <c r="D20" s="247"/>
      <c r="E20" s="1144" t="s">
        <v>702</v>
      </c>
      <c r="F20" s="1144"/>
      <c r="G20" s="248">
        <f>SUM(G13:G19)</f>
        <v>292038.8</v>
      </c>
    </row>
    <row r="21" spans="1:8" s="265" customFormat="1">
      <c r="A21" s="294" t="s">
        <v>703</v>
      </c>
      <c r="B21" s="1151" t="s">
        <v>3910</v>
      </c>
      <c r="C21" s="1151"/>
      <c r="D21" s="1151"/>
      <c r="E21" s="1151"/>
      <c r="F21" s="1151"/>
      <c r="G21" s="255">
        <f>G11+G20</f>
        <v>369838.8</v>
      </c>
    </row>
    <row r="22" spans="1:8" s="265" customFormat="1">
      <c r="A22" s="294" t="s">
        <v>706</v>
      </c>
      <c r="B22" s="1148" t="s">
        <v>709</v>
      </c>
      <c r="C22" s="1148"/>
      <c r="D22" s="1148"/>
      <c r="E22" s="1147" t="s">
        <v>4030</v>
      </c>
      <c r="F22" s="1147"/>
      <c r="G22" s="255">
        <f>G21*0.15</f>
        <v>55475.82</v>
      </c>
    </row>
    <row r="23" spans="1:8" s="265" customFormat="1">
      <c r="A23" s="294" t="s">
        <v>708</v>
      </c>
      <c r="B23" s="1149" t="s">
        <v>3911</v>
      </c>
      <c r="C23" s="1149"/>
      <c r="D23" s="1149"/>
      <c r="E23" s="1149"/>
      <c r="F23" s="1149"/>
      <c r="G23" s="605">
        <f>ROUND(SUM(G21:G22),2)</f>
        <v>425314.62</v>
      </c>
      <c r="H23" s="255">
        <f>G21+G22</f>
        <v>425314.62</v>
      </c>
    </row>
    <row r="25" spans="1:8" s="265" customFormat="1">
      <c r="A25" s="606" t="s">
        <v>4021</v>
      </c>
      <c r="B25" s="265" t="s">
        <v>2662</v>
      </c>
      <c r="C25" s="286"/>
      <c r="D25" s="286"/>
      <c r="E25" s="597"/>
      <c r="F25" s="598"/>
      <c r="G25" s="599"/>
    </row>
    <row r="26" spans="1:8" s="292" customFormat="1" ht="24.95" customHeight="1">
      <c r="A26" s="290" t="s">
        <v>1003</v>
      </c>
      <c r="B26" s="290" t="s">
        <v>1004</v>
      </c>
      <c r="C26" s="290" t="s">
        <v>1005</v>
      </c>
      <c r="D26" s="290" t="s">
        <v>1006</v>
      </c>
      <c r="E26" s="373" t="s">
        <v>1007</v>
      </c>
      <c r="F26" s="363" t="s">
        <v>2639</v>
      </c>
      <c r="G26" s="291" t="s">
        <v>2638</v>
      </c>
    </row>
    <row r="27" spans="1:8">
      <c r="A27" s="294" t="s">
        <v>671</v>
      </c>
      <c r="B27" s="411" t="s">
        <v>672</v>
      </c>
      <c r="C27" s="247"/>
      <c r="D27" s="247"/>
      <c r="E27" s="372"/>
      <c r="F27" s="360"/>
      <c r="G27" s="248"/>
    </row>
    <row r="28" spans="1:8">
      <c r="A28" s="247"/>
      <c r="B28" s="410" t="s">
        <v>673</v>
      </c>
      <c r="C28" s="247" t="s">
        <v>674</v>
      </c>
      <c r="D28" s="247" t="s">
        <v>675</v>
      </c>
      <c r="E28" s="372">
        <v>0.2</v>
      </c>
      <c r="F28" s="360">
        <f>'UPAD-BAHAN-ALAT'!$I$12</f>
        <v>110000</v>
      </c>
      <c r="G28" s="248">
        <f>F28*E28</f>
        <v>22000</v>
      </c>
    </row>
    <row r="29" spans="1:8">
      <c r="A29" s="247"/>
      <c r="B29" s="410" t="s">
        <v>677</v>
      </c>
      <c r="C29" s="247" t="s">
        <v>678</v>
      </c>
      <c r="D29" s="247" t="s">
        <v>675</v>
      </c>
      <c r="E29" s="372">
        <v>0.4</v>
      </c>
      <c r="F29" s="360">
        <f>'UPAD-BAHAN-ALAT'!$I$13</f>
        <v>140000</v>
      </c>
      <c r="G29" s="248">
        <f>F29*E29</f>
        <v>56000</v>
      </c>
    </row>
    <row r="30" spans="1:8">
      <c r="A30" s="247"/>
      <c r="B30" s="410" t="s">
        <v>680</v>
      </c>
      <c r="C30" s="247" t="s">
        <v>681</v>
      </c>
      <c r="D30" s="247" t="s">
        <v>675</v>
      </c>
      <c r="E30" s="372">
        <v>0.02</v>
      </c>
      <c r="F30" s="360">
        <f>'UPAD-BAHAN-ALAT'!$I$15</f>
        <v>150000</v>
      </c>
      <c r="G30" s="248">
        <f>F30*E30</f>
        <v>3000</v>
      </c>
    </row>
    <row r="31" spans="1:8">
      <c r="A31" s="247"/>
      <c r="B31" s="410" t="s">
        <v>683</v>
      </c>
      <c r="C31" s="247" t="s">
        <v>684</v>
      </c>
      <c r="D31" s="247" t="s">
        <v>675</v>
      </c>
      <c r="E31" s="372">
        <v>0.02</v>
      </c>
      <c r="F31" s="360">
        <f>'UPAD-BAHAN-ALAT'!$I$14</f>
        <v>140000</v>
      </c>
      <c r="G31" s="248">
        <f>F31*E31</f>
        <v>2800</v>
      </c>
    </row>
    <row r="32" spans="1:8">
      <c r="A32" s="247"/>
      <c r="B32" s="410"/>
      <c r="C32" s="247"/>
      <c r="D32" s="247"/>
      <c r="E32" s="1146" t="s">
        <v>685</v>
      </c>
      <c r="F32" s="1146"/>
      <c r="G32" s="248">
        <f>SUM(G28:G31)</f>
        <v>83800</v>
      </c>
    </row>
    <row r="33" spans="1:8">
      <c r="A33" s="294" t="s">
        <v>686</v>
      </c>
      <c r="B33" s="411" t="s">
        <v>687</v>
      </c>
      <c r="C33" s="247"/>
      <c r="D33" s="247"/>
      <c r="E33" s="372"/>
      <c r="F33" s="360"/>
      <c r="G33" s="248"/>
    </row>
    <row r="34" spans="1:8">
      <c r="A34" s="247"/>
      <c r="B34" s="410" t="s">
        <v>2640</v>
      </c>
      <c r="C34" s="247"/>
      <c r="D34" s="247" t="s">
        <v>688</v>
      </c>
      <c r="E34" s="372">
        <v>1.25</v>
      </c>
      <c r="F34" s="360">
        <f>'UPAD-BAHAN-ALAT'!$I$91</f>
        <v>21000</v>
      </c>
      <c r="G34" s="248">
        <f t="shared" ref="G34:G41" si="1">F34*E34</f>
        <v>26250</v>
      </c>
    </row>
    <row r="35" spans="1:8">
      <c r="A35" s="247"/>
      <c r="B35" s="410" t="s">
        <v>689</v>
      </c>
      <c r="C35" s="247"/>
      <c r="D35" s="247" t="s">
        <v>690</v>
      </c>
      <c r="E35" s="372">
        <v>2.5</v>
      </c>
      <c r="F35" s="360">
        <f>'UPAD-BAHAN-ALAT'!$I$77</f>
        <v>1625</v>
      </c>
      <c r="G35" s="248">
        <f t="shared" si="1"/>
        <v>4062.5</v>
      </c>
    </row>
    <row r="36" spans="1:8">
      <c r="A36" s="247"/>
      <c r="B36" s="410" t="s">
        <v>714</v>
      </c>
      <c r="C36" s="247"/>
      <c r="D36" s="247" t="s">
        <v>715</v>
      </c>
      <c r="E36" s="372">
        <v>1.2</v>
      </c>
      <c r="F36" s="360">
        <f>'UPAD-BAHAN-ALAT'!$I$318</f>
        <v>48000</v>
      </c>
      <c r="G36" s="248">
        <f t="shared" si="1"/>
        <v>57600</v>
      </c>
    </row>
    <row r="37" spans="1:8">
      <c r="A37" s="247"/>
      <c r="B37" s="410" t="s">
        <v>691</v>
      </c>
      <c r="C37" s="247"/>
      <c r="D37" s="247" t="s">
        <v>2646</v>
      </c>
      <c r="E37" s="372">
        <v>5.0000000000000001E-3</v>
      </c>
      <c r="F37" s="360">
        <f>'UPAD-BAHAN-ALAT'!$I$71</f>
        <v>176000</v>
      </c>
      <c r="G37" s="248">
        <f t="shared" si="1"/>
        <v>880</v>
      </c>
    </row>
    <row r="38" spans="1:8">
      <c r="A38" s="247"/>
      <c r="B38" s="410" t="s">
        <v>694</v>
      </c>
      <c r="C38" s="247"/>
      <c r="D38" s="247" t="s">
        <v>2646</v>
      </c>
      <c r="E38" s="372">
        <v>8.9999999999999993E-3</v>
      </c>
      <c r="F38" s="360">
        <f>'UPAD-BAHAN-ALAT'!$I$51</f>
        <v>298200</v>
      </c>
      <c r="G38" s="248">
        <f t="shared" si="1"/>
        <v>2683.7999999999997</v>
      </c>
    </row>
    <row r="39" spans="1:8">
      <c r="A39" s="247"/>
      <c r="B39" s="410" t="s">
        <v>696</v>
      </c>
      <c r="C39" s="247"/>
      <c r="D39" s="247" t="s">
        <v>2646</v>
      </c>
      <c r="E39" s="372">
        <v>5.1999999999999998E-2</v>
      </c>
      <c r="F39" s="360">
        <f>'UPAD-BAHAN-ALAT'!$I$96</f>
        <v>3465000</v>
      </c>
      <c r="G39" s="248">
        <f t="shared" si="1"/>
        <v>180180</v>
      </c>
    </row>
    <row r="40" spans="1:8">
      <c r="A40" s="247"/>
      <c r="B40" s="410" t="s">
        <v>698</v>
      </c>
      <c r="C40" s="247"/>
      <c r="D40" s="247" t="s">
        <v>690</v>
      </c>
      <c r="E40" s="372">
        <v>0.06</v>
      </c>
      <c r="F40" s="360">
        <f>'UPAD-BAHAN-ALAT'!$I$139</f>
        <v>21000</v>
      </c>
      <c r="G40" s="248">
        <f t="shared" si="1"/>
        <v>1260</v>
      </c>
    </row>
    <row r="41" spans="1:8">
      <c r="A41" s="247"/>
      <c r="B41" s="410" t="s">
        <v>716</v>
      </c>
      <c r="C41" s="247"/>
      <c r="D41" s="247" t="s">
        <v>701</v>
      </c>
      <c r="E41" s="372">
        <v>0.45</v>
      </c>
      <c r="F41" s="360">
        <f>'UPAD-BAHAN-ALAT'!$I$371</f>
        <v>37000</v>
      </c>
      <c r="G41" s="248">
        <f t="shared" si="1"/>
        <v>16650</v>
      </c>
    </row>
    <row r="42" spans="1:8">
      <c r="A42" s="247"/>
      <c r="B42" s="410"/>
      <c r="C42" s="247"/>
      <c r="D42" s="247"/>
      <c r="E42" s="1144" t="s">
        <v>702</v>
      </c>
      <c r="F42" s="1144"/>
      <c r="G42" s="248">
        <f>SUM(G34:G41)</f>
        <v>289566.3</v>
      </c>
    </row>
    <row r="43" spans="1:8" s="265" customFormat="1">
      <c r="A43" s="294" t="s">
        <v>703</v>
      </c>
      <c r="B43" s="1151" t="s">
        <v>3910</v>
      </c>
      <c r="C43" s="1151"/>
      <c r="D43" s="1151"/>
      <c r="E43" s="1151"/>
      <c r="F43" s="1151"/>
      <c r="G43" s="255">
        <f>G32+G42</f>
        <v>373366.3</v>
      </c>
    </row>
    <row r="44" spans="1:8" s="265" customFormat="1">
      <c r="A44" s="294" t="s">
        <v>706</v>
      </c>
      <c r="B44" s="1148" t="s">
        <v>709</v>
      </c>
      <c r="C44" s="1148"/>
      <c r="D44" s="1148"/>
      <c r="E44" s="1147" t="s">
        <v>4030</v>
      </c>
      <c r="F44" s="1147"/>
      <c r="G44" s="255">
        <f>G43*0.15</f>
        <v>56004.945</v>
      </c>
    </row>
    <row r="45" spans="1:8" s="265" customFormat="1">
      <c r="A45" s="294" t="s">
        <v>708</v>
      </c>
      <c r="B45" s="1149" t="s">
        <v>3911</v>
      </c>
      <c r="C45" s="1149"/>
      <c r="D45" s="1149"/>
      <c r="E45" s="1149"/>
      <c r="F45" s="1149"/>
      <c r="G45" s="605">
        <f>ROUND(SUM(G43:G44),2)</f>
        <v>429371.25</v>
      </c>
      <c r="H45" s="255">
        <f>G43+G44</f>
        <v>429371.245</v>
      </c>
    </row>
    <row r="46" spans="1:8">
      <c r="A46" s="354"/>
      <c r="B46" s="250"/>
      <c r="C46" s="354"/>
      <c r="D46" s="354"/>
      <c r="E46" s="607"/>
      <c r="F46" s="608"/>
      <c r="G46" s="253"/>
    </row>
    <row r="47" spans="1:8" s="265" customFormat="1">
      <c r="A47" s="606" t="s">
        <v>4023</v>
      </c>
      <c r="B47" s="265" t="s">
        <v>2663</v>
      </c>
      <c r="C47" s="286"/>
      <c r="D47" s="286"/>
      <c r="E47" s="597"/>
      <c r="F47" s="598"/>
      <c r="G47" s="599"/>
    </row>
    <row r="48" spans="1:8" s="292" customFormat="1" ht="24.95" customHeight="1">
      <c r="A48" s="290" t="s">
        <v>1003</v>
      </c>
      <c r="B48" s="290" t="s">
        <v>1004</v>
      </c>
      <c r="C48" s="290" t="s">
        <v>1005</v>
      </c>
      <c r="D48" s="290" t="s">
        <v>1006</v>
      </c>
      <c r="E48" s="373" t="s">
        <v>1007</v>
      </c>
      <c r="F48" s="363" t="s">
        <v>2639</v>
      </c>
      <c r="G48" s="291" t="s">
        <v>2638</v>
      </c>
    </row>
    <row r="49" spans="1:7">
      <c r="A49" s="294" t="s">
        <v>671</v>
      </c>
      <c r="B49" s="411" t="s">
        <v>672</v>
      </c>
      <c r="C49" s="247"/>
      <c r="D49" s="247"/>
      <c r="E49" s="372"/>
      <c r="F49" s="360"/>
      <c r="G49" s="248"/>
    </row>
    <row r="50" spans="1:7">
      <c r="A50" s="247"/>
      <c r="B50" s="410" t="s">
        <v>673</v>
      </c>
      <c r="C50" s="247" t="s">
        <v>674</v>
      </c>
      <c r="D50" s="247" t="s">
        <v>675</v>
      </c>
      <c r="E50" s="372">
        <v>0.2</v>
      </c>
      <c r="F50" s="360">
        <f>'UPAD-BAHAN-ALAT'!$I$12</f>
        <v>110000</v>
      </c>
      <c r="G50" s="248">
        <f>F50*E50</f>
        <v>22000</v>
      </c>
    </row>
    <row r="51" spans="1:7">
      <c r="A51" s="247"/>
      <c r="B51" s="410" t="s">
        <v>677</v>
      </c>
      <c r="C51" s="247" t="s">
        <v>678</v>
      </c>
      <c r="D51" s="247" t="s">
        <v>675</v>
      </c>
      <c r="E51" s="372">
        <v>0.3</v>
      </c>
      <c r="F51" s="360">
        <f>'UPAD-BAHAN-ALAT'!$I$13</f>
        <v>140000</v>
      </c>
      <c r="G51" s="248">
        <f>F51*E51</f>
        <v>42000</v>
      </c>
    </row>
    <row r="52" spans="1:7">
      <c r="A52" s="247"/>
      <c r="B52" s="410" t="s">
        <v>680</v>
      </c>
      <c r="C52" s="247" t="s">
        <v>681</v>
      </c>
      <c r="D52" s="247" t="s">
        <v>675</v>
      </c>
      <c r="E52" s="372">
        <v>0.02</v>
      </c>
      <c r="F52" s="360">
        <f>'UPAD-BAHAN-ALAT'!$I$15</f>
        <v>150000</v>
      </c>
      <c r="G52" s="248">
        <f>F52*E52</f>
        <v>3000</v>
      </c>
    </row>
    <row r="53" spans="1:7">
      <c r="A53" s="247"/>
      <c r="B53" s="410" t="s">
        <v>683</v>
      </c>
      <c r="C53" s="247" t="s">
        <v>684</v>
      </c>
      <c r="D53" s="247" t="s">
        <v>675</v>
      </c>
      <c r="E53" s="372">
        <v>0.02</v>
      </c>
      <c r="F53" s="360">
        <f>'UPAD-BAHAN-ALAT'!$I$14</f>
        <v>140000</v>
      </c>
      <c r="G53" s="248">
        <f>F53*E53</f>
        <v>2800</v>
      </c>
    </row>
    <row r="54" spans="1:7">
      <c r="A54" s="247"/>
      <c r="B54" s="410"/>
      <c r="C54" s="247"/>
      <c r="D54" s="247"/>
      <c r="E54" s="1146" t="s">
        <v>685</v>
      </c>
      <c r="F54" s="1146"/>
      <c r="G54" s="248">
        <f>SUM(G50:G53)</f>
        <v>69800</v>
      </c>
    </row>
    <row r="55" spans="1:7">
      <c r="A55" s="294" t="s">
        <v>686</v>
      </c>
      <c r="B55" s="411" t="s">
        <v>687</v>
      </c>
      <c r="C55" s="247"/>
      <c r="D55" s="247"/>
      <c r="E55" s="372"/>
      <c r="F55" s="360"/>
      <c r="G55" s="248"/>
    </row>
    <row r="56" spans="1:7">
      <c r="A56" s="247"/>
      <c r="B56" s="410" t="s">
        <v>2641</v>
      </c>
      <c r="C56" s="247"/>
      <c r="D56" s="247" t="s">
        <v>688</v>
      </c>
      <c r="E56" s="372">
        <v>1</v>
      </c>
      <c r="F56" s="360">
        <f>'UPAD-BAHAN-ALAT'!$I$91</f>
        <v>21000</v>
      </c>
      <c r="G56" s="248">
        <f t="shared" ref="G56:G61" si="2">F56*E56</f>
        <v>21000</v>
      </c>
    </row>
    <row r="57" spans="1:7">
      <c r="A57" s="247"/>
      <c r="B57" s="410" t="s">
        <v>689</v>
      </c>
      <c r="C57" s="247"/>
      <c r="D57" s="247" t="s">
        <v>690</v>
      </c>
      <c r="E57" s="372">
        <v>2</v>
      </c>
      <c r="F57" s="360">
        <f>'UPAD-BAHAN-ALAT'!$I$77</f>
        <v>1625</v>
      </c>
      <c r="G57" s="248">
        <f t="shared" si="2"/>
        <v>3250</v>
      </c>
    </row>
    <row r="58" spans="1:7">
      <c r="A58" s="247"/>
      <c r="B58" s="410" t="s">
        <v>721</v>
      </c>
      <c r="C58" s="247"/>
      <c r="D58" s="247" t="s">
        <v>722</v>
      </c>
      <c r="E58" s="372">
        <v>25</v>
      </c>
      <c r="F58" s="360">
        <f>'UPAD-BAHAN-ALAT'!$I$123</f>
        <v>2625</v>
      </c>
      <c r="G58" s="248">
        <f t="shared" si="2"/>
        <v>65625</v>
      </c>
    </row>
    <row r="59" spans="1:7">
      <c r="A59" s="247"/>
      <c r="B59" s="410" t="s">
        <v>691</v>
      </c>
      <c r="C59" s="247"/>
      <c r="D59" s="247" t="s">
        <v>2646</v>
      </c>
      <c r="E59" s="372">
        <v>5.0000000000000001E-3</v>
      </c>
      <c r="F59" s="360">
        <f>'UPAD-BAHAN-ALAT'!$I$71</f>
        <v>176000</v>
      </c>
      <c r="G59" s="248">
        <f t="shared" si="2"/>
        <v>880</v>
      </c>
    </row>
    <row r="60" spans="1:7">
      <c r="A60" s="247"/>
      <c r="B60" s="410" t="s">
        <v>694</v>
      </c>
      <c r="C60" s="247"/>
      <c r="D60" s="247" t="s">
        <v>2646</v>
      </c>
      <c r="E60" s="372">
        <v>8.9999999999999993E-3</v>
      </c>
      <c r="F60" s="360">
        <f>'UPAD-BAHAN-ALAT'!$I$51</f>
        <v>298200</v>
      </c>
      <c r="G60" s="248">
        <f t="shared" si="2"/>
        <v>2683.7999999999997</v>
      </c>
    </row>
    <row r="61" spans="1:7">
      <c r="A61" s="247"/>
      <c r="B61" s="410" t="s">
        <v>698</v>
      </c>
      <c r="C61" s="247"/>
      <c r="D61" s="247" t="s">
        <v>690</v>
      </c>
      <c r="E61" s="372">
        <v>0.06</v>
      </c>
      <c r="F61" s="360">
        <f>'UPAD-BAHAN-ALAT'!$I$139</f>
        <v>21000</v>
      </c>
      <c r="G61" s="248">
        <f t="shared" si="2"/>
        <v>1260</v>
      </c>
    </row>
    <row r="62" spans="1:7">
      <c r="A62" s="247"/>
      <c r="B62" s="410"/>
      <c r="C62" s="247"/>
      <c r="D62" s="247"/>
      <c r="E62" s="1144" t="s">
        <v>702</v>
      </c>
      <c r="F62" s="1144"/>
      <c r="G62" s="248">
        <f>SUM(G56:G61)</f>
        <v>94698.8</v>
      </c>
    </row>
    <row r="63" spans="1:7" s="265" customFormat="1">
      <c r="A63" s="294" t="s">
        <v>703</v>
      </c>
      <c r="B63" s="1151" t="s">
        <v>3910</v>
      </c>
      <c r="C63" s="1151"/>
      <c r="D63" s="1151"/>
      <c r="E63" s="1151"/>
      <c r="F63" s="1151"/>
      <c r="G63" s="255">
        <f>G62+G54</f>
        <v>164498.79999999999</v>
      </c>
    </row>
    <row r="64" spans="1:7" s="265" customFormat="1">
      <c r="A64" s="294" t="s">
        <v>706</v>
      </c>
      <c r="B64" s="1148" t="s">
        <v>709</v>
      </c>
      <c r="C64" s="1148"/>
      <c r="D64" s="1148"/>
      <c r="E64" s="1147" t="s">
        <v>4030</v>
      </c>
      <c r="F64" s="1147"/>
      <c r="G64" s="255">
        <f>G63*0.15</f>
        <v>24674.819999999996</v>
      </c>
    </row>
    <row r="65" spans="1:8" s="265" customFormat="1">
      <c r="A65" s="294" t="s">
        <v>708</v>
      </c>
      <c r="B65" s="1149" t="s">
        <v>3911</v>
      </c>
      <c r="C65" s="1149"/>
      <c r="D65" s="1149"/>
      <c r="E65" s="1149"/>
      <c r="F65" s="1149"/>
      <c r="G65" s="605">
        <f>ROUND(SUM(G63:G64),2)</f>
        <v>189173.62</v>
      </c>
      <c r="H65" s="255">
        <f>G63+G64</f>
        <v>189173.62</v>
      </c>
    </row>
    <row r="67" spans="1:8" s="848" customFormat="1">
      <c r="A67" s="876" t="s">
        <v>4024</v>
      </c>
      <c r="B67" s="848" t="s">
        <v>2664</v>
      </c>
      <c r="C67" s="847"/>
      <c r="D67" s="847"/>
      <c r="E67" s="877"/>
      <c r="F67" s="878"/>
      <c r="G67" s="879"/>
    </row>
    <row r="68" spans="1:8" s="858" customFormat="1" ht="24.95" customHeight="1">
      <c r="A68" s="854" t="s">
        <v>1003</v>
      </c>
      <c r="B68" s="853" t="s">
        <v>1004</v>
      </c>
      <c r="C68" s="853" t="s">
        <v>1005</v>
      </c>
      <c r="D68" s="854" t="s">
        <v>1006</v>
      </c>
      <c r="E68" s="880" t="s">
        <v>1007</v>
      </c>
      <c r="F68" s="881" t="s">
        <v>2639</v>
      </c>
      <c r="G68" s="857" t="s">
        <v>2638</v>
      </c>
    </row>
    <row r="69" spans="1:8" s="814" customFormat="1">
      <c r="A69" s="882" t="s">
        <v>671</v>
      </c>
      <c r="B69" s="868" t="s">
        <v>672</v>
      </c>
      <c r="C69" s="865"/>
      <c r="D69" s="865"/>
      <c r="E69" s="883"/>
      <c r="F69" s="884"/>
      <c r="G69" s="864"/>
    </row>
    <row r="70" spans="1:8" s="814" customFormat="1">
      <c r="A70" s="861"/>
      <c r="B70" s="860" t="s">
        <v>673</v>
      </c>
      <c r="C70" s="865" t="s">
        <v>674</v>
      </c>
      <c r="D70" s="865"/>
      <c r="E70" s="862">
        <v>0.1</v>
      </c>
      <c r="F70" s="866">
        <f>'UPAD-BAHAN-ALAT'!$I$12</f>
        <v>110000</v>
      </c>
      <c r="G70" s="864">
        <f>F70*E70</f>
        <v>11000</v>
      </c>
    </row>
    <row r="71" spans="1:8" s="814" customFormat="1">
      <c r="A71" s="861"/>
      <c r="B71" s="860" t="s">
        <v>677</v>
      </c>
      <c r="C71" s="865" t="s">
        <v>678</v>
      </c>
      <c r="D71" s="865"/>
      <c r="E71" s="862">
        <v>0.1</v>
      </c>
      <c r="F71" s="866">
        <f>'UPAD-BAHAN-ALAT'!$I$13</f>
        <v>140000</v>
      </c>
      <c r="G71" s="864">
        <f>F71*E71</f>
        <v>14000</v>
      </c>
    </row>
    <row r="72" spans="1:8" s="814" customFormat="1">
      <c r="A72" s="861"/>
      <c r="B72" s="860" t="s">
        <v>680</v>
      </c>
      <c r="C72" s="865" t="s">
        <v>681</v>
      </c>
      <c r="D72" s="865"/>
      <c r="E72" s="862">
        <v>0.01</v>
      </c>
      <c r="F72" s="866">
        <f>'UPAD-BAHAN-ALAT'!$I$15</f>
        <v>150000</v>
      </c>
      <c r="G72" s="864">
        <f>F72*E72</f>
        <v>1500</v>
      </c>
    </row>
    <row r="73" spans="1:8" s="814" customFormat="1">
      <c r="A73" s="861"/>
      <c r="B73" s="860" t="s">
        <v>683</v>
      </c>
      <c r="C73" s="865" t="s">
        <v>684</v>
      </c>
      <c r="D73" s="865"/>
      <c r="E73" s="862">
        <v>5.0000000000000001E-3</v>
      </c>
      <c r="F73" s="866">
        <f>'UPAD-BAHAN-ALAT'!$I$14</f>
        <v>140000</v>
      </c>
      <c r="G73" s="864">
        <f>F73*E73</f>
        <v>700</v>
      </c>
    </row>
    <row r="74" spans="1:8" s="814" customFormat="1">
      <c r="A74" s="861"/>
      <c r="B74" s="860"/>
      <c r="C74" s="865"/>
      <c r="D74" s="865"/>
      <c r="E74" s="862" t="s">
        <v>685</v>
      </c>
      <c r="F74" s="884"/>
      <c r="G74" s="864">
        <f>SUM(G70:G73)</f>
        <v>27200</v>
      </c>
    </row>
    <row r="75" spans="1:8" s="814" customFormat="1">
      <c r="A75" s="882" t="s">
        <v>686</v>
      </c>
      <c r="B75" s="868" t="s">
        <v>687</v>
      </c>
      <c r="C75" s="865"/>
      <c r="D75" s="865"/>
      <c r="E75" s="883"/>
      <c r="F75" s="884"/>
      <c r="G75" s="864"/>
    </row>
    <row r="76" spans="1:8" s="814" customFormat="1">
      <c r="A76" s="861"/>
      <c r="B76" s="860" t="s">
        <v>725</v>
      </c>
      <c r="C76" s="865"/>
      <c r="D76" s="865"/>
      <c r="E76" s="862">
        <v>1.2E-2</v>
      </c>
      <c r="F76" s="866">
        <f>'UPAD-BAHAN-ALAT'!$I$96</f>
        <v>3465000</v>
      </c>
      <c r="G76" s="864">
        <f>F76*E76</f>
        <v>41580</v>
      </c>
    </row>
    <row r="77" spans="1:8" s="814" customFormat="1">
      <c r="A77" s="861"/>
      <c r="B77" s="860" t="s">
        <v>727</v>
      </c>
      <c r="C77" s="865"/>
      <c r="D77" s="865"/>
      <c r="E77" s="862">
        <v>0.02</v>
      </c>
      <c r="F77" s="866">
        <f>'UPAD-BAHAN-ALAT'!$I$139</f>
        <v>21000</v>
      </c>
      <c r="G77" s="864">
        <f>F77*E77</f>
        <v>420</v>
      </c>
    </row>
    <row r="78" spans="1:8" s="814" customFormat="1">
      <c r="A78" s="861"/>
      <c r="B78" s="860" t="s">
        <v>729</v>
      </c>
      <c r="C78" s="865"/>
      <c r="D78" s="865"/>
      <c r="E78" s="862">
        <v>7.0000000000000001E-3</v>
      </c>
      <c r="F78" s="866">
        <f>'UPAD-BAHAN-ALAT'!$I$96</f>
        <v>3465000</v>
      </c>
      <c r="G78" s="864">
        <f>F78*E78</f>
        <v>24255</v>
      </c>
    </row>
    <row r="79" spans="1:8" s="814" customFormat="1">
      <c r="A79" s="861"/>
      <c r="B79" s="860"/>
      <c r="C79" s="865"/>
      <c r="D79" s="865"/>
      <c r="E79" s="862" t="s">
        <v>702</v>
      </c>
      <c r="F79" s="884"/>
      <c r="G79" s="864">
        <f>SUM(G76:G78)</f>
        <v>66255</v>
      </c>
    </row>
    <row r="80" spans="1:8" s="848" customFormat="1">
      <c r="A80" s="882" t="s">
        <v>703</v>
      </c>
      <c r="B80" s="868" t="s">
        <v>3910</v>
      </c>
      <c r="C80" s="869"/>
      <c r="D80" s="869"/>
      <c r="E80" s="870"/>
      <c r="F80" s="885"/>
      <c r="G80" s="872">
        <f>G74+G79</f>
        <v>93455</v>
      </c>
    </row>
    <row r="81" spans="1:8" s="848" customFormat="1">
      <c r="A81" s="882" t="s">
        <v>706</v>
      </c>
      <c r="B81" s="1152" t="s">
        <v>709</v>
      </c>
      <c r="C81" s="1152"/>
      <c r="D81" s="1152"/>
      <c r="E81" s="875" t="s">
        <v>4030</v>
      </c>
      <c r="F81" s="885"/>
      <c r="G81" s="872">
        <f>G80*0.15</f>
        <v>14018.25</v>
      </c>
    </row>
    <row r="82" spans="1:8" s="848" customFormat="1">
      <c r="A82" s="882" t="s">
        <v>708</v>
      </c>
      <c r="B82" s="1154" t="s">
        <v>3911</v>
      </c>
      <c r="C82" s="1154"/>
      <c r="D82" s="1154"/>
      <c r="E82" s="1154"/>
      <c r="F82" s="1154"/>
      <c r="G82" s="886">
        <f>ROUND(SUM(G80:G81),2)</f>
        <v>107473.25</v>
      </c>
      <c r="H82" s="872">
        <f>G80+G81</f>
        <v>107473.25</v>
      </c>
    </row>
    <row r="83" spans="1:8">
      <c r="A83" s="354"/>
      <c r="B83" s="250"/>
      <c r="C83" s="354"/>
      <c r="D83" s="354"/>
      <c r="E83" s="607"/>
      <c r="F83" s="608"/>
      <c r="G83" s="253"/>
    </row>
    <row r="84" spans="1:8" s="265" customFormat="1">
      <c r="A84" s="286" t="s">
        <v>4025</v>
      </c>
      <c r="B84" s="265" t="s">
        <v>2665</v>
      </c>
      <c r="C84" s="286"/>
      <c r="D84" s="286"/>
      <c r="E84" s="597"/>
      <c r="F84" s="598"/>
      <c r="G84" s="599"/>
    </row>
    <row r="85" spans="1:8" s="292" customFormat="1" ht="24.95" customHeight="1">
      <c r="A85" s="290" t="s">
        <v>1003</v>
      </c>
      <c r="B85" s="290" t="s">
        <v>1004</v>
      </c>
      <c r="C85" s="290" t="s">
        <v>1005</v>
      </c>
      <c r="D85" s="293" t="s">
        <v>1006</v>
      </c>
      <c r="E85" s="373" t="s">
        <v>1007</v>
      </c>
      <c r="F85" s="363" t="s">
        <v>2639</v>
      </c>
      <c r="G85" s="291" t="s">
        <v>2638</v>
      </c>
    </row>
    <row r="86" spans="1:8">
      <c r="A86" s="294" t="s">
        <v>671</v>
      </c>
      <c r="B86" s="357" t="s">
        <v>672</v>
      </c>
      <c r="C86" s="247"/>
      <c r="D86" s="283"/>
      <c r="E86" s="372"/>
      <c r="F86" s="360"/>
      <c r="G86" s="248"/>
    </row>
    <row r="87" spans="1:8">
      <c r="A87" s="247"/>
      <c r="B87" s="355" t="s">
        <v>673</v>
      </c>
      <c r="C87" s="283" t="s">
        <v>674</v>
      </c>
      <c r="D87" s="283" t="s">
        <v>675</v>
      </c>
      <c r="E87" s="372">
        <v>2</v>
      </c>
      <c r="F87" s="360">
        <f>'UPAD-BAHAN-ALAT'!$I$12</f>
        <v>110000</v>
      </c>
      <c r="G87" s="248">
        <f>E87*F87</f>
        <v>220000</v>
      </c>
    </row>
    <row r="88" spans="1:8">
      <c r="A88" s="247"/>
      <c r="B88" s="355" t="s">
        <v>677</v>
      </c>
      <c r="C88" s="283" t="s">
        <v>678</v>
      </c>
      <c r="D88" s="283" t="s">
        <v>675</v>
      </c>
      <c r="E88" s="372">
        <v>1</v>
      </c>
      <c r="F88" s="360">
        <f>'UPAD-BAHAN-ALAT'!$I$13</f>
        <v>140000</v>
      </c>
      <c r="G88" s="248">
        <f>F88*E88</f>
        <v>140000</v>
      </c>
    </row>
    <row r="89" spans="1:8">
      <c r="A89" s="247"/>
      <c r="B89" s="355" t="s">
        <v>731</v>
      </c>
      <c r="C89" s="283" t="s">
        <v>678</v>
      </c>
      <c r="D89" s="283" t="s">
        <v>675</v>
      </c>
      <c r="E89" s="372">
        <v>1</v>
      </c>
      <c r="F89" s="360">
        <f>'UPAD-BAHAN-ALAT'!$I$13</f>
        <v>140000</v>
      </c>
      <c r="G89" s="248">
        <f>F89*E89</f>
        <v>140000</v>
      </c>
    </row>
    <row r="90" spans="1:8">
      <c r="A90" s="247"/>
      <c r="B90" s="355" t="s">
        <v>680</v>
      </c>
      <c r="C90" s="283" t="s">
        <v>681</v>
      </c>
      <c r="D90" s="283" t="s">
        <v>675</v>
      </c>
      <c r="E90" s="372">
        <v>0.3</v>
      </c>
      <c r="F90" s="360">
        <f>'UPAD-BAHAN-ALAT'!$I$15</f>
        <v>150000</v>
      </c>
      <c r="G90" s="248">
        <f>F90*E90</f>
        <v>45000</v>
      </c>
    </row>
    <row r="91" spans="1:8">
      <c r="A91" s="247"/>
      <c r="B91" s="355" t="s">
        <v>683</v>
      </c>
      <c r="C91" s="283" t="s">
        <v>684</v>
      </c>
      <c r="D91" s="283" t="s">
        <v>675</v>
      </c>
      <c r="E91" s="372">
        <v>0.05</v>
      </c>
      <c r="F91" s="360">
        <f>'UPAD-BAHAN-ALAT'!$I$14</f>
        <v>140000</v>
      </c>
      <c r="G91" s="248">
        <f>F91*E91</f>
        <v>7000</v>
      </c>
    </row>
    <row r="92" spans="1:8">
      <c r="A92" s="247"/>
      <c r="B92" s="355"/>
      <c r="C92" s="288"/>
      <c r="D92" s="283"/>
      <c r="E92" s="1146" t="s">
        <v>685</v>
      </c>
      <c r="F92" s="1146"/>
      <c r="G92" s="248">
        <f>SUM(G87:G91)</f>
        <v>552000</v>
      </c>
    </row>
    <row r="93" spans="1:8">
      <c r="A93" s="294" t="s">
        <v>686</v>
      </c>
      <c r="B93" s="357" t="s">
        <v>687</v>
      </c>
      <c r="C93" s="247"/>
      <c r="D93" s="283"/>
      <c r="E93" s="372"/>
      <c r="F93" s="360"/>
      <c r="G93" s="248"/>
    </row>
    <row r="94" spans="1:8">
      <c r="A94" s="247"/>
      <c r="B94" s="614" t="s">
        <v>4026</v>
      </c>
      <c r="C94" s="247"/>
      <c r="D94" s="283" t="s">
        <v>688</v>
      </c>
      <c r="E94" s="372">
        <v>1.25</v>
      </c>
      <c r="F94" s="360">
        <f>'UPAD-BAHAN-ALAT'!$I$91</f>
        <v>21000</v>
      </c>
      <c r="G94" s="248">
        <f>F94*E94</f>
        <v>26250</v>
      </c>
    </row>
    <row r="95" spans="1:8">
      <c r="A95" s="247"/>
      <c r="B95" s="355" t="s">
        <v>732</v>
      </c>
      <c r="C95" s="247"/>
      <c r="D95" s="283" t="s">
        <v>2646</v>
      </c>
      <c r="E95" s="372">
        <v>0.18</v>
      </c>
      <c r="F95" s="360">
        <f>'UPAD-BAHAN-ALAT'!$I$96</f>
        <v>3465000</v>
      </c>
      <c r="G95" s="248">
        <f t="shared" ref="G95:G107" si="3">F95*E95</f>
        <v>623700</v>
      </c>
    </row>
    <row r="96" spans="1:8">
      <c r="A96" s="247"/>
      <c r="B96" s="355" t="s">
        <v>734</v>
      </c>
      <c r="C96" s="247"/>
      <c r="D96" s="283" t="s">
        <v>690</v>
      </c>
      <c r="E96" s="372">
        <v>0.08</v>
      </c>
      <c r="F96" s="360">
        <f>'UPAD-BAHAN-ALAT'!$I$139</f>
        <v>21000</v>
      </c>
      <c r="G96" s="248">
        <f t="shared" si="3"/>
        <v>1680</v>
      </c>
    </row>
    <row r="97" spans="1:8">
      <c r="A97" s="247"/>
      <c r="B97" s="355" t="s">
        <v>736</v>
      </c>
      <c r="C97" s="247"/>
      <c r="D97" s="283" t="s">
        <v>690</v>
      </c>
      <c r="E97" s="372">
        <v>1.1000000000000001</v>
      </c>
      <c r="F97" s="360">
        <f>'UPAD-BAHAN-ALAT'!$I$116</f>
        <v>15750</v>
      </c>
      <c r="G97" s="248">
        <f t="shared" si="3"/>
        <v>17325</v>
      </c>
    </row>
    <row r="98" spans="1:8">
      <c r="A98" s="247"/>
      <c r="B98" s="355" t="s">
        <v>738</v>
      </c>
      <c r="C98" s="247"/>
      <c r="D98" s="283" t="s">
        <v>690</v>
      </c>
      <c r="E98" s="372">
        <v>35</v>
      </c>
      <c r="F98" s="360">
        <f>'UPAD-BAHAN-ALAT'!$I$77</f>
        <v>1625</v>
      </c>
      <c r="G98" s="248">
        <f t="shared" si="3"/>
        <v>56875</v>
      </c>
    </row>
    <row r="99" spans="1:8">
      <c r="A99" s="247"/>
      <c r="B99" s="355" t="s">
        <v>739</v>
      </c>
      <c r="C99" s="247"/>
      <c r="D99" s="283" t="s">
        <v>2646</v>
      </c>
      <c r="E99" s="372">
        <v>0.15</v>
      </c>
      <c r="F99" s="360">
        <f>'UPAD-BAHAN-ALAT'!$I$71</f>
        <v>176000</v>
      </c>
      <c r="G99" s="248">
        <f t="shared" si="3"/>
        <v>26400</v>
      </c>
    </row>
    <row r="100" spans="1:8">
      <c r="A100" s="247"/>
      <c r="B100" s="355" t="s">
        <v>691</v>
      </c>
      <c r="C100" s="247"/>
      <c r="D100" s="283" t="s">
        <v>2646</v>
      </c>
      <c r="E100" s="372">
        <v>0.1</v>
      </c>
      <c r="F100" s="360">
        <f>'UPAD-BAHAN-ALAT'!$I$71</f>
        <v>176000</v>
      </c>
      <c r="G100" s="248">
        <f t="shared" si="3"/>
        <v>17600</v>
      </c>
    </row>
    <row r="101" spans="1:8">
      <c r="A101" s="247"/>
      <c r="B101" s="355" t="s">
        <v>694</v>
      </c>
      <c r="C101" s="247"/>
      <c r="D101" s="283" t="s">
        <v>2646</v>
      </c>
      <c r="E101" s="372">
        <v>0.15</v>
      </c>
      <c r="F101" s="360">
        <f>'UPAD-BAHAN-ALAT'!$I$51</f>
        <v>298200</v>
      </c>
      <c r="G101" s="248">
        <f t="shared" si="3"/>
        <v>44730</v>
      </c>
    </row>
    <row r="102" spans="1:8">
      <c r="A102" s="247"/>
      <c r="B102" s="355" t="s">
        <v>742</v>
      </c>
      <c r="C102" s="247"/>
      <c r="D102" s="283" t="s">
        <v>743</v>
      </c>
      <c r="E102" s="372">
        <v>30</v>
      </c>
      <c r="F102" s="360">
        <f>'UPAD-BAHAN-ALAT'!$I$61</f>
        <v>700</v>
      </c>
      <c r="G102" s="248">
        <f t="shared" si="3"/>
        <v>21000</v>
      </c>
    </row>
    <row r="103" spans="1:8">
      <c r="A103" s="247"/>
      <c r="B103" s="355" t="s">
        <v>745</v>
      </c>
      <c r="C103" s="247"/>
      <c r="D103" s="283" t="s">
        <v>715</v>
      </c>
      <c r="E103" s="372">
        <v>0.25</v>
      </c>
      <c r="F103" s="360">
        <f>'UPAD-BAHAN-ALAT'!$I$321</f>
        <v>91800</v>
      </c>
      <c r="G103" s="248">
        <f t="shared" si="3"/>
        <v>22950</v>
      </c>
    </row>
    <row r="104" spans="1:8">
      <c r="A104" s="247"/>
      <c r="B104" s="355" t="s">
        <v>747</v>
      </c>
      <c r="C104" s="247"/>
      <c r="D104" s="283" t="s">
        <v>743</v>
      </c>
      <c r="E104" s="372">
        <v>0.2</v>
      </c>
      <c r="F104" s="360">
        <f>'UPAD-BAHAN-ALAT'!$I$295</f>
        <v>185000</v>
      </c>
      <c r="G104" s="248">
        <f t="shared" si="3"/>
        <v>37000</v>
      </c>
    </row>
    <row r="105" spans="1:8">
      <c r="A105" s="247"/>
      <c r="B105" s="355" t="s">
        <v>748</v>
      </c>
      <c r="C105" s="247"/>
      <c r="D105" s="283" t="s">
        <v>2647</v>
      </c>
      <c r="E105" s="372">
        <v>0.08</v>
      </c>
      <c r="F105" s="360">
        <f>'UPAD-BAHAN-ALAT'!$I$288</f>
        <v>122500</v>
      </c>
      <c r="G105" s="248">
        <f t="shared" si="3"/>
        <v>9800</v>
      </c>
    </row>
    <row r="106" spans="1:8">
      <c r="A106" s="247"/>
      <c r="B106" s="355" t="s">
        <v>749</v>
      </c>
      <c r="C106" s="247"/>
      <c r="D106" s="283" t="s">
        <v>743</v>
      </c>
      <c r="E106" s="372">
        <v>0.15</v>
      </c>
      <c r="F106" s="360">
        <f>'UPAD-BAHAN-ALAT'!$I$492</f>
        <v>65000</v>
      </c>
      <c r="G106" s="248">
        <f t="shared" si="3"/>
        <v>9750</v>
      </c>
    </row>
    <row r="107" spans="1:8">
      <c r="A107" s="247"/>
      <c r="B107" s="355" t="s">
        <v>4577</v>
      </c>
      <c r="C107" s="247"/>
      <c r="D107" s="283" t="s">
        <v>715</v>
      </c>
      <c r="E107" s="372">
        <v>0.06</v>
      </c>
      <c r="F107" s="360">
        <f>'UPAD-BAHAN-ALAT'!$I$102</f>
        <v>93500</v>
      </c>
      <c r="G107" s="248">
        <f t="shared" si="3"/>
        <v>5610</v>
      </c>
    </row>
    <row r="108" spans="1:8">
      <c r="A108" s="247"/>
      <c r="B108" s="615"/>
      <c r="C108" s="247"/>
      <c r="D108" s="283"/>
      <c r="E108" s="1146" t="s">
        <v>702</v>
      </c>
      <c r="F108" s="1146"/>
      <c r="G108" s="248">
        <f>SUM(G94:G107)</f>
        <v>920670</v>
      </c>
    </row>
    <row r="109" spans="1:8" s="265" customFormat="1">
      <c r="A109" s="294" t="s">
        <v>703</v>
      </c>
      <c r="B109" s="357" t="s">
        <v>3910</v>
      </c>
      <c r="C109" s="610"/>
      <c r="D109" s="610"/>
      <c r="E109" s="611"/>
      <c r="F109" s="616"/>
      <c r="G109" s="255">
        <f>G108+G92</f>
        <v>1472670</v>
      </c>
    </row>
    <row r="110" spans="1:8" s="265" customFormat="1">
      <c r="A110" s="294" t="s">
        <v>706</v>
      </c>
      <c r="B110" s="617" t="s">
        <v>709</v>
      </c>
      <c r="C110" s="618"/>
      <c r="D110" s="618"/>
      <c r="E110" s="613" t="s">
        <v>4030</v>
      </c>
      <c r="F110" s="616"/>
      <c r="G110" s="255">
        <f>G109*0.15</f>
        <v>220900.5</v>
      </c>
    </row>
    <row r="111" spans="1:8" s="265" customFormat="1">
      <c r="A111" s="294" t="s">
        <v>708</v>
      </c>
      <c r="B111" s="357" t="s">
        <v>3911</v>
      </c>
      <c r="C111" s="610"/>
      <c r="D111" s="610"/>
      <c r="E111" s="611"/>
      <c r="F111" s="616"/>
      <c r="G111" s="605">
        <f>ROUND(SUM(G109:G110),2)</f>
        <v>1693570.5</v>
      </c>
      <c r="H111" s="255">
        <f>SUM(G109:G110)</f>
        <v>1693570.5</v>
      </c>
    </row>
    <row r="113" spans="1:7" s="265" customFormat="1">
      <c r="A113" s="286" t="s">
        <v>4027</v>
      </c>
      <c r="B113" s="265" t="s">
        <v>4733</v>
      </c>
      <c r="C113" s="286"/>
      <c r="D113" s="286"/>
      <c r="E113" s="597"/>
      <c r="F113" s="598"/>
      <c r="G113" s="599"/>
    </row>
    <row r="114" spans="1:7" s="292" customFormat="1" ht="24.95" customHeight="1">
      <c r="A114" s="290" t="s">
        <v>1003</v>
      </c>
      <c r="B114" s="290" t="s">
        <v>1004</v>
      </c>
      <c r="C114" s="290" t="s">
        <v>1005</v>
      </c>
      <c r="D114" s="290" t="s">
        <v>1006</v>
      </c>
      <c r="E114" s="373" t="s">
        <v>1007</v>
      </c>
      <c r="F114" s="363" t="s">
        <v>2639</v>
      </c>
      <c r="G114" s="291" t="s">
        <v>2638</v>
      </c>
    </row>
    <row r="115" spans="1:7">
      <c r="A115" s="294" t="s">
        <v>671</v>
      </c>
      <c r="B115" s="411" t="s">
        <v>672</v>
      </c>
      <c r="C115" s="247"/>
      <c r="D115" s="247"/>
      <c r="E115" s="372"/>
      <c r="F115" s="360"/>
      <c r="G115" s="248"/>
    </row>
    <row r="116" spans="1:7">
      <c r="A116" s="247"/>
      <c r="B116" s="410" t="s">
        <v>673</v>
      </c>
      <c r="C116" s="247" t="s">
        <v>674</v>
      </c>
      <c r="D116" s="247" t="s">
        <v>675</v>
      </c>
      <c r="E116" s="372">
        <v>1</v>
      </c>
      <c r="F116" s="360">
        <f>'UPAD-BAHAN-ALAT'!$I$12</f>
        <v>110000</v>
      </c>
      <c r="G116" s="248">
        <f>F116*E116</f>
        <v>110000</v>
      </c>
    </row>
    <row r="117" spans="1:7">
      <c r="A117" s="247"/>
      <c r="B117" s="410" t="s">
        <v>677</v>
      </c>
      <c r="C117" s="247" t="s">
        <v>678</v>
      </c>
      <c r="D117" s="247" t="s">
        <v>675</v>
      </c>
      <c r="E117" s="372">
        <v>1.5</v>
      </c>
      <c r="F117" s="360">
        <f>'UPAD-BAHAN-ALAT'!$I$13</f>
        <v>140000</v>
      </c>
      <c r="G117" s="248">
        <f>F117*E117</f>
        <v>210000</v>
      </c>
    </row>
    <row r="118" spans="1:7">
      <c r="A118" s="247"/>
      <c r="B118" s="410" t="s">
        <v>751</v>
      </c>
      <c r="C118" s="247" t="s">
        <v>681</v>
      </c>
      <c r="D118" s="247"/>
      <c r="E118" s="372">
        <v>0.15</v>
      </c>
      <c r="F118" s="360">
        <f>'UPAD-BAHAN-ALAT'!$I$15</f>
        <v>150000</v>
      </c>
      <c r="G118" s="248">
        <f>F118*E118</f>
        <v>22500</v>
      </c>
    </row>
    <row r="119" spans="1:7">
      <c r="A119" s="247"/>
      <c r="B119" s="410" t="s">
        <v>683</v>
      </c>
      <c r="C119" s="247" t="s">
        <v>684</v>
      </c>
      <c r="D119" s="247" t="s">
        <v>675</v>
      </c>
      <c r="E119" s="372">
        <v>0.05</v>
      </c>
      <c r="F119" s="360">
        <f>'UPAD-BAHAN-ALAT'!$I$14</f>
        <v>140000</v>
      </c>
      <c r="G119" s="248">
        <f>F119*E119</f>
        <v>7000</v>
      </c>
    </row>
    <row r="120" spans="1:7">
      <c r="A120" s="247"/>
      <c r="B120" s="410"/>
      <c r="C120" s="247"/>
      <c r="D120" s="247"/>
      <c r="E120" s="1146" t="s">
        <v>685</v>
      </c>
      <c r="F120" s="1146"/>
      <c r="G120" s="248">
        <f>SUM(G116:G119)</f>
        <v>349500</v>
      </c>
    </row>
    <row r="121" spans="1:7">
      <c r="A121" s="294" t="s">
        <v>686</v>
      </c>
      <c r="B121" s="411" t="s">
        <v>687</v>
      </c>
      <c r="C121" s="247"/>
      <c r="D121" s="247"/>
      <c r="E121" s="372"/>
      <c r="F121" s="360"/>
      <c r="G121" s="248"/>
    </row>
    <row r="122" spans="1:7">
      <c r="A122" s="247"/>
      <c r="B122" s="410" t="s">
        <v>2641</v>
      </c>
      <c r="C122" s="247"/>
      <c r="D122" s="247" t="s">
        <v>688</v>
      </c>
      <c r="E122" s="372">
        <v>3</v>
      </c>
      <c r="F122" s="360">
        <f>'UPAD-BAHAN-ALAT'!$I$91</f>
        <v>21000</v>
      </c>
      <c r="G122" s="248">
        <f>F122*E122</f>
        <v>63000</v>
      </c>
    </row>
    <row r="123" spans="1:7">
      <c r="A123" s="247"/>
      <c r="B123" s="410" t="s">
        <v>732</v>
      </c>
      <c r="C123" s="247"/>
      <c r="D123" s="247" t="s">
        <v>2646</v>
      </c>
      <c r="E123" s="372">
        <v>0.27600000000000002</v>
      </c>
      <c r="F123" s="360">
        <f>'UPAD-BAHAN-ALAT'!$I$96</f>
        <v>3465000</v>
      </c>
      <c r="G123" s="248">
        <f>F123*E123</f>
        <v>956340.00000000012</v>
      </c>
    </row>
    <row r="124" spans="1:7">
      <c r="A124" s="247"/>
      <c r="B124" s="410" t="s">
        <v>734</v>
      </c>
      <c r="C124" s="247"/>
      <c r="D124" s="247" t="s">
        <v>690</v>
      </c>
      <c r="E124" s="372">
        <v>0.7</v>
      </c>
      <c r="F124" s="360">
        <f>'UPAD-BAHAN-ALAT'!$I$139</f>
        <v>21000</v>
      </c>
      <c r="G124" s="248">
        <f>F124*E124</f>
        <v>14699.999999999998</v>
      </c>
    </row>
    <row r="125" spans="1:7">
      <c r="A125" s="247"/>
      <c r="B125" s="410" t="s">
        <v>714</v>
      </c>
      <c r="C125" s="247"/>
      <c r="D125" s="247" t="s">
        <v>3106</v>
      </c>
      <c r="E125" s="372">
        <v>1.5</v>
      </c>
      <c r="F125" s="360">
        <f>'UPAD-BAHAN-ALAT'!$I$318</f>
        <v>48000</v>
      </c>
      <c r="G125" s="248">
        <f>F125*E125</f>
        <v>72000</v>
      </c>
    </row>
    <row r="126" spans="1:7">
      <c r="A126" s="247"/>
      <c r="B126" s="295"/>
      <c r="C126" s="296"/>
      <c r="D126" s="296"/>
      <c r="E126" s="1146" t="s">
        <v>702</v>
      </c>
      <c r="F126" s="1146"/>
      <c r="G126" s="248">
        <f>SUM(G122:G125)</f>
        <v>1106040</v>
      </c>
    </row>
    <row r="127" spans="1:7" s="265" customFormat="1">
      <c r="A127" s="294" t="s">
        <v>703</v>
      </c>
      <c r="B127" s="1147" t="s">
        <v>3910</v>
      </c>
      <c r="C127" s="1147"/>
      <c r="D127" s="1147"/>
      <c r="E127" s="1147"/>
      <c r="F127" s="1147"/>
      <c r="G127" s="255">
        <f>G120+G126</f>
        <v>1455540</v>
      </c>
    </row>
    <row r="128" spans="1:7" s="265" customFormat="1">
      <c r="A128" s="294" t="s">
        <v>706</v>
      </c>
      <c r="B128" s="1148" t="s">
        <v>709</v>
      </c>
      <c r="C128" s="1148"/>
      <c r="D128" s="1148"/>
      <c r="E128" s="1147" t="s">
        <v>4030</v>
      </c>
      <c r="F128" s="1147"/>
      <c r="G128" s="255">
        <f>G127*0.15</f>
        <v>218331</v>
      </c>
    </row>
    <row r="129" spans="1:8" s="265" customFormat="1">
      <c r="A129" s="294" t="s">
        <v>708</v>
      </c>
      <c r="B129" s="1149" t="s">
        <v>3911</v>
      </c>
      <c r="C129" s="1149"/>
      <c r="D129" s="1149"/>
      <c r="E129" s="1149"/>
      <c r="F129" s="1149"/>
      <c r="G129" s="605">
        <f>ROUND(SUM(G127:G128),2)</f>
        <v>1673871</v>
      </c>
      <c r="H129" s="255">
        <f>SUM(G127:G128)</f>
        <v>1673871</v>
      </c>
    </row>
    <row r="130" spans="1:8">
      <c r="A130" s="354"/>
      <c r="B130" s="250"/>
      <c r="C130" s="354"/>
      <c r="D130" s="354"/>
      <c r="E130" s="607"/>
      <c r="F130" s="608"/>
      <c r="G130" s="253"/>
    </row>
    <row r="131" spans="1:8" s="265" customFormat="1">
      <c r="A131" s="286" t="s">
        <v>4028</v>
      </c>
      <c r="B131" s="265" t="s">
        <v>2668</v>
      </c>
      <c r="C131" s="286"/>
      <c r="D131" s="286"/>
      <c r="E131" s="597"/>
      <c r="F131" s="598"/>
      <c r="G131" s="599"/>
    </row>
    <row r="132" spans="1:8" s="292" customFormat="1" ht="24.95" customHeight="1">
      <c r="A132" s="290" t="s">
        <v>1003</v>
      </c>
      <c r="B132" s="290" t="s">
        <v>1004</v>
      </c>
      <c r="C132" s="290" t="s">
        <v>1005</v>
      </c>
      <c r="D132" s="290" t="s">
        <v>1006</v>
      </c>
      <c r="E132" s="373" t="s">
        <v>1007</v>
      </c>
      <c r="F132" s="363" t="s">
        <v>2639</v>
      </c>
      <c r="G132" s="291" t="s">
        <v>2638</v>
      </c>
    </row>
    <row r="133" spans="1:8">
      <c r="A133" s="294" t="s">
        <v>671</v>
      </c>
      <c r="B133" s="411" t="s">
        <v>672</v>
      </c>
      <c r="C133" s="247"/>
      <c r="D133" s="247"/>
      <c r="E133" s="372"/>
      <c r="F133" s="360"/>
      <c r="G133" s="248"/>
    </row>
    <row r="134" spans="1:8">
      <c r="A134" s="247"/>
      <c r="B134" s="410" t="s">
        <v>673</v>
      </c>
      <c r="C134" s="247" t="s">
        <v>674</v>
      </c>
      <c r="D134" s="247" t="s">
        <v>675</v>
      </c>
      <c r="E134" s="372">
        <v>1</v>
      </c>
      <c r="F134" s="360">
        <f>'UPAD-BAHAN-ALAT'!$I$12</f>
        <v>110000</v>
      </c>
      <c r="G134" s="248">
        <f>F134*E134</f>
        <v>110000</v>
      </c>
    </row>
    <row r="135" spans="1:8">
      <c r="A135" s="247"/>
      <c r="B135" s="410" t="s">
        <v>677</v>
      </c>
      <c r="C135" s="247" t="s">
        <v>678</v>
      </c>
      <c r="D135" s="247" t="s">
        <v>675</v>
      </c>
      <c r="E135" s="372">
        <v>2</v>
      </c>
      <c r="F135" s="360">
        <f>'UPAD-BAHAN-ALAT'!$I$13</f>
        <v>140000</v>
      </c>
      <c r="G135" s="248">
        <f>F135*E135</f>
        <v>280000</v>
      </c>
    </row>
    <row r="136" spans="1:8">
      <c r="A136" s="247"/>
      <c r="B136" s="410" t="s">
        <v>680</v>
      </c>
      <c r="C136" s="247" t="s">
        <v>681</v>
      </c>
      <c r="D136" s="247" t="s">
        <v>675</v>
      </c>
      <c r="E136" s="372">
        <v>0.2</v>
      </c>
      <c r="F136" s="360">
        <f>'UPAD-BAHAN-ALAT'!$I$15</f>
        <v>150000</v>
      </c>
      <c r="G136" s="248">
        <f>F136*E136</f>
        <v>30000</v>
      </c>
    </row>
    <row r="137" spans="1:8">
      <c r="A137" s="247"/>
      <c r="B137" s="410" t="s">
        <v>683</v>
      </c>
      <c r="C137" s="247" t="s">
        <v>684</v>
      </c>
      <c r="D137" s="247" t="s">
        <v>675</v>
      </c>
      <c r="E137" s="372">
        <v>0.05</v>
      </c>
      <c r="F137" s="360">
        <f>'UPAD-BAHAN-ALAT'!$I$14</f>
        <v>140000</v>
      </c>
      <c r="G137" s="248">
        <f>F137*E137</f>
        <v>7000</v>
      </c>
    </row>
    <row r="138" spans="1:8">
      <c r="A138" s="247"/>
      <c r="B138" s="410"/>
      <c r="C138" s="247"/>
      <c r="D138" s="247"/>
      <c r="E138" s="1146" t="s">
        <v>685</v>
      </c>
      <c r="F138" s="1146"/>
      <c r="G138" s="248">
        <f>SUM(G134:G137)</f>
        <v>427000</v>
      </c>
    </row>
    <row r="139" spans="1:8">
      <c r="A139" s="294" t="s">
        <v>686</v>
      </c>
      <c r="B139" s="411" t="s">
        <v>687</v>
      </c>
      <c r="C139" s="247"/>
      <c r="D139" s="247"/>
      <c r="E139" s="372"/>
      <c r="F139" s="360"/>
      <c r="G139" s="248"/>
    </row>
    <row r="140" spans="1:8">
      <c r="A140" s="247"/>
      <c r="B140" s="256" t="s">
        <v>4026</v>
      </c>
      <c r="C140" s="247"/>
      <c r="D140" s="247" t="s">
        <v>688</v>
      </c>
      <c r="E140" s="372">
        <v>1.7</v>
      </c>
      <c r="F140" s="360">
        <f>'UPAD-BAHAN-ALAT'!$I$91</f>
        <v>21000</v>
      </c>
      <c r="G140" s="248">
        <f>F140*E140</f>
        <v>35700</v>
      </c>
    </row>
    <row r="141" spans="1:8">
      <c r="A141" s="247"/>
      <c r="B141" s="410" t="s">
        <v>732</v>
      </c>
      <c r="C141" s="247"/>
      <c r="D141" s="247" t="s">
        <v>2646</v>
      </c>
      <c r="E141" s="372">
        <v>0.21</v>
      </c>
      <c r="F141" s="360">
        <f>'UPAD-BAHAN-ALAT'!$I$96</f>
        <v>3465000</v>
      </c>
      <c r="G141" s="248">
        <f>F141*E141</f>
        <v>727650</v>
      </c>
    </row>
    <row r="142" spans="1:8">
      <c r="A142" s="247"/>
      <c r="B142" s="410" t="s">
        <v>734</v>
      </c>
      <c r="C142" s="247"/>
      <c r="D142" s="247" t="s">
        <v>690</v>
      </c>
      <c r="E142" s="372">
        <v>0.3</v>
      </c>
      <c r="F142" s="360">
        <f>'UPAD-BAHAN-ALAT'!$I$139</f>
        <v>21000</v>
      </c>
      <c r="G142" s="248">
        <f>F142*E142</f>
        <v>6300</v>
      </c>
    </row>
    <row r="143" spans="1:8">
      <c r="A143" s="247"/>
      <c r="B143" s="410" t="s">
        <v>738</v>
      </c>
      <c r="C143" s="247"/>
      <c r="D143" s="247" t="s">
        <v>690</v>
      </c>
      <c r="E143" s="372">
        <v>10.5</v>
      </c>
      <c r="F143" s="360">
        <f>'UPAD-BAHAN-ALAT'!$I$77</f>
        <v>1625</v>
      </c>
      <c r="G143" s="248">
        <f>E143*F143</f>
        <v>17062.5</v>
      </c>
    </row>
    <row r="144" spans="1:8">
      <c r="A144" s="247"/>
      <c r="B144" s="410" t="s">
        <v>691</v>
      </c>
      <c r="C144" s="247"/>
      <c r="D144" s="247" t="s">
        <v>2646</v>
      </c>
      <c r="E144" s="372">
        <v>0.03</v>
      </c>
      <c r="F144" s="360">
        <f>'UPAD-BAHAN-ALAT'!$I$71</f>
        <v>176000</v>
      </c>
      <c r="G144" s="248">
        <f>E144*F144</f>
        <v>5280</v>
      </c>
    </row>
    <row r="145" spans="1:8">
      <c r="A145" s="247"/>
      <c r="B145" s="410" t="s">
        <v>694</v>
      </c>
      <c r="C145" s="247"/>
      <c r="D145" s="247" t="s">
        <v>2646</v>
      </c>
      <c r="E145" s="372">
        <v>0.05</v>
      </c>
      <c r="F145" s="360">
        <f>'UPAD-BAHAN-ALAT'!$I$51</f>
        <v>298200</v>
      </c>
      <c r="G145" s="248">
        <f>E145*F145</f>
        <v>14910</v>
      </c>
    </row>
    <row r="146" spans="1:8">
      <c r="A146" s="247"/>
      <c r="B146" s="410" t="s">
        <v>714</v>
      </c>
      <c r="C146" s="247"/>
      <c r="D146" s="247" t="s">
        <v>715</v>
      </c>
      <c r="E146" s="372">
        <v>1.5</v>
      </c>
      <c r="F146" s="360">
        <f>'UPAD-BAHAN-ALAT'!$I$318</f>
        <v>48000</v>
      </c>
      <c r="G146" s="248">
        <f>F146*E146</f>
        <v>72000</v>
      </c>
    </row>
    <row r="147" spans="1:8">
      <c r="A147" s="247"/>
      <c r="B147" s="410" t="s">
        <v>745</v>
      </c>
      <c r="C147" s="247"/>
      <c r="D147" s="247" t="s">
        <v>715</v>
      </c>
      <c r="E147" s="372">
        <v>0.25</v>
      </c>
      <c r="F147" s="360">
        <f>'UPAD-BAHAN-ALAT'!$I$321</f>
        <v>91800</v>
      </c>
      <c r="G147" s="248">
        <f>F147*E147</f>
        <v>22950</v>
      </c>
    </row>
    <row r="148" spans="1:8">
      <c r="A148" s="247"/>
      <c r="B148" s="295"/>
      <c r="C148" s="296"/>
      <c r="D148" s="296"/>
      <c r="E148" s="1146" t="s">
        <v>702</v>
      </c>
      <c r="F148" s="1146"/>
      <c r="G148" s="248">
        <f>SUM(G140:G147)</f>
        <v>901852.5</v>
      </c>
    </row>
    <row r="149" spans="1:8" s="265" customFormat="1">
      <c r="A149" s="294" t="s">
        <v>703</v>
      </c>
      <c r="B149" s="1147" t="s">
        <v>3910</v>
      </c>
      <c r="C149" s="1147"/>
      <c r="D149" s="1147"/>
      <c r="E149" s="1147"/>
      <c r="F149" s="1147"/>
      <c r="G149" s="255">
        <f>G138+G148</f>
        <v>1328852.5</v>
      </c>
    </row>
    <row r="150" spans="1:8" s="265" customFormat="1">
      <c r="A150" s="294" t="s">
        <v>706</v>
      </c>
      <c r="B150" s="1148" t="s">
        <v>709</v>
      </c>
      <c r="C150" s="1148"/>
      <c r="D150" s="1148"/>
      <c r="E150" s="1147" t="s">
        <v>4030</v>
      </c>
      <c r="F150" s="1147"/>
      <c r="G150" s="255">
        <f>G149*0.15</f>
        <v>199327.875</v>
      </c>
    </row>
    <row r="151" spans="1:8" s="265" customFormat="1">
      <c r="A151" s="294" t="s">
        <v>708</v>
      </c>
      <c r="B151" s="1149" t="s">
        <v>3911</v>
      </c>
      <c r="C151" s="1149"/>
      <c r="D151" s="1149"/>
      <c r="E151" s="1149"/>
      <c r="F151" s="1149"/>
      <c r="G151" s="605">
        <f>ROUND(SUM(G149:G150),2)</f>
        <v>1528180.38</v>
      </c>
      <c r="H151" s="255">
        <f>SUM(G149:G150)</f>
        <v>1528180.375</v>
      </c>
    </row>
    <row r="153" spans="1:8" s="265" customFormat="1">
      <c r="A153" s="286" t="s">
        <v>4029</v>
      </c>
      <c r="B153" s="265" t="s">
        <v>2669</v>
      </c>
      <c r="C153" s="286"/>
      <c r="D153" s="286"/>
      <c r="E153" s="597"/>
      <c r="F153" s="598"/>
      <c r="G153" s="599"/>
    </row>
    <row r="154" spans="1:8" s="292" customFormat="1" ht="24.95" customHeight="1">
      <c r="A154" s="290" t="s">
        <v>1003</v>
      </c>
      <c r="B154" s="290" t="s">
        <v>1004</v>
      </c>
      <c r="C154" s="290" t="s">
        <v>1005</v>
      </c>
      <c r="D154" s="290" t="s">
        <v>1006</v>
      </c>
      <c r="E154" s="373" t="s">
        <v>1007</v>
      </c>
      <c r="F154" s="363" t="s">
        <v>2639</v>
      </c>
      <c r="G154" s="291" t="s">
        <v>2638</v>
      </c>
    </row>
    <row r="155" spans="1:8">
      <c r="A155" s="294" t="s">
        <v>671</v>
      </c>
      <c r="B155" s="411" t="s">
        <v>672</v>
      </c>
      <c r="C155" s="247"/>
      <c r="D155" s="247"/>
      <c r="E155" s="372"/>
      <c r="F155" s="360"/>
      <c r="G155" s="248"/>
    </row>
    <row r="156" spans="1:8">
      <c r="A156" s="247"/>
      <c r="B156" s="410" t="s">
        <v>673</v>
      </c>
      <c r="C156" s="247" t="s">
        <v>674</v>
      </c>
      <c r="D156" s="247" t="s">
        <v>675</v>
      </c>
      <c r="E156" s="372">
        <v>1</v>
      </c>
      <c r="F156" s="360">
        <f>'UPAD-BAHAN-ALAT'!$I$12</f>
        <v>110000</v>
      </c>
      <c r="G156" s="248">
        <f>F156*E156</f>
        <v>110000</v>
      </c>
    </row>
    <row r="157" spans="1:8">
      <c r="A157" s="247"/>
      <c r="B157" s="410" t="s">
        <v>677</v>
      </c>
      <c r="C157" s="247" t="s">
        <v>678</v>
      </c>
      <c r="D157" s="247" t="s">
        <v>675</v>
      </c>
      <c r="E157" s="372">
        <v>2</v>
      </c>
      <c r="F157" s="360">
        <f>'UPAD-BAHAN-ALAT'!$I$13</f>
        <v>140000</v>
      </c>
      <c r="G157" s="248">
        <f>F157*E157</f>
        <v>280000</v>
      </c>
    </row>
    <row r="158" spans="1:8">
      <c r="A158" s="247"/>
      <c r="B158" s="410" t="s">
        <v>680</v>
      </c>
      <c r="C158" s="247" t="s">
        <v>681</v>
      </c>
      <c r="D158" s="247" t="s">
        <v>675</v>
      </c>
      <c r="E158" s="372">
        <v>0.2</v>
      </c>
      <c r="F158" s="360">
        <f>'UPAD-BAHAN-ALAT'!$I$15</f>
        <v>150000</v>
      </c>
      <c r="G158" s="248">
        <f>F158*E158</f>
        <v>30000</v>
      </c>
    </row>
    <row r="159" spans="1:8">
      <c r="A159" s="247"/>
      <c r="B159" s="410" t="s">
        <v>683</v>
      </c>
      <c r="C159" s="247" t="s">
        <v>684</v>
      </c>
      <c r="D159" s="247" t="s">
        <v>675</v>
      </c>
      <c r="E159" s="372">
        <v>0.05</v>
      </c>
      <c r="F159" s="360">
        <f>'UPAD-BAHAN-ALAT'!$I$14</f>
        <v>140000</v>
      </c>
      <c r="G159" s="248">
        <f>F159*E159</f>
        <v>7000</v>
      </c>
    </row>
    <row r="160" spans="1:8">
      <c r="A160" s="247"/>
      <c r="B160" s="410"/>
      <c r="C160" s="247"/>
      <c r="D160" s="247"/>
      <c r="E160" s="1146" t="s">
        <v>685</v>
      </c>
      <c r="F160" s="1146"/>
      <c r="G160" s="248">
        <f>SUM(G156:G159)</f>
        <v>427000</v>
      </c>
    </row>
    <row r="161" spans="1:8">
      <c r="A161" s="294" t="s">
        <v>686</v>
      </c>
      <c r="B161" s="411" t="s">
        <v>687</v>
      </c>
      <c r="C161" s="247"/>
      <c r="D161" s="247"/>
      <c r="E161" s="372"/>
      <c r="F161" s="360"/>
      <c r="G161" s="248"/>
    </row>
    <row r="162" spans="1:8">
      <c r="A162" s="247"/>
      <c r="B162" s="256" t="s">
        <v>4026</v>
      </c>
      <c r="C162" s="247"/>
      <c r="D162" s="247" t="s">
        <v>688</v>
      </c>
      <c r="E162" s="372">
        <v>1.25</v>
      </c>
      <c r="F162" s="360">
        <f>'UPAD-BAHAN-ALAT'!$I$91</f>
        <v>21000</v>
      </c>
      <c r="G162" s="248">
        <f t="shared" ref="G162:G169" si="4">F162*E162</f>
        <v>26250</v>
      </c>
    </row>
    <row r="163" spans="1:8">
      <c r="A163" s="247"/>
      <c r="B163" s="410" t="s">
        <v>732</v>
      </c>
      <c r="C163" s="247"/>
      <c r="D163" s="247" t="s">
        <v>2646</v>
      </c>
      <c r="E163" s="372">
        <v>0.186</v>
      </c>
      <c r="F163" s="360">
        <f>'UPAD-BAHAN-ALAT'!$I$96</f>
        <v>3465000</v>
      </c>
      <c r="G163" s="248">
        <f t="shared" si="4"/>
        <v>644490</v>
      </c>
    </row>
    <row r="164" spans="1:8">
      <c r="A164" s="247"/>
      <c r="B164" s="410" t="s">
        <v>734</v>
      </c>
      <c r="C164" s="247"/>
      <c r="D164" s="247" t="s">
        <v>690</v>
      </c>
      <c r="E164" s="372">
        <v>0.3</v>
      </c>
      <c r="F164" s="360">
        <f>'UPAD-BAHAN-ALAT'!$I$139</f>
        <v>21000</v>
      </c>
      <c r="G164" s="248">
        <f t="shared" si="4"/>
        <v>6300</v>
      </c>
    </row>
    <row r="165" spans="1:8">
      <c r="A165" s="247"/>
      <c r="B165" s="410" t="s">
        <v>738</v>
      </c>
      <c r="C165" s="247"/>
      <c r="D165" s="247" t="s">
        <v>690</v>
      </c>
      <c r="E165" s="372">
        <v>18</v>
      </c>
      <c r="F165" s="360">
        <f>$F$143</f>
        <v>1625</v>
      </c>
      <c r="G165" s="248">
        <f t="shared" si="4"/>
        <v>29250</v>
      </c>
    </row>
    <row r="166" spans="1:8">
      <c r="A166" s="247"/>
      <c r="B166" s="410" t="s">
        <v>691</v>
      </c>
      <c r="C166" s="247"/>
      <c r="D166" s="247" t="s">
        <v>2646</v>
      </c>
      <c r="E166" s="372">
        <v>0.03</v>
      </c>
      <c r="F166" s="360">
        <f>'UPAD-BAHAN-ALAT'!$I$71</f>
        <v>176000</v>
      </c>
      <c r="G166" s="248">
        <f t="shared" si="4"/>
        <v>5280</v>
      </c>
    </row>
    <row r="167" spans="1:8">
      <c r="A167" s="247"/>
      <c r="B167" s="410" t="s">
        <v>694</v>
      </c>
      <c r="C167" s="247"/>
      <c r="D167" s="247" t="s">
        <v>2646</v>
      </c>
      <c r="E167" s="372">
        <v>0.05</v>
      </c>
      <c r="F167" s="360">
        <f>'UPAD-BAHAN-ALAT'!$I$51</f>
        <v>298200</v>
      </c>
      <c r="G167" s="248">
        <f t="shared" si="4"/>
        <v>14910</v>
      </c>
    </row>
    <row r="168" spans="1:8">
      <c r="A168" s="247"/>
      <c r="B168" s="410" t="s">
        <v>714</v>
      </c>
      <c r="C168" s="247"/>
      <c r="D168" s="247" t="s">
        <v>715</v>
      </c>
      <c r="E168" s="372">
        <v>1.5</v>
      </c>
      <c r="F168" s="360">
        <f>'UPAD-BAHAN-ALAT'!$I$318</f>
        <v>48000</v>
      </c>
      <c r="G168" s="248">
        <f t="shared" si="4"/>
        <v>72000</v>
      </c>
    </row>
    <row r="169" spans="1:8">
      <c r="A169" s="247"/>
      <c r="B169" s="410" t="s">
        <v>4577</v>
      </c>
      <c r="C169" s="247"/>
      <c r="D169" s="247" t="s">
        <v>715</v>
      </c>
      <c r="E169" s="372">
        <v>1.35</v>
      </c>
      <c r="F169" s="360">
        <f>'UPAD-BAHAN-ALAT'!$I$102</f>
        <v>93500</v>
      </c>
      <c r="G169" s="248">
        <f t="shared" si="4"/>
        <v>126225.00000000001</v>
      </c>
    </row>
    <row r="170" spans="1:8">
      <c r="A170" s="247"/>
      <c r="B170" s="295"/>
      <c r="C170" s="296"/>
      <c r="D170" s="296"/>
      <c r="E170" s="1146" t="s">
        <v>702</v>
      </c>
      <c r="F170" s="1146"/>
      <c r="G170" s="248">
        <f>SUM(G162:G169)</f>
        <v>924705</v>
      </c>
    </row>
    <row r="171" spans="1:8" s="265" customFormat="1">
      <c r="A171" s="294" t="s">
        <v>703</v>
      </c>
      <c r="B171" s="1147" t="s">
        <v>3910</v>
      </c>
      <c r="C171" s="1147"/>
      <c r="D171" s="1147"/>
      <c r="E171" s="1147"/>
      <c r="F171" s="1147"/>
      <c r="G171" s="255">
        <f>G160+G170</f>
        <v>1351705</v>
      </c>
    </row>
    <row r="172" spans="1:8" s="265" customFormat="1">
      <c r="A172" s="294" t="s">
        <v>706</v>
      </c>
      <c r="B172" s="1148" t="s">
        <v>709</v>
      </c>
      <c r="C172" s="1148"/>
      <c r="D172" s="1148"/>
      <c r="E172" s="1147" t="s">
        <v>4030</v>
      </c>
      <c r="F172" s="1147"/>
      <c r="G172" s="255">
        <f>G171*0.15</f>
        <v>202755.75</v>
      </c>
    </row>
    <row r="173" spans="1:8" s="265" customFormat="1">
      <c r="A173" s="294" t="s">
        <v>708</v>
      </c>
      <c r="B173" s="1149" t="s">
        <v>3911</v>
      </c>
      <c r="C173" s="1149"/>
      <c r="D173" s="1149"/>
      <c r="E173" s="1149"/>
      <c r="F173" s="1149"/>
      <c r="G173" s="605">
        <f>ROUND(SUM(G171:G172),2)</f>
        <v>1554460.75</v>
      </c>
      <c r="H173" s="255">
        <f>SUM(G171:G172)</f>
        <v>1554460.75</v>
      </c>
    </row>
    <row r="174" spans="1:8">
      <c r="A174" s="354"/>
      <c r="B174" s="250"/>
      <c r="C174" s="354"/>
      <c r="D174" s="354"/>
      <c r="E174" s="607"/>
      <c r="F174" s="608"/>
      <c r="G174" s="253"/>
    </row>
    <row r="175" spans="1:8" s="265" customFormat="1">
      <c r="A175" s="286" t="s">
        <v>4031</v>
      </c>
      <c r="B175" s="265" t="s">
        <v>2670</v>
      </c>
      <c r="C175" s="286"/>
      <c r="D175" s="286"/>
      <c r="E175" s="597"/>
      <c r="F175" s="598"/>
      <c r="G175" s="599"/>
    </row>
    <row r="176" spans="1:8" s="292" customFormat="1" ht="24.95" customHeight="1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2639</v>
      </c>
      <c r="G176" s="291" t="s">
        <v>2638</v>
      </c>
    </row>
    <row r="177" spans="1:8">
      <c r="A177" s="294" t="s">
        <v>671</v>
      </c>
      <c r="B177" s="411" t="s">
        <v>672</v>
      </c>
      <c r="C177" s="247"/>
      <c r="D177" s="247"/>
      <c r="E177" s="372"/>
      <c r="F177" s="360"/>
      <c r="G177" s="248"/>
    </row>
    <row r="178" spans="1:8">
      <c r="A178" s="247"/>
      <c r="B178" s="410" t="s">
        <v>673</v>
      </c>
      <c r="C178" s="247" t="s">
        <v>674</v>
      </c>
      <c r="D178" s="247" t="s">
        <v>675</v>
      </c>
      <c r="E178" s="372">
        <v>0.1</v>
      </c>
      <c r="F178" s="360">
        <f>'UPAD-BAHAN-ALAT'!$I$12</f>
        <v>110000</v>
      </c>
      <c r="G178" s="248">
        <f>F178*E178</f>
        <v>11000</v>
      </c>
    </row>
    <row r="179" spans="1:8">
      <c r="A179" s="247"/>
      <c r="B179" s="410" t="s">
        <v>683</v>
      </c>
      <c r="C179" s="247" t="s">
        <v>684</v>
      </c>
      <c r="D179" s="247" t="s">
        <v>675</v>
      </c>
      <c r="E179" s="372">
        <v>0.05</v>
      </c>
      <c r="F179" s="360">
        <f>'UPAD-BAHAN-ALAT'!$I$14</f>
        <v>140000</v>
      </c>
      <c r="G179" s="248">
        <f>F179*E179</f>
        <v>7000</v>
      </c>
    </row>
    <row r="180" spans="1:8">
      <c r="A180" s="247"/>
      <c r="B180" s="410"/>
      <c r="C180" s="247"/>
      <c r="D180" s="247"/>
      <c r="E180" s="1155" t="s">
        <v>685</v>
      </c>
      <c r="F180" s="1155"/>
      <c r="G180" s="248">
        <f>SUM(G178:G179)</f>
        <v>18000</v>
      </c>
    </row>
    <row r="181" spans="1:8">
      <c r="A181" s="294" t="s">
        <v>686</v>
      </c>
      <c r="B181" s="411" t="s">
        <v>687</v>
      </c>
      <c r="C181" s="247"/>
      <c r="D181" s="247"/>
      <c r="E181" s="619"/>
      <c r="F181" s="392"/>
      <c r="G181" s="248"/>
    </row>
    <row r="182" spans="1:8">
      <c r="A182" s="247"/>
      <c r="B182" s="295"/>
      <c r="C182" s="296"/>
      <c r="D182" s="296"/>
      <c r="E182" s="1171" t="s">
        <v>702</v>
      </c>
      <c r="F182" s="1172"/>
      <c r="G182" s="248"/>
    </row>
    <row r="183" spans="1:8" s="265" customFormat="1">
      <c r="A183" s="294" t="s">
        <v>703</v>
      </c>
      <c r="B183" s="1147" t="s">
        <v>3910</v>
      </c>
      <c r="C183" s="1147"/>
      <c r="D183" s="1147"/>
      <c r="E183" s="1147"/>
      <c r="F183" s="1147"/>
      <c r="G183" s="255">
        <f>G180+G182</f>
        <v>18000</v>
      </c>
    </row>
    <row r="184" spans="1:8" s="265" customFormat="1">
      <c r="A184" s="294" t="s">
        <v>708</v>
      </c>
      <c r="B184" s="1148" t="s">
        <v>709</v>
      </c>
      <c r="C184" s="1148"/>
      <c r="D184" s="1148"/>
      <c r="E184" s="1147" t="s">
        <v>4030</v>
      </c>
      <c r="F184" s="1147"/>
      <c r="G184" s="255">
        <f>G183*0.15</f>
        <v>2700</v>
      </c>
    </row>
    <row r="185" spans="1:8" s="265" customFormat="1">
      <c r="A185" s="294" t="s">
        <v>708</v>
      </c>
      <c r="B185" s="1149" t="s">
        <v>3911</v>
      </c>
      <c r="C185" s="1149"/>
      <c r="D185" s="1149"/>
      <c r="E185" s="1149"/>
      <c r="F185" s="1149"/>
      <c r="G185" s="605">
        <f>ROUND(SUM(G183:G184),2)</f>
        <v>20700</v>
      </c>
      <c r="H185" s="255">
        <f>SUM(G183:G184)</f>
        <v>20700</v>
      </c>
    </row>
    <row r="187" spans="1:8" s="265" customFormat="1">
      <c r="A187" s="286" t="s">
        <v>4032</v>
      </c>
      <c r="B187" s="265" t="s">
        <v>2671</v>
      </c>
      <c r="C187" s="286"/>
      <c r="D187" s="286"/>
      <c r="E187" s="597"/>
      <c r="F187" s="598"/>
      <c r="G187" s="599"/>
    </row>
    <row r="188" spans="1:8" s="292" customFormat="1" ht="24.95" customHeight="1">
      <c r="A188" s="290" t="s">
        <v>1003</v>
      </c>
      <c r="B188" s="290" t="s">
        <v>1004</v>
      </c>
      <c r="C188" s="290" t="s">
        <v>1005</v>
      </c>
      <c r="D188" s="290" t="s">
        <v>1006</v>
      </c>
      <c r="E188" s="373" t="s">
        <v>1007</v>
      </c>
      <c r="F188" s="363" t="s">
        <v>2637</v>
      </c>
      <c r="G188" s="291" t="s">
        <v>2638</v>
      </c>
    </row>
    <row r="189" spans="1:8">
      <c r="A189" s="294" t="s">
        <v>671</v>
      </c>
      <c r="B189" s="411" t="s">
        <v>672</v>
      </c>
      <c r="C189" s="247"/>
      <c r="D189" s="247"/>
      <c r="E189" s="372"/>
      <c r="F189" s="360"/>
      <c r="G189" s="248"/>
    </row>
    <row r="190" spans="1:8">
      <c r="A190" s="247"/>
      <c r="B190" s="410" t="s">
        <v>673</v>
      </c>
      <c r="C190" s="247" t="s">
        <v>674</v>
      </c>
      <c r="D190" s="247" t="s">
        <v>675</v>
      </c>
      <c r="E190" s="372">
        <v>1</v>
      </c>
      <c r="F190" s="360">
        <f>'UPAD-BAHAN-ALAT'!$I$12</f>
        <v>110000</v>
      </c>
      <c r="G190" s="248">
        <f>F190*E190</f>
        <v>110000</v>
      </c>
    </row>
    <row r="191" spans="1:8">
      <c r="A191" s="247"/>
      <c r="B191" s="410" t="s">
        <v>677</v>
      </c>
      <c r="C191" s="247" t="s">
        <v>678</v>
      </c>
      <c r="D191" s="247" t="s">
        <v>675</v>
      </c>
      <c r="E191" s="372">
        <v>1</v>
      </c>
      <c r="F191" s="360">
        <f>'UPAD-BAHAN-ALAT'!$I$13</f>
        <v>140000</v>
      </c>
      <c r="G191" s="248">
        <f>F191*E191</f>
        <v>140000</v>
      </c>
    </row>
    <row r="192" spans="1:8">
      <c r="A192" s="247"/>
      <c r="B192" s="410" t="s">
        <v>680</v>
      </c>
      <c r="C192" s="247" t="s">
        <v>681</v>
      </c>
      <c r="D192" s="247" t="s">
        <v>675</v>
      </c>
      <c r="E192" s="372">
        <v>0.2</v>
      </c>
      <c r="F192" s="360">
        <f>'UPAD-BAHAN-ALAT'!$I$15</f>
        <v>150000</v>
      </c>
      <c r="G192" s="248">
        <f>F192*E192</f>
        <v>30000</v>
      </c>
    </row>
    <row r="193" spans="1:8">
      <c r="A193" s="247"/>
      <c r="B193" s="410" t="s">
        <v>683</v>
      </c>
      <c r="C193" s="247" t="s">
        <v>684</v>
      </c>
      <c r="D193" s="247" t="s">
        <v>675</v>
      </c>
      <c r="E193" s="372">
        <v>0.05</v>
      </c>
      <c r="F193" s="360">
        <f>'UPAD-BAHAN-ALAT'!$I$14</f>
        <v>140000</v>
      </c>
      <c r="G193" s="248">
        <f>F193*E193</f>
        <v>7000</v>
      </c>
    </row>
    <row r="194" spans="1:8">
      <c r="A194" s="247"/>
      <c r="B194" s="410"/>
      <c r="C194" s="247"/>
      <c r="D194" s="247"/>
      <c r="E194" s="1146" t="s">
        <v>685</v>
      </c>
      <c r="F194" s="1146"/>
      <c r="G194" s="248">
        <f>SUM(G190:G193)</f>
        <v>287000</v>
      </c>
    </row>
    <row r="195" spans="1:8">
      <c r="A195" s="294" t="s">
        <v>686</v>
      </c>
      <c r="B195" s="411" t="s">
        <v>687</v>
      </c>
      <c r="C195" s="247"/>
      <c r="D195" s="247"/>
      <c r="E195" s="372"/>
      <c r="F195" s="360"/>
      <c r="G195" s="248"/>
    </row>
    <row r="196" spans="1:8">
      <c r="A196" s="247"/>
      <c r="B196" s="410" t="s">
        <v>2642</v>
      </c>
      <c r="C196" s="247"/>
      <c r="D196" s="247" t="s">
        <v>688</v>
      </c>
      <c r="E196" s="372">
        <v>1.25</v>
      </c>
      <c r="F196" s="360">
        <f>'UPAD-BAHAN-ALAT'!$I$106</f>
        <v>16500</v>
      </c>
      <c r="G196" s="248">
        <f>F196*E196</f>
        <v>20625</v>
      </c>
    </row>
    <row r="197" spans="1:8">
      <c r="A197" s="247"/>
      <c r="B197" s="410" t="s">
        <v>769</v>
      </c>
      <c r="C197" s="247"/>
      <c r="D197" s="247" t="s">
        <v>773</v>
      </c>
      <c r="E197" s="372">
        <v>0.186</v>
      </c>
      <c r="F197" s="360">
        <f>'UPAD-BAHAN-ALAT'!$I$90</f>
        <v>33000</v>
      </c>
      <c r="G197" s="248">
        <f>F197*E197</f>
        <v>6138</v>
      </c>
    </row>
    <row r="198" spans="1:8">
      <c r="A198" s="247"/>
      <c r="B198" s="295"/>
      <c r="C198" s="296"/>
      <c r="D198" s="296"/>
      <c r="E198" s="1146" t="s">
        <v>702</v>
      </c>
      <c r="F198" s="1146"/>
      <c r="G198" s="248">
        <f>SUM(G196:G197)</f>
        <v>26763</v>
      </c>
    </row>
    <row r="199" spans="1:8" s="265" customFormat="1">
      <c r="A199" s="294" t="s">
        <v>703</v>
      </c>
      <c r="B199" s="1147" t="s">
        <v>3910</v>
      </c>
      <c r="C199" s="1147"/>
      <c r="D199" s="1147"/>
      <c r="E199" s="1147"/>
      <c r="F199" s="1147"/>
      <c r="G199" s="255">
        <f>G194+G198</f>
        <v>313763</v>
      </c>
    </row>
    <row r="200" spans="1:8" s="265" customFormat="1">
      <c r="A200" s="294" t="s">
        <v>706</v>
      </c>
      <c r="B200" s="1148" t="s">
        <v>709</v>
      </c>
      <c r="C200" s="1148"/>
      <c r="D200" s="1148"/>
      <c r="E200" s="1147" t="s">
        <v>4030</v>
      </c>
      <c r="F200" s="1147"/>
      <c r="G200" s="255">
        <f>G199*0.15</f>
        <v>47064.45</v>
      </c>
    </row>
    <row r="201" spans="1:8" s="265" customFormat="1">
      <c r="A201" s="294" t="s">
        <v>708</v>
      </c>
      <c r="B201" s="1149" t="s">
        <v>3911</v>
      </c>
      <c r="C201" s="1149"/>
      <c r="D201" s="1149"/>
      <c r="E201" s="1149"/>
      <c r="F201" s="1149"/>
      <c r="G201" s="605">
        <f>ROUND(SUM(G199:G200),2)</f>
        <v>360827.45</v>
      </c>
      <c r="H201" s="255">
        <f>SUM(G199:G200)</f>
        <v>360827.45</v>
      </c>
    </row>
    <row r="202" spans="1:8">
      <c r="A202" s="252"/>
      <c r="B202" s="251"/>
      <c r="C202" s="252"/>
      <c r="D202" s="252"/>
      <c r="E202" s="374"/>
      <c r="F202" s="361"/>
      <c r="G202" s="253"/>
    </row>
    <row r="203" spans="1:8" s="265" customFormat="1" hidden="1">
      <c r="A203" s="286" t="s">
        <v>4033</v>
      </c>
      <c r="B203" s="265" t="s">
        <v>2672</v>
      </c>
      <c r="C203" s="286"/>
      <c r="D203" s="286"/>
      <c r="E203" s="597"/>
      <c r="F203" s="598"/>
      <c r="G203" s="599"/>
    </row>
    <row r="204" spans="1:8" s="292" customFormat="1" ht="24.95" hidden="1" customHeight="1">
      <c r="A204" s="290" t="s">
        <v>1003</v>
      </c>
      <c r="B204" s="290" t="s">
        <v>1004</v>
      </c>
      <c r="C204" s="290" t="s">
        <v>1005</v>
      </c>
      <c r="D204" s="290" t="s">
        <v>1006</v>
      </c>
      <c r="E204" s="373" t="s">
        <v>1007</v>
      </c>
      <c r="F204" s="363" t="s">
        <v>2637</v>
      </c>
      <c r="G204" s="291" t="s">
        <v>2638</v>
      </c>
    </row>
    <row r="205" spans="1:8" hidden="1">
      <c r="A205" s="294" t="s">
        <v>671</v>
      </c>
      <c r="B205" s="411" t="s">
        <v>672</v>
      </c>
      <c r="C205" s="247"/>
      <c r="D205" s="247"/>
      <c r="E205" s="372"/>
      <c r="F205" s="360"/>
      <c r="G205" s="248"/>
    </row>
    <row r="206" spans="1:8" hidden="1">
      <c r="A206" s="294"/>
      <c r="B206" s="410" t="s">
        <v>677</v>
      </c>
      <c r="C206" s="247" t="s">
        <v>678</v>
      </c>
      <c r="D206" s="247" t="s">
        <v>675</v>
      </c>
      <c r="E206" s="372">
        <v>0.3</v>
      </c>
      <c r="F206" s="360">
        <f>'UPAD-BAHAN-ALAT'!$I$13</f>
        <v>140000</v>
      </c>
      <c r="G206" s="248">
        <f>F206*E206</f>
        <v>42000</v>
      </c>
    </row>
    <row r="207" spans="1:8" hidden="1">
      <c r="A207" s="294"/>
      <c r="B207" s="410" t="s">
        <v>680</v>
      </c>
      <c r="C207" s="247" t="s">
        <v>681</v>
      </c>
      <c r="D207" s="247" t="s">
        <v>675</v>
      </c>
      <c r="E207" s="372">
        <v>0.03</v>
      </c>
      <c r="F207" s="360">
        <f>'UPAD-BAHAN-ALAT'!$I$15</f>
        <v>150000</v>
      </c>
      <c r="G207" s="248">
        <f>F207*E207</f>
        <v>4500</v>
      </c>
    </row>
    <row r="208" spans="1:8" hidden="1">
      <c r="A208" s="294"/>
      <c r="B208" s="410"/>
      <c r="C208" s="247"/>
      <c r="D208" s="247"/>
      <c r="E208" s="1146" t="s">
        <v>685</v>
      </c>
      <c r="F208" s="1146"/>
      <c r="G208" s="248">
        <f>SUM(G206:G207)</f>
        <v>46500</v>
      </c>
    </row>
    <row r="209" spans="1:8" hidden="1">
      <c r="A209" s="294" t="s">
        <v>686</v>
      </c>
      <c r="B209" s="411" t="s">
        <v>687</v>
      </c>
      <c r="C209" s="247"/>
      <c r="D209" s="247"/>
      <c r="E209" s="372"/>
      <c r="F209" s="360"/>
      <c r="G209" s="248"/>
    </row>
    <row r="210" spans="1:8" hidden="1">
      <c r="A210" s="294"/>
      <c r="B210" s="410" t="s">
        <v>771</v>
      </c>
      <c r="C210" s="247"/>
      <c r="D210" s="247" t="s">
        <v>2646</v>
      </c>
      <c r="E210" s="372">
        <v>3.5999999999999997E-2</v>
      </c>
      <c r="F210" s="360">
        <f>'UPAD-BAHAN-ALAT'!$I$96</f>
        <v>3465000</v>
      </c>
      <c r="G210" s="248">
        <f>F210*E210</f>
        <v>124739.99999999999</v>
      </c>
    </row>
    <row r="211" spans="1:8" hidden="1">
      <c r="A211" s="294"/>
      <c r="B211" s="256" t="s">
        <v>4034</v>
      </c>
      <c r="C211" s="247"/>
      <c r="D211" s="247" t="s">
        <v>2646</v>
      </c>
      <c r="E211" s="372"/>
      <c r="F211" s="360">
        <f>'UPAD-BAHAN-ALAT'!$I$96</f>
        <v>3465000</v>
      </c>
      <c r="G211" s="248">
        <f>F211*E211</f>
        <v>0</v>
      </c>
    </row>
    <row r="212" spans="1:8" hidden="1">
      <c r="A212" s="294"/>
      <c r="B212" s="410" t="s">
        <v>734</v>
      </c>
      <c r="C212" s="247"/>
      <c r="D212" s="247" t="s">
        <v>773</v>
      </c>
      <c r="E212" s="372">
        <v>0.08</v>
      </c>
      <c r="F212" s="360">
        <f>'UPAD-BAHAN-ALAT'!$I$139</f>
        <v>21000</v>
      </c>
      <c r="G212" s="248">
        <f>F212*E212</f>
        <v>1680</v>
      </c>
    </row>
    <row r="213" spans="1:8" hidden="1">
      <c r="A213" s="294"/>
      <c r="B213" s="295"/>
      <c r="C213" s="296"/>
      <c r="D213" s="296"/>
      <c r="E213" s="1146" t="s">
        <v>702</v>
      </c>
      <c r="F213" s="1146"/>
      <c r="G213" s="248">
        <f>SUM(G210:G212)</f>
        <v>126419.99999999999</v>
      </c>
    </row>
    <row r="214" spans="1:8" hidden="1">
      <c r="A214" s="294" t="s">
        <v>703</v>
      </c>
      <c r="B214" s="1144" t="s">
        <v>3910</v>
      </c>
      <c r="C214" s="1144"/>
      <c r="D214" s="1144"/>
      <c r="E214" s="1144"/>
      <c r="F214" s="1144"/>
      <c r="G214" s="248">
        <f>G208+G213</f>
        <v>172920</v>
      </c>
    </row>
    <row r="215" spans="1:8" hidden="1">
      <c r="A215" s="294" t="s">
        <v>706</v>
      </c>
      <c r="B215" s="1174" t="s">
        <v>709</v>
      </c>
      <c r="C215" s="1174"/>
      <c r="D215" s="1174"/>
      <c r="E215" s="1144" t="s">
        <v>4030</v>
      </c>
      <c r="F215" s="1144"/>
      <c r="G215" s="248">
        <f>G214*15%</f>
        <v>25938</v>
      </c>
    </row>
    <row r="216" spans="1:8" hidden="1">
      <c r="A216" s="294" t="s">
        <v>708</v>
      </c>
      <c r="B216" s="1173" t="s">
        <v>3911</v>
      </c>
      <c r="C216" s="1173"/>
      <c r="D216" s="1173"/>
      <c r="E216" s="1173"/>
      <c r="F216" s="1173"/>
      <c r="G216" s="620">
        <f>ROUND(H216,2)</f>
        <v>198858</v>
      </c>
      <c r="H216" s="248">
        <f>SUM(G214:G215)</f>
        <v>198858</v>
      </c>
    </row>
    <row r="217" spans="1:8" hidden="1"/>
    <row r="218" spans="1:8" s="265" customFormat="1">
      <c r="A218" s="286" t="s">
        <v>4035</v>
      </c>
      <c r="B218" s="265" t="s">
        <v>2673</v>
      </c>
      <c r="C218" s="286"/>
      <c r="D218" s="286"/>
      <c r="E218" s="597"/>
      <c r="F218" s="598"/>
      <c r="G218" s="599"/>
    </row>
    <row r="219" spans="1:8" s="292" customFormat="1" ht="24.95" customHeight="1">
      <c r="A219" s="290" t="s">
        <v>1003</v>
      </c>
      <c r="B219" s="290" t="s">
        <v>1004</v>
      </c>
      <c r="C219" s="290" t="s">
        <v>1005</v>
      </c>
      <c r="D219" s="290" t="s">
        <v>1006</v>
      </c>
      <c r="E219" s="373" t="s">
        <v>1007</v>
      </c>
      <c r="F219" s="363" t="s">
        <v>2637</v>
      </c>
      <c r="G219" s="291" t="s">
        <v>2638</v>
      </c>
    </row>
    <row r="220" spans="1:8">
      <c r="A220" s="294" t="s">
        <v>671</v>
      </c>
      <c r="B220" s="411" t="s">
        <v>672</v>
      </c>
      <c r="C220" s="247"/>
      <c r="D220" s="247"/>
      <c r="E220" s="372"/>
      <c r="F220" s="360"/>
      <c r="G220" s="248"/>
    </row>
    <row r="221" spans="1:8">
      <c r="A221" s="247"/>
      <c r="B221" s="410" t="s">
        <v>673</v>
      </c>
      <c r="C221" s="247" t="s">
        <v>674</v>
      </c>
      <c r="D221" s="247"/>
      <c r="E221" s="372">
        <v>1</v>
      </c>
      <c r="F221" s="360">
        <f>'UPAD-BAHAN-ALAT'!$I$12</f>
        <v>110000</v>
      </c>
      <c r="G221" s="248">
        <f>F221*E221</f>
        <v>110000</v>
      </c>
    </row>
    <row r="222" spans="1:8">
      <c r="A222" s="247"/>
      <c r="B222" s="410" t="s">
        <v>683</v>
      </c>
      <c r="C222" s="247" t="s">
        <v>684</v>
      </c>
      <c r="D222" s="247"/>
      <c r="E222" s="372">
        <v>5.0000000000000001E-3</v>
      </c>
      <c r="F222" s="360">
        <f>'UPAD-BAHAN-ALAT'!$I$14</f>
        <v>140000</v>
      </c>
      <c r="G222" s="248">
        <f>F222*E222</f>
        <v>700</v>
      </c>
    </row>
    <row r="223" spans="1:8">
      <c r="A223" s="247"/>
      <c r="B223" s="410"/>
      <c r="C223" s="247"/>
      <c r="D223" s="247"/>
      <c r="E223" s="1146" t="s">
        <v>685</v>
      </c>
      <c r="F223" s="1146"/>
      <c r="G223" s="248">
        <f>SUM(G221:G222)</f>
        <v>110700</v>
      </c>
    </row>
    <row r="224" spans="1:8">
      <c r="A224" s="294" t="s">
        <v>686</v>
      </c>
      <c r="B224" s="411" t="s">
        <v>687</v>
      </c>
      <c r="C224" s="247"/>
      <c r="D224" s="247"/>
      <c r="E224" s="372"/>
      <c r="F224" s="360"/>
      <c r="G224" s="248"/>
    </row>
    <row r="225" spans="1:8">
      <c r="A225" s="247"/>
      <c r="B225" s="410" t="s">
        <v>776</v>
      </c>
      <c r="C225" s="247"/>
      <c r="D225" s="247" t="s">
        <v>2646</v>
      </c>
      <c r="E225" s="372">
        <v>0.15</v>
      </c>
      <c r="F225" s="360">
        <f>'UPAD-BAHAN-ALAT'!I52</f>
        <v>298200</v>
      </c>
      <c r="G225" s="248">
        <f>F225*E225</f>
        <v>44730</v>
      </c>
    </row>
    <row r="226" spans="1:8">
      <c r="A226" s="247"/>
      <c r="B226" s="410" t="s">
        <v>777</v>
      </c>
      <c r="C226" s="247"/>
      <c r="D226" s="247" t="s">
        <v>2646</v>
      </c>
      <c r="E226" s="372">
        <v>0.09</v>
      </c>
      <c r="F226" s="360">
        <f>'UPAD-BAHAN-ALAT'!I53</f>
        <v>477000</v>
      </c>
      <c r="G226" s="248">
        <f>F226*E226</f>
        <v>42930</v>
      </c>
    </row>
    <row r="227" spans="1:8">
      <c r="A227" s="247"/>
      <c r="B227" s="410" t="s">
        <v>739</v>
      </c>
      <c r="C227" s="247"/>
      <c r="D227" s="247" t="s">
        <v>2646</v>
      </c>
      <c r="E227" s="372">
        <v>0.01</v>
      </c>
      <c r="F227" s="360">
        <f>'UPAD-BAHAN-ALAT'!I71</f>
        <v>176000</v>
      </c>
      <c r="G227" s="248">
        <f>F227*E227</f>
        <v>1760</v>
      </c>
    </row>
    <row r="228" spans="1:8">
      <c r="A228" s="247"/>
      <c r="B228" s="295"/>
      <c r="C228" s="296"/>
      <c r="D228" s="296"/>
      <c r="E228" s="1146" t="s">
        <v>702</v>
      </c>
      <c r="F228" s="1146"/>
      <c r="G228" s="248">
        <f>SUM(G225:G227)</f>
        <v>89420</v>
      </c>
    </row>
    <row r="229" spans="1:8" s="265" customFormat="1">
      <c r="A229" s="294" t="s">
        <v>703</v>
      </c>
      <c r="B229" s="1147" t="s">
        <v>3910</v>
      </c>
      <c r="C229" s="1147"/>
      <c r="D229" s="1147"/>
      <c r="E229" s="1147"/>
      <c r="F229" s="1147"/>
      <c r="G229" s="255">
        <f>G223+G228</f>
        <v>200120</v>
      </c>
    </row>
    <row r="230" spans="1:8" s="265" customFormat="1">
      <c r="A230" s="294" t="s">
        <v>706</v>
      </c>
      <c r="B230" s="1148" t="s">
        <v>709</v>
      </c>
      <c r="C230" s="1148"/>
      <c r="D230" s="1148"/>
      <c r="E230" s="1147" t="s">
        <v>4030</v>
      </c>
      <c r="F230" s="1147"/>
      <c r="G230" s="255">
        <f>G229*0.15</f>
        <v>30018</v>
      </c>
    </row>
    <row r="231" spans="1:8" s="265" customFormat="1">
      <c r="A231" s="294" t="s">
        <v>708</v>
      </c>
      <c r="B231" s="1149" t="s">
        <v>3911</v>
      </c>
      <c r="C231" s="1149"/>
      <c r="D231" s="1149"/>
      <c r="E231" s="1149"/>
      <c r="F231" s="1149"/>
      <c r="G231" s="605">
        <f>ROUND(SUM(G229:G230),2)</f>
        <v>230138</v>
      </c>
      <c r="H231" s="255">
        <f>SUM(G229:G230)</f>
        <v>230138</v>
      </c>
    </row>
    <row r="232" spans="1:8">
      <c r="A232" s="252"/>
      <c r="B232" s="251"/>
      <c r="C232" s="252"/>
      <c r="D232" s="252"/>
      <c r="E232" s="374"/>
      <c r="F232" s="361"/>
      <c r="G232" s="253"/>
    </row>
    <row r="233" spans="1:8" s="265" customFormat="1">
      <c r="A233" s="286" t="s">
        <v>4036</v>
      </c>
      <c r="B233" s="265" t="s">
        <v>2674</v>
      </c>
      <c r="C233" s="286"/>
      <c r="D233" s="286"/>
      <c r="E233" s="597"/>
      <c r="F233" s="598"/>
      <c r="G233" s="599"/>
    </row>
    <row r="234" spans="1:8" s="292" customFormat="1" ht="24.95" customHeight="1">
      <c r="A234" s="290" t="s">
        <v>1003</v>
      </c>
      <c r="B234" s="290" t="s">
        <v>1004</v>
      </c>
      <c r="C234" s="290" t="s">
        <v>1005</v>
      </c>
      <c r="D234" s="290" t="s">
        <v>1006</v>
      </c>
      <c r="E234" s="373" t="s">
        <v>1007</v>
      </c>
      <c r="F234" s="363" t="s">
        <v>2637</v>
      </c>
      <c r="G234" s="291" t="s">
        <v>2638</v>
      </c>
    </row>
    <row r="235" spans="1:8">
      <c r="A235" s="294" t="s">
        <v>671</v>
      </c>
      <c r="B235" s="411" t="s">
        <v>672</v>
      </c>
      <c r="C235" s="247"/>
      <c r="D235" s="247"/>
      <c r="E235" s="372"/>
      <c r="F235" s="360"/>
      <c r="G235" s="248"/>
    </row>
    <row r="236" spans="1:8">
      <c r="A236" s="247"/>
      <c r="B236" s="410" t="s">
        <v>673</v>
      </c>
      <c r="C236" s="247" t="s">
        <v>674</v>
      </c>
      <c r="D236" s="247"/>
      <c r="E236" s="372">
        <v>13.334</v>
      </c>
      <c r="F236" s="360">
        <f>'UPAD-BAHAN-ALAT'!$I$12</f>
        <v>110000</v>
      </c>
      <c r="G236" s="248">
        <f>F236*E236</f>
        <v>1466740</v>
      </c>
    </row>
    <row r="237" spans="1:8">
      <c r="A237" s="247"/>
      <c r="B237" s="410" t="s">
        <v>683</v>
      </c>
      <c r="C237" s="247" t="s">
        <v>684</v>
      </c>
      <c r="D237" s="247"/>
      <c r="E237" s="372">
        <v>0.66600000000000004</v>
      </c>
      <c r="F237" s="360">
        <f>'UPAD-BAHAN-ALAT'!$I$14</f>
        <v>140000</v>
      </c>
      <c r="G237" s="248">
        <f>F237*E237</f>
        <v>93240</v>
      </c>
    </row>
    <row r="238" spans="1:8">
      <c r="A238" s="247"/>
      <c r="B238" s="410"/>
      <c r="C238" s="247"/>
      <c r="D238" s="247"/>
      <c r="E238" s="1146" t="s">
        <v>685</v>
      </c>
      <c r="F238" s="1146"/>
      <c r="G238" s="248">
        <f>SUM(G236:G237)</f>
        <v>1559980</v>
      </c>
    </row>
    <row r="239" spans="1:8">
      <c r="A239" s="294" t="s">
        <v>686</v>
      </c>
      <c r="B239" s="411" t="s">
        <v>687</v>
      </c>
      <c r="C239" s="247"/>
      <c r="D239" s="247"/>
      <c r="E239" s="372"/>
      <c r="F239" s="360"/>
      <c r="G239" s="248"/>
    </row>
    <row r="240" spans="1:8">
      <c r="A240" s="247"/>
      <c r="B240" s="295"/>
      <c r="C240" s="296"/>
      <c r="D240" s="296"/>
      <c r="E240" s="1146" t="s">
        <v>702</v>
      </c>
      <c r="F240" s="1146"/>
      <c r="G240" s="248"/>
    </row>
    <row r="241" spans="1:8" s="265" customFormat="1">
      <c r="A241" s="294" t="s">
        <v>703</v>
      </c>
      <c r="B241" s="1147" t="s">
        <v>3910</v>
      </c>
      <c r="C241" s="1147"/>
      <c r="D241" s="1147"/>
      <c r="E241" s="1147"/>
      <c r="F241" s="1147"/>
      <c r="G241" s="255">
        <f>G238+G240</f>
        <v>1559980</v>
      </c>
    </row>
    <row r="242" spans="1:8" s="265" customFormat="1">
      <c r="A242" s="294" t="s">
        <v>706</v>
      </c>
      <c r="B242" s="1148" t="s">
        <v>709</v>
      </c>
      <c r="C242" s="1148"/>
      <c r="D242" s="1148"/>
      <c r="E242" s="1147" t="s">
        <v>4030</v>
      </c>
      <c r="F242" s="1147"/>
      <c r="G242" s="255">
        <f>G241*0.15</f>
        <v>233997</v>
      </c>
    </row>
    <row r="243" spans="1:8" s="265" customFormat="1">
      <c r="A243" s="294" t="s">
        <v>708</v>
      </c>
      <c r="B243" s="1149" t="s">
        <v>3911</v>
      </c>
      <c r="C243" s="1149"/>
      <c r="D243" s="1149"/>
      <c r="E243" s="1149"/>
      <c r="F243" s="1149"/>
      <c r="G243" s="605">
        <f>ROUND(SUM(G241:G242),2)</f>
        <v>1793977</v>
      </c>
      <c r="H243" s="255">
        <f>SUM(G241:G242)</f>
        <v>1793977</v>
      </c>
    </row>
    <row r="245" spans="1:8" s="265" customFormat="1">
      <c r="A245" s="600" t="s">
        <v>4037</v>
      </c>
      <c r="B245" s="621" t="s">
        <v>2675</v>
      </c>
      <c r="C245" s="286"/>
      <c r="D245" s="286"/>
      <c r="E245" s="597"/>
      <c r="F245" s="598"/>
      <c r="G245" s="599"/>
    </row>
    <row r="246" spans="1:8" s="292" customFormat="1" ht="24.95" customHeight="1">
      <c r="A246" s="290" t="s">
        <v>1003</v>
      </c>
      <c r="B246" s="290" t="s">
        <v>1004</v>
      </c>
      <c r="C246" s="290" t="s">
        <v>1005</v>
      </c>
      <c r="D246" s="290" t="s">
        <v>1006</v>
      </c>
      <c r="E246" s="373" t="s">
        <v>1007</v>
      </c>
      <c r="F246" s="363" t="s">
        <v>2637</v>
      </c>
      <c r="G246" s="291" t="s">
        <v>2638</v>
      </c>
    </row>
    <row r="247" spans="1:8">
      <c r="A247" s="294" t="s">
        <v>671</v>
      </c>
      <c r="B247" s="411" t="s">
        <v>672</v>
      </c>
      <c r="C247" s="247"/>
      <c r="D247" s="247"/>
      <c r="E247" s="372"/>
      <c r="F247" s="360"/>
      <c r="G247" s="248"/>
    </row>
    <row r="248" spans="1:8">
      <c r="A248" s="247"/>
      <c r="B248" s="410" t="s">
        <v>673</v>
      </c>
      <c r="C248" s="247" t="s">
        <v>674</v>
      </c>
      <c r="D248" s="247"/>
      <c r="E248" s="372">
        <v>6.6669999999999998</v>
      </c>
      <c r="F248" s="360">
        <f>'UPAD-BAHAN-ALAT'!$I$12</f>
        <v>110000</v>
      </c>
      <c r="G248" s="248">
        <f>F248*E248</f>
        <v>733370</v>
      </c>
    </row>
    <row r="249" spans="1:8">
      <c r="A249" s="247"/>
      <c r="B249" s="410" t="s">
        <v>683</v>
      </c>
      <c r="C249" s="247" t="s">
        <v>684</v>
      </c>
      <c r="D249" s="247"/>
      <c r="E249" s="372">
        <v>0.33300000000000002</v>
      </c>
      <c r="F249" s="360">
        <f>'UPAD-BAHAN-ALAT'!$I$14</f>
        <v>140000</v>
      </c>
      <c r="G249" s="248">
        <f>F249*E249</f>
        <v>46620</v>
      </c>
    </row>
    <row r="250" spans="1:8">
      <c r="A250" s="247"/>
      <c r="B250" s="410"/>
      <c r="C250" s="247"/>
      <c r="D250" s="247"/>
      <c r="E250" s="1146" t="s">
        <v>685</v>
      </c>
      <c r="F250" s="1146"/>
      <c r="G250" s="248">
        <f>SUM(G248:G249)</f>
        <v>779990</v>
      </c>
    </row>
    <row r="251" spans="1:8">
      <c r="A251" s="294" t="s">
        <v>686</v>
      </c>
      <c r="B251" s="411" t="s">
        <v>687</v>
      </c>
      <c r="C251" s="247"/>
      <c r="D251" s="247"/>
      <c r="E251" s="372"/>
      <c r="F251" s="360"/>
      <c r="G251" s="248"/>
    </row>
    <row r="252" spans="1:8">
      <c r="A252" s="247"/>
      <c r="B252" s="295"/>
      <c r="C252" s="296"/>
      <c r="D252" s="296"/>
      <c r="E252" s="1146" t="s">
        <v>702</v>
      </c>
      <c r="F252" s="1146"/>
      <c r="G252" s="248"/>
    </row>
    <row r="253" spans="1:8" s="265" customFormat="1">
      <c r="A253" s="294" t="s">
        <v>703</v>
      </c>
      <c r="B253" s="1147" t="s">
        <v>3910</v>
      </c>
      <c r="C253" s="1147"/>
      <c r="D253" s="1147"/>
      <c r="E253" s="1147"/>
      <c r="F253" s="1147"/>
      <c r="G253" s="255">
        <f>G250+G252</f>
        <v>779990</v>
      </c>
    </row>
    <row r="254" spans="1:8" s="265" customFormat="1">
      <c r="A254" s="294" t="s">
        <v>706</v>
      </c>
      <c r="B254" s="1148" t="s">
        <v>709</v>
      </c>
      <c r="C254" s="1148"/>
      <c r="D254" s="1148"/>
      <c r="E254" s="1147" t="s">
        <v>4030</v>
      </c>
      <c r="F254" s="1147"/>
      <c r="G254" s="255">
        <f>G253*0.15</f>
        <v>116998.5</v>
      </c>
    </row>
    <row r="255" spans="1:8" s="265" customFormat="1">
      <c r="A255" s="294" t="s">
        <v>708</v>
      </c>
      <c r="B255" s="1149" t="s">
        <v>3911</v>
      </c>
      <c r="C255" s="1149"/>
      <c r="D255" s="1149"/>
      <c r="E255" s="1149"/>
      <c r="F255" s="1149"/>
      <c r="G255" s="605">
        <f>ROUND(SUM(G253:G254),2)</f>
        <v>896988.5</v>
      </c>
      <c r="H255" s="255">
        <f>SUM(G253:G254)</f>
        <v>896988.5</v>
      </c>
    </row>
    <row r="257" spans="1:8" s="265" customFormat="1">
      <c r="A257" s="600" t="s">
        <v>4038</v>
      </c>
      <c r="B257" s="265" t="s">
        <v>3530</v>
      </c>
      <c r="C257" s="286"/>
      <c r="D257" s="286"/>
      <c r="E257" s="597"/>
      <c r="F257" s="598"/>
      <c r="G257" s="599"/>
    </row>
    <row r="258" spans="1:8" s="292" customFormat="1" ht="24.95" customHeight="1">
      <c r="A258" s="290" t="s">
        <v>1003</v>
      </c>
      <c r="B258" s="290" t="s">
        <v>1004</v>
      </c>
      <c r="C258" s="290" t="s">
        <v>1005</v>
      </c>
      <c r="D258" s="290" t="s">
        <v>1006</v>
      </c>
      <c r="E258" s="373" t="s">
        <v>1007</v>
      </c>
      <c r="F258" s="363" t="s">
        <v>2637</v>
      </c>
      <c r="G258" s="291" t="s">
        <v>2638</v>
      </c>
    </row>
    <row r="259" spans="1:8">
      <c r="A259" s="294" t="s">
        <v>671</v>
      </c>
      <c r="B259" s="411" t="s">
        <v>672</v>
      </c>
      <c r="C259" s="247"/>
      <c r="D259" s="247"/>
      <c r="E259" s="372"/>
      <c r="F259" s="360"/>
      <c r="G259" s="248"/>
    </row>
    <row r="260" spans="1:8">
      <c r="A260" s="247"/>
      <c r="B260" s="410" t="s">
        <v>673</v>
      </c>
      <c r="C260" s="247" t="s">
        <v>674</v>
      </c>
      <c r="D260" s="247"/>
      <c r="E260" s="372">
        <v>4.2000000000000003E-2</v>
      </c>
      <c r="F260" s="360">
        <f>'UPAD-BAHAN-ALAT'!$I$12</f>
        <v>110000</v>
      </c>
      <c r="G260" s="248">
        <f>F260*E260</f>
        <v>4620</v>
      </c>
    </row>
    <row r="261" spans="1:8">
      <c r="A261" s="247"/>
      <c r="B261" s="410" t="s">
        <v>782</v>
      </c>
      <c r="C261" s="247" t="s">
        <v>678</v>
      </c>
      <c r="D261" s="247"/>
      <c r="E261" s="372">
        <v>4.0000000000000001E-3</v>
      </c>
      <c r="F261" s="360">
        <f>'UPAD-BAHAN-ALAT'!$I$13</f>
        <v>140000</v>
      </c>
      <c r="G261" s="248">
        <f>F261*E261</f>
        <v>560</v>
      </c>
    </row>
    <row r="262" spans="1:8">
      <c r="A262" s="247"/>
      <c r="B262" s="410" t="s">
        <v>680</v>
      </c>
      <c r="C262" s="247" t="s">
        <v>681</v>
      </c>
      <c r="D262" s="247"/>
      <c r="E262" s="372">
        <v>2E-3</v>
      </c>
      <c r="F262" s="360">
        <f>'UPAD-BAHAN-ALAT'!$I$15</f>
        <v>150000</v>
      </c>
      <c r="G262" s="248">
        <f>F262*E262</f>
        <v>300</v>
      </c>
    </row>
    <row r="263" spans="1:8">
      <c r="A263" s="247"/>
      <c r="B263" s="410" t="s">
        <v>683</v>
      </c>
      <c r="C263" s="247" t="s">
        <v>684</v>
      </c>
      <c r="D263" s="247"/>
      <c r="E263" s="372">
        <v>4.2000000000000003E-2</v>
      </c>
      <c r="F263" s="360">
        <f>'UPAD-BAHAN-ALAT'!$I$14</f>
        <v>140000</v>
      </c>
      <c r="G263" s="248">
        <f>F263*E263</f>
        <v>5880</v>
      </c>
    </row>
    <row r="264" spans="1:8">
      <c r="A264" s="247"/>
      <c r="B264" s="410"/>
      <c r="C264" s="247"/>
      <c r="D264" s="247"/>
      <c r="E264" s="1146" t="s">
        <v>685</v>
      </c>
      <c r="F264" s="1146"/>
      <c r="G264" s="248">
        <f>SUM(G260:G263)</f>
        <v>11360</v>
      </c>
    </row>
    <row r="265" spans="1:8">
      <c r="A265" s="294" t="s">
        <v>686</v>
      </c>
      <c r="B265" s="411" t="s">
        <v>687</v>
      </c>
      <c r="C265" s="247"/>
      <c r="D265" s="247"/>
      <c r="E265" s="372"/>
      <c r="F265" s="360"/>
      <c r="G265" s="248"/>
    </row>
    <row r="266" spans="1:8">
      <c r="A266" s="247"/>
      <c r="B266" s="410" t="s">
        <v>785</v>
      </c>
      <c r="C266" s="247"/>
      <c r="D266" s="247" t="s">
        <v>715</v>
      </c>
      <c r="E266" s="372">
        <v>0.1434</v>
      </c>
      <c r="F266" s="360">
        <f>'UPAD-BAHAN-ALAT'!$I$122</f>
        <v>303450</v>
      </c>
      <c r="G266" s="248">
        <f>F266*E266</f>
        <v>43514.73</v>
      </c>
    </row>
    <row r="267" spans="1:8">
      <c r="A267" s="247"/>
      <c r="B267" s="295"/>
      <c r="C267" s="296"/>
      <c r="D267" s="296"/>
      <c r="E267" s="1146" t="s">
        <v>702</v>
      </c>
      <c r="F267" s="1146"/>
      <c r="G267" s="248">
        <f>SUM(G266)</f>
        <v>43514.73</v>
      </c>
    </row>
    <row r="268" spans="1:8" s="265" customFormat="1">
      <c r="A268" s="294" t="s">
        <v>703</v>
      </c>
      <c r="B268" s="1147" t="s">
        <v>3910</v>
      </c>
      <c r="C268" s="1147"/>
      <c r="D268" s="1147"/>
      <c r="E268" s="1147"/>
      <c r="F268" s="1147"/>
      <c r="G268" s="255">
        <f>G264+G267</f>
        <v>54874.73</v>
      </c>
    </row>
    <row r="269" spans="1:8" s="265" customFormat="1">
      <c r="A269" s="294" t="s">
        <v>706</v>
      </c>
      <c r="B269" s="1148" t="s">
        <v>709</v>
      </c>
      <c r="C269" s="1148"/>
      <c r="D269" s="1148"/>
      <c r="E269" s="1147" t="s">
        <v>4030</v>
      </c>
      <c r="F269" s="1147"/>
      <c r="G269" s="255">
        <f>G268*0.15</f>
        <v>8231.2095000000008</v>
      </c>
    </row>
    <row r="270" spans="1:8" s="265" customFormat="1">
      <c r="A270" s="294" t="s">
        <v>708</v>
      </c>
      <c r="B270" s="1149" t="s">
        <v>3911</v>
      </c>
      <c r="C270" s="1149"/>
      <c r="D270" s="1149"/>
      <c r="E270" s="1149"/>
      <c r="F270" s="1149"/>
      <c r="G270" s="605">
        <f>ROUND(SUM(G268:G269),2)</f>
        <v>63105.94</v>
      </c>
      <c r="H270" s="255">
        <f>SUM(G268:G269)</f>
        <v>63105.939500000008</v>
      </c>
    </row>
    <row r="272" spans="1:8">
      <c r="A272" s="286" t="s">
        <v>4578</v>
      </c>
      <c r="B272" s="265" t="s">
        <v>3430</v>
      </c>
    </row>
    <row r="273" spans="1:12" s="292" customFormat="1" ht="24.95" customHeight="1">
      <c r="A273" s="290" t="s">
        <v>1003</v>
      </c>
      <c r="B273" s="290" t="s">
        <v>1004</v>
      </c>
      <c r="C273" s="290" t="s">
        <v>1005</v>
      </c>
      <c r="D273" s="290" t="s">
        <v>1006</v>
      </c>
      <c r="E273" s="373" t="s">
        <v>1007</v>
      </c>
      <c r="F273" s="363" t="s">
        <v>2637</v>
      </c>
      <c r="G273" s="291" t="s">
        <v>2638</v>
      </c>
    </row>
    <row r="274" spans="1:12">
      <c r="A274" s="294" t="s">
        <v>671</v>
      </c>
      <c r="B274" s="411" t="s">
        <v>672</v>
      </c>
      <c r="C274" s="247"/>
      <c r="D274" s="247"/>
      <c r="E274" s="372"/>
      <c r="F274" s="360"/>
      <c r="G274" s="248"/>
    </row>
    <row r="275" spans="1:12">
      <c r="A275" s="247"/>
      <c r="B275" s="410" t="s">
        <v>673</v>
      </c>
      <c r="C275" s="247" t="s">
        <v>674</v>
      </c>
      <c r="D275" s="247"/>
      <c r="E275" s="372">
        <v>0.37</v>
      </c>
      <c r="F275" s="360">
        <f>'UPAD-BAHAN-ALAT'!$I$12</f>
        <v>110000</v>
      </c>
      <c r="G275" s="248">
        <f>F275*E275</f>
        <v>40700</v>
      </c>
    </row>
    <row r="276" spans="1:12">
      <c r="A276" s="247"/>
      <c r="B276" s="410" t="s">
        <v>782</v>
      </c>
      <c r="C276" s="247" t="s">
        <v>678</v>
      </c>
      <c r="D276" s="247"/>
      <c r="E276" s="372">
        <v>0.12</v>
      </c>
      <c r="F276" s="360">
        <f>'UPAD-BAHAN-ALAT'!$I$13</f>
        <v>140000</v>
      </c>
      <c r="G276" s="248">
        <f>F276*E276</f>
        <v>16800</v>
      </c>
    </row>
    <row r="277" spans="1:12">
      <c r="A277" s="247"/>
      <c r="B277" s="410" t="s">
        <v>680</v>
      </c>
      <c r="C277" s="247" t="s">
        <v>681</v>
      </c>
      <c r="D277" s="247"/>
      <c r="E277" s="372">
        <v>1.2E-2</v>
      </c>
      <c r="F277" s="360">
        <f>'UPAD-BAHAN-ALAT'!$I$15</f>
        <v>150000</v>
      </c>
      <c r="G277" s="248">
        <f>F277*E277</f>
        <v>1800</v>
      </c>
      <c r="L277" s="249">
        <f>140*1.8</f>
        <v>252</v>
      </c>
    </row>
    <row r="278" spans="1:12">
      <c r="A278" s="247"/>
      <c r="B278" s="410" t="s">
        <v>683</v>
      </c>
      <c r="C278" s="247" t="s">
        <v>684</v>
      </c>
      <c r="D278" s="247"/>
      <c r="E278" s="372">
        <v>1.9E-2</v>
      </c>
      <c r="F278" s="360">
        <f>'UPAD-BAHAN-ALAT'!$I$14</f>
        <v>140000</v>
      </c>
      <c r="G278" s="248">
        <f>F278*E278</f>
        <v>2660</v>
      </c>
      <c r="L278" s="249">
        <f>0.45*2.4</f>
        <v>1.08</v>
      </c>
    </row>
    <row r="279" spans="1:12">
      <c r="A279" s="247"/>
      <c r="B279" s="410"/>
      <c r="C279" s="247"/>
      <c r="D279" s="247"/>
      <c r="E279" s="1146" t="s">
        <v>685</v>
      </c>
      <c r="F279" s="1146"/>
      <c r="G279" s="248">
        <f>SUM(G275:G278)</f>
        <v>61960</v>
      </c>
    </row>
    <row r="280" spans="1:12">
      <c r="A280" s="294" t="s">
        <v>686</v>
      </c>
      <c r="B280" s="411" t="s">
        <v>687</v>
      </c>
      <c r="C280" s="247"/>
      <c r="D280" s="247"/>
      <c r="E280" s="372"/>
      <c r="F280" s="360"/>
      <c r="G280" s="248"/>
    </row>
    <row r="281" spans="1:12">
      <c r="A281" s="247"/>
      <c r="B281" s="410" t="s">
        <v>3423</v>
      </c>
      <c r="C281" s="247"/>
      <c r="D281" s="247" t="s">
        <v>715</v>
      </c>
      <c r="E281" s="372">
        <v>0.98</v>
      </c>
      <c r="F281" s="360">
        <f>'UPAD-BAHAN-ALAT'!$I$84</f>
        <v>176400</v>
      </c>
      <c r="G281" s="248">
        <f>F281*E281</f>
        <v>172872</v>
      </c>
    </row>
    <row r="282" spans="1:12">
      <c r="A282" s="247"/>
      <c r="B282" s="410" t="s">
        <v>3424</v>
      </c>
      <c r="C282" s="247"/>
      <c r="D282" s="247" t="s">
        <v>688</v>
      </c>
      <c r="E282" s="372">
        <v>0.52</v>
      </c>
      <c r="F282" s="360">
        <f>'UPAD-BAHAN-ALAT'!$I$85</f>
        <v>330750</v>
      </c>
      <c r="G282" s="248">
        <f>F282*E282</f>
        <v>171990</v>
      </c>
    </row>
    <row r="283" spans="1:12">
      <c r="A283" s="247"/>
      <c r="B283" s="410" t="s">
        <v>790</v>
      </c>
      <c r="C283" s="247"/>
      <c r="D283" s="247" t="s">
        <v>690</v>
      </c>
      <c r="E283" s="372">
        <v>45</v>
      </c>
      <c r="F283" s="360">
        <f>'UPAD-BAHAN-ALAT'!$I$77</f>
        <v>1625</v>
      </c>
      <c r="G283" s="248">
        <f>F283*E283</f>
        <v>73125</v>
      </c>
      <c r="H283" s="249">
        <f>240/E283</f>
        <v>5.333333333333333</v>
      </c>
      <c r="L283" s="249">
        <f>300000*2</f>
        <v>600000</v>
      </c>
    </row>
    <row r="284" spans="1:12">
      <c r="A284" s="247"/>
      <c r="B284" s="410" t="s">
        <v>691</v>
      </c>
      <c r="C284" s="247"/>
      <c r="D284" s="247" t="s">
        <v>2646</v>
      </c>
      <c r="E284" s="372">
        <v>7.0000000000000007E-2</v>
      </c>
      <c r="F284" s="360">
        <f>'UPAD-BAHAN-ALAT'!$I$71</f>
        <v>176000</v>
      </c>
      <c r="G284" s="248">
        <f>F284*E284</f>
        <v>12320.000000000002</v>
      </c>
      <c r="H284" s="622">
        <f>E284+E285</f>
        <v>0.21000000000000002</v>
      </c>
      <c r="L284" s="249" t="s">
        <v>3624</v>
      </c>
    </row>
    <row r="285" spans="1:12">
      <c r="A285" s="247"/>
      <c r="B285" s="410" t="s">
        <v>792</v>
      </c>
      <c r="C285" s="247"/>
      <c r="D285" s="247" t="s">
        <v>2646</v>
      </c>
      <c r="E285" s="372">
        <v>0.14000000000000001</v>
      </c>
      <c r="F285" s="360">
        <f>'UPAD-BAHAN-ALAT'!$I$51</f>
        <v>298200</v>
      </c>
      <c r="G285" s="248">
        <f>F285*E285</f>
        <v>41748.000000000007</v>
      </c>
    </row>
    <row r="286" spans="1:12">
      <c r="A286" s="247"/>
      <c r="B286" s="295"/>
      <c r="C286" s="296"/>
      <c r="D286" s="296"/>
      <c r="E286" s="1146" t="s">
        <v>702</v>
      </c>
      <c r="F286" s="1146"/>
      <c r="G286" s="248">
        <f>SUM(G281:G285)</f>
        <v>472055</v>
      </c>
    </row>
    <row r="287" spans="1:12" s="265" customFormat="1">
      <c r="A287" s="294" t="s">
        <v>706</v>
      </c>
      <c r="B287" s="1147" t="s">
        <v>3910</v>
      </c>
      <c r="C287" s="1147"/>
      <c r="D287" s="1147"/>
      <c r="E287" s="1147"/>
      <c r="F287" s="1147"/>
      <c r="G287" s="255">
        <f>G279+G286</f>
        <v>534015</v>
      </c>
    </row>
    <row r="288" spans="1:12" s="265" customFormat="1">
      <c r="A288" s="294" t="s">
        <v>708</v>
      </c>
      <c r="B288" s="1148" t="s">
        <v>709</v>
      </c>
      <c r="C288" s="1148"/>
      <c r="D288" s="1148"/>
      <c r="E288" s="1147" t="s">
        <v>4030</v>
      </c>
      <c r="F288" s="1147"/>
      <c r="G288" s="255">
        <f>G287*0.15</f>
        <v>80102.25</v>
      </c>
    </row>
    <row r="289" spans="1:10" s="265" customFormat="1">
      <c r="A289" s="294" t="s">
        <v>711</v>
      </c>
      <c r="B289" s="1149" t="s">
        <v>3911</v>
      </c>
      <c r="C289" s="1149"/>
      <c r="D289" s="1149"/>
      <c r="E289" s="1149"/>
      <c r="F289" s="1149"/>
      <c r="G289" s="605">
        <f>ROUND(SUM(G287:G288),2)</f>
        <v>614117.25</v>
      </c>
      <c r="H289" s="255">
        <f>SUM(G287:G288)</f>
        <v>614117.25</v>
      </c>
      <c r="I289" s="300">
        <f>140*2.25*H289</f>
        <v>193446933.75</v>
      </c>
      <c r="J289" s="300">
        <f>107000000/I289</f>
        <v>0.55312326706755055</v>
      </c>
    </row>
    <row r="291" spans="1:10" s="265" customFormat="1">
      <c r="A291" s="286" t="s">
        <v>4039</v>
      </c>
      <c r="B291" s="265" t="s">
        <v>3509</v>
      </c>
      <c r="C291" s="286"/>
      <c r="D291" s="286"/>
      <c r="E291" s="597"/>
      <c r="F291" s="598"/>
      <c r="G291" s="599"/>
    </row>
    <row r="292" spans="1:10" s="814" customFormat="1">
      <c r="A292" s="876" t="s">
        <v>4040</v>
      </c>
      <c r="B292" s="848" t="s">
        <v>4581</v>
      </c>
      <c r="C292" s="849"/>
      <c r="D292" s="849"/>
      <c r="E292" s="850"/>
      <c r="F292" s="851"/>
      <c r="G292" s="852"/>
    </row>
    <row r="293" spans="1:10" s="858" customFormat="1" ht="24.95" customHeight="1">
      <c r="A293" s="853" t="s">
        <v>1003</v>
      </c>
      <c r="B293" s="853" t="s">
        <v>1004</v>
      </c>
      <c r="C293" s="853" t="s">
        <v>1005</v>
      </c>
      <c r="D293" s="854" t="s">
        <v>1006</v>
      </c>
      <c r="E293" s="880" t="s">
        <v>1007</v>
      </c>
      <c r="F293" s="856" t="s">
        <v>2637</v>
      </c>
      <c r="G293" s="887" t="s">
        <v>2638</v>
      </c>
    </row>
    <row r="294" spans="1:10" s="814" customFormat="1">
      <c r="A294" s="859" t="s">
        <v>671</v>
      </c>
      <c r="B294" s="888" t="s">
        <v>672</v>
      </c>
      <c r="C294" s="865"/>
      <c r="D294" s="861"/>
      <c r="E294" s="889"/>
      <c r="F294" s="863"/>
      <c r="G294" s="890"/>
    </row>
    <row r="295" spans="1:10" s="814" customFormat="1">
      <c r="A295" s="865"/>
      <c r="B295" s="891" t="s">
        <v>673</v>
      </c>
      <c r="C295" s="865" t="s">
        <v>674</v>
      </c>
      <c r="D295" s="861" t="s">
        <v>675</v>
      </c>
      <c r="E295" s="889">
        <v>0.75</v>
      </c>
      <c r="F295" s="866">
        <f>'UPAD-BAHAN-ALAT'!$I$12</f>
        <v>110000</v>
      </c>
      <c r="G295" s="864">
        <f>F295*E295</f>
        <v>82500</v>
      </c>
    </row>
    <row r="296" spans="1:10" s="814" customFormat="1">
      <c r="A296" s="865"/>
      <c r="B296" s="891" t="s">
        <v>683</v>
      </c>
      <c r="C296" s="865" t="s">
        <v>684</v>
      </c>
      <c r="D296" s="861" t="s">
        <v>675</v>
      </c>
      <c r="E296" s="889">
        <v>2.5000000000000001E-2</v>
      </c>
      <c r="F296" s="866">
        <f>'UPAD-BAHAN-ALAT'!$I$14</f>
        <v>140000</v>
      </c>
      <c r="G296" s="864">
        <f>F296*E296</f>
        <v>3500</v>
      </c>
    </row>
    <row r="297" spans="1:10" s="814" customFormat="1">
      <c r="A297" s="865"/>
      <c r="B297" s="891"/>
      <c r="C297" s="865"/>
      <c r="D297" s="861"/>
      <c r="E297" s="1157" t="s">
        <v>685</v>
      </c>
      <c r="F297" s="1157"/>
      <c r="G297" s="864">
        <f>SUM(G295:G296)</f>
        <v>86000</v>
      </c>
    </row>
    <row r="298" spans="1:10" s="814" customFormat="1">
      <c r="A298" s="859" t="s">
        <v>686</v>
      </c>
      <c r="B298" s="888" t="s">
        <v>687</v>
      </c>
      <c r="C298" s="865"/>
      <c r="D298" s="861"/>
      <c r="E298" s="889"/>
      <c r="F298" s="863"/>
      <c r="G298" s="864"/>
    </row>
    <row r="299" spans="1:10" s="814" customFormat="1">
      <c r="A299" s="865"/>
      <c r="B299" s="891"/>
      <c r="C299" s="865"/>
      <c r="D299" s="861"/>
      <c r="E299" s="1157" t="s">
        <v>702</v>
      </c>
      <c r="F299" s="1157"/>
      <c r="G299" s="864"/>
    </row>
    <row r="300" spans="1:10" s="848" customFormat="1">
      <c r="A300" s="859" t="s">
        <v>703</v>
      </c>
      <c r="B300" s="1153" t="s">
        <v>3910</v>
      </c>
      <c r="C300" s="1153"/>
      <c r="D300" s="1153"/>
      <c r="E300" s="1153"/>
      <c r="F300" s="1153"/>
      <c r="G300" s="872">
        <f>G297+G299</f>
        <v>86000</v>
      </c>
    </row>
    <row r="301" spans="1:10" s="848" customFormat="1">
      <c r="A301" s="859" t="s">
        <v>706</v>
      </c>
      <c r="B301" s="1152" t="s">
        <v>709</v>
      </c>
      <c r="C301" s="1152"/>
      <c r="D301" s="1152"/>
      <c r="E301" s="1153" t="s">
        <v>4030</v>
      </c>
      <c r="F301" s="1153"/>
      <c r="G301" s="872">
        <f>G300*0.15</f>
        <v>12900</v>
      </c>
    </row>
    <row r="302" spans="1:10" s="848" customFormat="1">
      <c r="A302" s="859" t="s">
        <v>708</v>
      </c>
      <c r="B302" s="1153" t="s">
        <v>3911</v>
      </c>
      <c r="C302" s="1153"/>
      <c r="D302" s="1153"/>
      <c r="E302" s="1153"/>
      <c r="F302" s="1153"/>
      <c r="G302" s="892">
        <f>ROUND(SUM(G300:G301),2)</f>
        <v>98900</v>
      </c>
      <c r="H302" s="893">
        <f>SUM(G300:G301)</f>
        <v>98900</v>
      </c>
    </row>
    <row r="304" spans="1:10">
      <c r="A304" s="286" t="s">
        <v>4041</v>
      </c>
      <c r="B304" s="265" t="s">
        <v>2676</v>
      </c>
    </row>
    <row r="305" spans="1:8" s="292" customFormat="1" ht="24.95" customHeight="1">
      <c r="A305" s="290" t="s">
        <v>1003</v>
      </c>
      <c r="B305" s="293" t="s">
        <v>1004</v>
      </c>
      <c r="C305" s="290" t="s">
        <v>1005</v>
      </c>
      <c r="D305" s="293" t="s">
        <v>1006</v>
      </c>
      <c r="E305" s="379" t="s">
        <v>1007</v>
      </c>
      <c r="F305" s="389" t="s">
        <v>2637</v>
      </c>
      <c r="G305" s="291" t="s">
        <v>2638</v>
      </c>
    </row>
    <row r="306" spans="1:8">
      <c r="A306" s="247" t="s">
        <v>671</v>
      </c>
      <c r="B306" s="355" t="s">
        <v>672</v>
      </c>
      <c r="C306" s="247"/>
      <c r="D306" s="283"/>
      <c r="E306" s="627"/>
      <c r="F306" s="390"/>
      <c r="G306" s="248"/>
    </row>
    <row r="307" spans="1:8">
      <c r="A307" s="247"/>
      <c r="B307" s="355" t="s">
        <v>673</v>
      </c>
      <c r="C307" s="247" t="s">
        <v>674</v>
      </c>
      <c r="D307" s="283" t="s">
        <v>675</v>
      </c>
      <c r="E307" s="428">
        <v>0.9</v>
      </c>
      <c r="F307" s="360">
        <f>'UPAD-BAHAN-ALAT'!$I$12</f>
        <v>110000</v>
      </c>
      <c r="G307" s="248">
        <f>F307*E307</f>
        <v>99000</v>
      </c>
    </row>
    <row r="308" spans="1:8">
      <c r="A308" s="247"/>
      <c r="B308" s="355" t="s">
        <v>683</v>
      </c>
      <c r="C308" s="247" t="s">
        <v>684</v>
      </c>
      <c r="D308" s="283" t="s">
        <v>675</v>
      </c>
      <c r="E308" s="428">
        <v>4.4999999999999998E-2</v>
      </c>
      <c r="F308" s="360">
        <f>'UPAD-BAHAN-ALAT'!$I$14</f>
        <v>140000</v>
      </c>
      <c r="G308" s="248">
        <f>F308*E308</f>
        <v>6300</v>
      </c>
    </row>
    <row r="309" spans="1:8">
      <c r="A309" s="247"/>
      <c r="B309" s="355"/>
      <c r="C309" s="247"/>
      <c r="D309" s="283"/>
      <c r="E309" s="628" t="s">
        <v>685</v>
      </c>
      <c r="F309" s="629"/>
      <c r="G309" s="248">
        <f>SUM(G307:G308)</f>
        <v>105300</v>
      </c>
    </row>
    <row r="310" spans="1:8">
      <c r="A310" s="247" t="s">
        <v>686</v>
      </c>
      <c r="B310" s="355" t="s">
        <v>687</v>
      </c>
      <c r="C310" s="247"/>
      <c r="D310" s="283"/>
      <c r="E310" s="372"/>
      <c r="F310" s="390"/>
      <c r="G310" s="248"/>
    </row>
    <row r="311" spans="1:8">
      <c r="A311" s="247"/>
      <c r="B311" s="355"/>
      <c r="C311" s="247"/>
      <c r="D311" s="283"/>
      <c r="E311" s="428" t="s">
        <v>702</v>
      </c>
      <c r="F311" s="390"/>
      <c r="G311" s="248"/>
    </row>
    <row r="312" spans="1:8" s="265" customFormat="1">
      <c r="A312" s="294" t="s">
        <v>703</v>
      </c>
      <c r="B312" s="357" t="s">
        <v>3910</v>
      </c>
      <c r="C312" s="610"/>
      <c r="D312" s="610"/>
      <c r="E312" s="611"/>
      <c r="F312" s="612"/>
      <c r="G312" s="255">
        <f>G309+G311</f>
        <v>105300</v>
      </c>
    </row>
    <row r="313" spans="1:8" s="265" customFormat="1">
      <c r="A313" s="294" t="s">
        <v>706</v>
      </c>
      <c r="B313" s="357" t="s">
        <v>796</v>
      </c>
      <c r="C313" s="630"/>
      <c r="D313" s="432"/>
      <c r="E313" s="613" t="s">
        <v>4030</v>
      </c>
      <c r="F313" s="612"/>
      <c r="G313" s="255">
        <f>G312*0.15</f>
        <v>15795</v>
      </c>
    </row>
    <row r="314" spans="1:8" s="265" customFormat="1">
      <c r="A314" s="294" t="s">
        <v>708</v>
      </c>
      <c r="B314" s="357" t="s">
        <v>3911</v>
      </c>
      <c r="C314" s="610"/>
      <c r="D314" s="610"/>
      <c r="E314" s="611"/>
      <c r="F314" s="612"/>
      <c r="G314" s="605">
        <f>ROUND(SUM(G312:G313),2)</f>
        <v>121095</v>
      </c>
      <c r="H314" s="255">
        <f>SUM(G312:G313)</f>
        <v>121095</v>
      </c>
    </row>
    <row r="316" spans="1:8">
      <c r="A316" s="286" t="s">
        <v>4042</v>
      </c>
      <c r="B316" s="265" t="s">
        <v>4582</v>
      </c>
    </row>
    <row r="317" spans="1:8" s="292" customFormat="1" ht="24.95" customHeight="1">
      <c r="A317" s="293" t="s">
        <v>1003</v>
      </c>
      <c r="B317" s="290" t="s">
        <v>1004</v>
      </c>
      <c r="C317" s="290" t="s">
        <v>1005</v>
      </c>
      <c r="D317" s="293" t="s">
        <v>1006</v>
      </c>
      <c r="E317" s="379" t="s">
        <v>1007</v>
      </c>
      <c r="F317" s="389" t="s">
        <v>2637</v>
      </c>
      <c r="G317" s="291" t="s">
        <v>2638</v>
      </c>
    </row>
    <row r="318" spans="1:8">
      <c r="A318" s="432" t="s">
        <v>671</v>
      </c>
      <c r="B318" s="411" t="s">
        <v>672</v>
      </c>
      <c r="C318" s="247"/>
      <c r="D318" s="283"/>
      <c r="E318" s="428"/>
      <c r="F318" s="624"/>
      <c r="G318" s="248"/>
    </row>
    <row r="319" spans="1:8">
      <c r="A319" s="283"/>
      <c r="B319" s="410" t="s">
        <v>673</v>
      </c>
      <c r="C319" s="247" t="s">
        <v>674</v>
      </c>
      <c r="D319" s="283" t="s">
        <v>675</v>
      </c>
      <c r="E319" s="428">
        <v>1.05</v>
      </c>
      <c r="F319" s="360">
        <f>'UPAD-BAHAN-ALAT'!$I$12</f>
        <v>110000</v>
      </c>
      <c r="G319" s="248">
        <f>F319*E319</f>
        <v>115500</v>
      </c>
    </row>
    <row r="320" spans="1:8">
      <c r="A320" s="283"/>
      <c r="B320" s="410" t="s">
        <v>683</v>
      </c>
      <c r="C320" s="247" t="s">
        <v>684</v>
      </c>
      <c r="D320" s="283" t="s">
        <v>675</v>
      </c>
      <c r="E320" s="428">
        <v>6.7000000000000004E-2</v>
      </c>
      <c r="F320" s="360">
        <f>'UPAD-BAHAN-ALAT'!$I$14</f>
        <v>140000</v>
      </c>
      <c r="G320" s="248">
        <f>F320*E320</f>
        <v>9380</v>
      </c>
    </row>
    <row r="321" spans="1:8">
      <c r="A321" s="283"/>
      <c r="B321" s="410"/>
      <c r="C321" s="1159"/>
      <c r="D321" s="1160"/>
      <c r="E321" s="1144" t="s">
        <v>685</v>
      </c>
      <c r="F321" s="1144"/>
      <c r="G321" s="248">
        <f>SUM(G319:G320)</f>
        <v>124880</v>
      </c>
    </row>
    <row r="322" spans="1:8">
      <c r="A322" s="432" t="s">
        <v>686</v>
      </c>
      <c r="B322" s="411" t="s">
        <v>687</v>
      </c>
      <c r="C322" s="1159"/>
      <c r="D322" s="1160"/>
      <c r="E322" s="428"/>
      <c r="F322" s="624"/>
      <c r="G322" s="248"/>
    </row>
    <row r="323" spans="1:8">
      <c r="A323" s="283"/>
      <c r="B323" s="410"/>
      <c r="C323" s="1159"/>
      <c r="D323" s="1160"/>
      <c r="E323" s="1144" t="s">
        <v>702</v>
      </c>
      <c r="F323" s="1144"/>
      <c r="G323" s="248"/>
    </row>
    <row r="324" spans="1:8" s="265" customFormat="1">
      <c r="A324" s="432" t="s">
        <v>703</v>
      </c>
      <c r="B324" s="1147" t="s">
        <v>3910</v>
      </c>
      <c r="C324" s="1147"/>
      <c r="D324" s="1147"/>
      <c r="E324" s="1147"/>
      <c r="F324" s="1147"/>
      <c r="G324" s="255">
        <f>G321+G323</f>
        <v>124880</v>
      </c>
    </row>
    <row r="325" spans="1:8" s="265" customFormat="1">
      <c r="A325" s="432" t="s">
        <v>706</v>
      </c>
      <c r="B325" s="1148" t="s">
        <v>709</v>
      </c>
      <c r="C325" s="1148"/>
      <c r="D325" s="1148"/>
      <c r="E325" s="1147" t="s">
        <v>4030</v>
      </c>
      <c r="F325" s="1147"/>
      <c r="G325" s="255">
        <f>G324*0.15</f>
        <v>18732</v>
      </c>
    </row>
    <row r="326" spans="1:8" s="265" customFormat="1">
      <c r="A326" s="432" t="s">
        <v>708</v>
      </c>
      <c r="B326" s="1147" t="s">
        <v>3911</v>
      </c>
      <c r="C326" s="1147"/>
      <c r="D326" s="1147"/>
      <c r="E326" s="1147"/>
      <c r="F326" s="1147"/>
      <c r="G326" s="626">
        <f>ROUND(SUM(G324:G325),2)</f>
        <v>143612</v>
      </c>
      <c r="H326" s="255">
        <f>SUM(G324:G325)</f>
        <v>143612</v>
      </c>
    </row>
    <row r="327" spans="1:8">
      <c r="A327" s="252"/>
      <c r="B327" s="251"/>
      <c r="C327" s="252"/>
      <c r="D327" s="252"/>
      <c r="E327" s="374"/>
      <c r="F327" s="361"/>
      <c r="G327" s="253"/>
    </row>
    <row r="328" spans="1:8">
      <c r="A328" s="600" t="s">
        <v>4043</v>
      </c>
      <c r="B328" s="265" t="s">
        <v>4583</v>
      </c>
    </row>
    <row r="329" spans="1:8" s="292" customFormat="1" ht="24.95" customHeight="1">
      <c r="A329" s="293" t="s">
        <v>1003</v>
      </c>
      <c r="B329" s="290" t="s">
        <v>1004</v>
      </c>
      <c r="C329" s="290" t="s">
        <v>1005</v>
      </c>
      <c r="D329" s="293" t="s">
        <v>1006</v>
      </c>
      <c r="E329" s="379" t="s">
        <v>1007</v>
      </c>
      <c r="F329" s="389" t="s">
        <v>2637</v>
      </c>
      <c r="G329" s="291" t="s">
        <v>2638</v>
      </c>
    </row>
    <row r="330" spans="1:8">
      <c r="A330" s="432" t="s">
        <v>671</v>
      </c>
      <c r="B330" s="411" t="s">
        <v>672</v>
      </c>
      <c r="C330" s="247"/>
      <c r="D330" s="283"/>
      <c r="E330" s="428"/>
      <c r="F330" s="624"/>
      <c r="G330" s="248"/>
    </row>
    <row r="331" spans="1:8">
      <c r="A331" s="283"/>
      <c r="B331" s="410" t="s">
        <v>673</v>
      </c>
      <c r="C331" s="247" t="s">
        <v>674</v>
      </c>
      <c r="D331" s="283" t="s">
        <v>675</v>
      </c>
      <c r="E331" s="428">
        <v>1</v>
      </c>
      <c r="F331" s="360">
        <f>'UPAD-BAHAN-ALAT'!$I$12</f>
        <v>110000</v>
      </c>
      <c r="G331" s="248">
        <f>F331*E331</f>
        <v>110000</v>
      </c>
    </row>
    <row r="332" spans="1:8">
      <c r="A332" s="283"/>
      <c r="B332" s="410" t="s">
        <v>683</v>
      </c>
      <c r="C332" s="247" t="s">
        <v>684</v>
      </c>
      <c r="D332" s="283" t="s">
        <v>675</v>
      </c>
      <c r="E332" s="428">
        <v>3.2000000000000001E-2</v>
      </c>
      <c r="F332" s="360">
        <f>'UPAD-BAHAN-ALAT'!$I$14</f>
        <v>140000</v>
      </c>
      <c r="G332" s="248">
        <f>F332*E332</f>
        <v>4480</v>
      </c>
    </row>
    <row r="333" spans="1:8">
      <c r="A333" s="283"/>
      <c r="B333" s="410"/>
      <c r="C333" s="1159"/>
      <c r="D333" s="1160"/>
      <c r="E333" s="1146" t="s">
        <v>685</v>
      </c>
      <c r="F333" s="1146"/>
      <c r="G333" s="248">
        <f>SUM(G331:G332)</f>
        <v>114480</v>
      </c>
    </row>
    <row r="334" spans="1:8">
      <c r="A334" s="432" t="s">
        <v>686</v>
      </c>
      <c r="B334" s="411" t="s">
        <v>687</v>
      </c>
      <c r="C334" s="1159"/>
      <c r="D334" s="1160"/>
      <c r="E334" s="428"/>
      <c r="F334" s="624"/>
      <c r="G334" s="248"/>
    </row>
    <row r="335" spans="1:8">
      <c r="A335" s="283"/>
      <c r="B335" s="295"/>
      <c r="C335" s="1171"/>
      <c r="D335" s="1172"/>
      <c r="E335" s="1146" t="s">
        <v>702</v>
      </c>
      <c r="F335" s="1146"/>
      <c r="G335" s="248"/>
    </row>
    <row r="336" spans="1:8" s="265" customFormat="1">
      <c r="A336" s="432" t="s">
        <v>703</v>
      </c>
      <c r="B336" s="1147" t="s">
        <v>3910</v>
      </c>
      <c r="C336" s="1147"/>
      <c r="D336" s="1147"/>
      <c r="E336" s="1147"/>
      <c r="F336" s="1147"/>
      <c r="G336" s="255">
        <f>G333+G335</f>
        <v>114480</v>
      </c>
    </row>
    <row r="337" spans="1:8" s="265" customFormat="1">
      <c r="A337" s="432" t="s">
        <v>706</v>
      </c>
      <c r="B337" s="1148" t="s">
        <v>709</v>
      </c>
      <c r="C337" s="1148"/>
      <c r="D337" s="1148"/>
      <c r="E337" s="1147" t="s">
        <v>4030</v>
      </c>
      <c r="F337" s="1147"/>
      <c r="G337" s="255">
        <f>G336*0.15</f>
        <v>17172</v>
      </c>
    </row>
    <row r="338" spans="1:8" s="265" customFormat="1">
      <c r="A338" s="432" t="s">
        <v>708</v>
      </c>
      <c r="B338" s="1149" t="s">
        <v>3911</v>
      </c>
      <c r="C338" s="1149"/>
      <c r="D338" s="1149"/>
      <c r="E338" s="1149"/>
      <c r="F338" s="1149"/>
      <c r="G338" s="605">
        <f>ROUND(SUM(G336:G337),2)</f>
        <v>131652</v>
      </c>
      <c r="H338" s="255">
        <f>SUM(G336:G337)</f>
        <v>131652</v>
      </c>
    </row>
    <row r="340" spans="1:8">
      <c r="A340" s="600" t="s">
        <v>4044</v>
      </c>
      <c r="B340" s="265" t="s">
        <v>4584</v>
      </c>
    </row>
    <row r="341" spans="1:8" s="292" customFormat="1" ht="24.95" customHeight="1">
      <c r="A341" s="290" t="s">
        <v>1003</v>
      </c>
      <c r="B341" s="290" t="s">
        <v>1004</v>
      </c>
      <c r="C341" s="290" t="s">
        <v>1005</v>
      </c>
      <c r="D341" s="290" t="s">
        <v>1006</v>
      </c>
      <c r="E341" s="373" t="s">
        <v>1007</v>
      </c>
      <c r="F341" s="363" t="s">
        <v>2637</v>
      </c>
      <c r="G341" s="291" t="s">
        <v>2638</v>
      </c>
    </row>
    <row r="342" spans="1:8">
      <c r="A342" s="294" t="s">
        <v>671</v>
      </c>
      <c r="B342" s="411" t="s">
        <v>672</v>
      </c>
      <c r="C342" s="247"/>
      <c r="D342" s="247"/>
      <c r="E342" s="372"/>
      <c r="F342" s="360"/>
      <c r="G342" s="248"/>
    </row>
    <row r="343" spans="1:8">
      <c r="A343" s="247"/>
      <c r="B343" s="410" t="s">
        <v>673</v>
      </c>
      <c r="C343" s="247" t="s">
        <v>674</v>
      </c>
      <c r="D343" s="247" t="s">
        <v>675</v>
      </c>
      <c r="E343" s="372">
        <v>1.5</v>
      </c>
      <c r="F343" s="360">
        <f>'UPAD-BAHAN-ALAT'!$I$12</f>
        <v>110000</v>
      </c>
      <c r="G343" s="248">
        <f>F343*E343</f>
        <v>165000</v>
      </c>
    </row>
    <row r="344" spans="1:8">
      <c r="A344" s="247"/>
      <c r="B344" s="410" t="s">
        <v>683</v>
      </c>
      <c r="C344" s="247" t="s">
        <v>684</v>
      </c>
      <c r="D344" s="247" t="s">
        <v>675</v>
      </c>
      <c r="E344" s="372">
        <v>0.06</v>
      </c>
      <c r="F344" s="360">
        <f>'UPAD-BAHAN-ALAT'!$I$14</f>
        <v>140000</v>
      </c>
      <c r="G344" s="248">
        <f>F344*E344</f>
        <v>8400</v>
      </c>
    </row>
    <row r="345" spans="1:8">
      <c r="A345" s="247"/>
      <c r="B345" s="410"/>
      <c r="C345" s="247"/>
      <c r="D345" s="247"/>
      <c r="E345" s="1146" t="s">
        <v>685</v>
      </c>
      <c r="F345" s="1146"/>
      <c r="G345" s="248">
        <f>SUM(G343:G344)</f>
        <v>173400</v>
      </c>
    </row>
    <row r="346" spans="1:8">
      <c r="A346" s="294" t="s">
        <v>686</v>
      </c>
      <c r="B346" s="411" t="s">
        <v>687</v>
      </c>
      <c r="C346" s="247"/>
      <c r="D346" s="247"/>
      <c r="E346" s="372"/>
      <c r="F346" s="360"/>
      <c r="G346" s="248"/>
    </row>
    <row r="347" spans="1:8">
      <c r="A347" s="247"/>
      <c r="B347" s="295"/>
      <c r="C347" s="296"/>
      <c r="D347" s="296"/>
      <c r="E347" s="1146" t="s">
        <v>702</v>
      </c>
      <c r="F347" s="1146"/>
      <c r="G347" s="248"/>
    </row>
    <row r="348" spans="1:8" s="265" customFormat="1">
      <c r="A348" s="294" t="s">
        <v>703</v>
      </c>
      <c r="B348" s="1147" t="s">
        <v>3910</v>
      </c>
      <c r="C348" s="1147"/>
      <c r="D348" s="1147"/>
      <c r="E348" s="1147"/>
      <c r="F348" s="1147"/>
      <c r="G348" s="255">
        <f>G345+G347</f>
        <v>173400</v>
      </c>
    </row>
    <row r="349" spans="1:8" s="265" customFormat="1">
      <c r="A349" s="294" t="s">
        <v>706</v>
      </c>
      <c r="B349" s="1148" t="s">
        <v>709</v>
      </c>
      <c r="C349" s="1148"/>
      <c r="D349" s="1148"/>
      <c r="E349" s="1147" t="s">
        <v>4030</v>
      </c>
      <c r="F349" s="1147"/>
      <c r="G349" s="255">
        <f>G348*0.15</f>
        <v>26010</v>
      </c>
    </row>
    <row r="350" spans="1:8" s="265" customFormat="1">
      <c r="A350" s="294" t="s">
        <v>708</v>
      </c>
      <c r="B350" s="1149" t="s">
        <v>3911</v>
      </c>
      <c r="C350" s="1149"/>
      <c r="D350" s="1149"/>
      <c r="E350" s="1149"/>
      <c r="F350" s="1149"/>
      <c r="G350" s="605">
        <f>ROUND(SUM(G348:G349),2)</f>
        <v>199410</v>
      </c>
      <c r="H350" s="255">
        <f>SUM(G348:G349)</f>
        <v>199410</v>
      </c>
    </row>
    <row r="351" spans="1:8">
      <c r="A351" s="268"/>
      <c r="B351" s="269"/>
      <c r="C351" s="268"/>
      <c r="D351" s="268"/>
      <c r="E351" s="380"/>
      <c r="F351" s="365"/>
      <c r="G351" s="270"/>
    </row>
    <row r="352" spans="1:8">
      <c r="A352" s="285" t="s">
        <v>4045</v>
      </c>
      <c r="B352" s="250" t="s">
        <v>4585</v>
      </c>
      <c r="C352" s="252"/>
      <c r="D352" s="252"/>
      <c r="E352" s="374"/>
      <c r="F352" s="361"/>
      <c r="G352" s="253"/>
    </row>
    <row r="353" spans="1:8" s="292" customFormat="1" ht="24.95" customHeight="1">
      <c r="A353" s="290" t="s">
        <v>1003</v>
      </c>
      <c r="B353" s="290" t="s">
        <v>1004</v>
      </c>
      <c r="C353" s="290" t="s">
        <v>1005</v>
      </c>
      <c r="D353" s="290" t="s">
        <v>1006</v>
      </c>
      <c r="E353" s="373" t="s">
        <v>1007</v>
      </c>
      <c r="F353" s="363" t="s">
        <v>2637</v>
      </c>
      <c r="G353" s="291" t="s">
        <v>2638</v>
      </c>
    </row>
    <row r="354" spans="1:8">
      <c r="A354" s="294" t="s">
        <v>671</v>
      </c>
      <c r="B354" s="411" t="s">
        <v>672</v>
      </c>
      <c r="C354" s="247"/>
      <c r="D354" s="247"/>
      <c r="E354" s="372"/>
      <c r="F354" s="360"/>
      <c r="G354" s="248"/>
    </row>
    <row r="355" spans="1:8">
      <c r="A355" s="247"/>
      <c r="B355" s="410" t="s">
        <v>673</v>
      </c>
      <c r="C355" s="247" t="s">
        <v>674</v>
      </c>
      <c r="D355" s="247" t="s">
        <v>675</v>
      </c>
      <c r="E355" s="372">
        <v>1.2</v>
      </c>
      <c r="F355" s="360">
        <f>'UPAD-BAHAN-ALAT'!$I$12</f>
        <v>110000</v>
      </c>
      <c r="G355" s="248">
        <f>F355*E355</f>
        <v>132000</v>
      </c>
    </row>
    <row r="356" spans="1:8">
      <c r="A356" s="247"/>
      <c r="B356" s="410" t="s">
        <v>683</v>
      </c>
      <c r="C356" s="247" t="s">
        <v>684</v>
      </c>
      <c r="D356" s="247" t="s">
        <v>675</v>
      </c>
      <c r="E356" s="372">
        <v>4.4999999999999998E-2</v>
      </c>
      <c r="F356" s="360">
        <f>'UPAD-BAHAN-ALAT'!$I$14</f>
        <v>140000</v>
      </c>
      <c r="G356" s="248">
        <f>F356*E356</f>
        <v>6300</v>
      </c>
    </row>
    <row r="357" spans="1:8">
      <c r="A357" s="247"/>
      <c r="B357" s="410"/>
      <c r="C357" s="247"/>
      <c r="D357" s="247"/>
      <c r="E357" s="1144" t="s">
        <v>685</v>
      </c>
      <c r="F357" s="1144"/>
      <c r="G357" s="248">
        <f>SUM(G355:G356)</f>
        <v>138300</v>
      </c>
    </row>
    <row r="358" spans="1:8">
      <c r="A358" s="294" t="s">
        <v>686</v>
      </c>
      <c r="B358" s="411" t="s">
        <v>687</v>
      </c>
      <c r="C358" s="247"/>
      <c r="D358" s="247"/>
      <c r="E358" s="372"/>
      <c r="F358" s="360"/>
      <c r="G358" s="248"/>
    </row>
    <row r="359" spans="1:8">
      <c r="A359" s="247"/>
      <c r="B359" s="410"/>
      <c r="C359" s="247"/>
      <c r="D359" s="247"/>
      <c r="E359" s="1144" t="s">
        <v>702</v>
      </c>
      <c r="F359" s="1144"/>
      <c r="G359" s="248"/>
    </row>
    <row r="360" spans="1:8" s="265" customFormat="1">
      <c r="A360" s="294" t="s">
        <v>703</v>
      </c>
      <c r="B360" s="1147" t="s">
        <v>3910</v>
      </c>
      <c r="C360" s="1147"/>
      <c r="D360" s="1147"/>
      <c r="E360" s="1147"/>
      <c r="F360" s="1147"/>
      <c r="G360" s="255">
        <f>G357+G359</f>
        <v>138300</v>
      </c>
    </row>
    <row r="361" spans="1:8" s="265" customFormat="1">
      <c r="A361" s="294" t="s">
        <v>706</v>
      </c>
      <c r="B361" s="1148" t="s">
        <v>709</v>
      </c>
      <c r="C361" s="1148"/>
      <c r="D361" s="1148"/>
      <c r="E361" s="1147" t="s">
        <v>4030</v>
      </c>
      <c r="F361" s="1147"/>
      <c r="G361" s="255">
        <f>G360*0.15</f>
        <v>20745</v>
      </c>
    </row>
    <row r="362" spans="1:8" s="265" customFormat="1">
      <c r="A362" s="294" t="s">
        <v>708</v>
      </c>
      <c r="B362" s="1147" t="s">
        <v>3911</v>
      </c>
      <c r="C362" s="1147"/>
      <c r="D362" s="1147"/>
      <c r="E362" s="1147"/>
      <c r="F362" s="1147"/>
      <c r="G362" s="626">
        <f>ROUND(SUM(G360:G361),2)</f>
        <v>159045</v>
      </c>
      <c r="H362" s="255">
        <f>SUM(G360:G361)</f>
        <v>159045</v>
      </c>
    </row>
    <row r="363" spans="1:8">
      <c r="A363" s="268"/>
      <c r="B363" s="269"/>
      <c r="C363" s="268"/>
      <c r="D363" s="268"/>
      <c r="E363" s="380"/>
      <c r="F363" s="365"/>
      <c r="G363" s="270"/>
    </row>
    <row r="364" spans="1:8">
      <c r="A364" s="285" t="s">
        <v>4046</v>
      </c>
      <c r="B364" s="250" t="s">
        <v>4580</v>
      </c>
      <c r="C364" s="252"/>
      <c r="D364" s="252"/>
      <c r="E364" s="374"/>
      <c r="F364" s="361"/>
      <c r="G364" s="253"/>
    </row>
    <row r="365" spans="1:8" s="292" customFormat="1" ht="24.95" customHeight="1">
      <c r="A365" s="290" t="s">
        <v>1003</v>
      </c>
      <c r="B365" s="290" t="s">
        <v>1004</v>
      </c>
      <c r="C365" s="290" t="s">
        <v>1005</v>
      </c>
      <c r="D365" s="290" t="s">
        <v>1006</v>
      </c>
      <c r="E365" s="373" t="s">
        <v>1007</v>
      </c>
      <c r="F365" s="363" t="s">
        <v>2637</v>
      </c>
      <c r="G365" s="291" t="s">
        <v>2638</v>
      </c>
    </row>
    <row r="366" spans="1:8">
      <c r="A366" s="294" t="s">
        <v>671</v>
      </c>
      <c r="B366" s="411" t="s">
        <v>672</v>
      </c>
      <c r="C366" s="247"/>
      <c r="D366" s="247"/>
      <c r="E366" s="372"/>
      <c r="F366" s="360"/>
      <c r="G366" s="248"/>
    </row>
    <row r="367" spans="1:8">
      <c r="A367" s="247"/>
      <c r="B367" s="410" t="s">
        <v>673</v>
      </c>
      <c r="C367" s="247" t="s">
        <v>674</v>
      </c>
      <c r="D367" s="247" t="s">
        <v>675</v>
      </c>
      <c r="E367" s="372">
        <v>0.05</v>
      </c>
      <c r="F367" s="360">
        <f>'UPAD-BAHAN-ALAT'!$I$12</f>
        <v>110000</v>
      </c>
      <c r="G367" s="248">
        <f>F367*E367</f>
        <v>5500</v>
      </c>
    </row>
    <row r="368" spans="1:8">
      <c r="A368" s="247"/>
      <c r="B368" s="410" t="s">
        <v>683</v>
      </c>
      <c r="C368" s="247" t="s">
        <v>684</v>
      </c>
      <c r="D368" s="247" t="s">
        <v>675</v>
      </c>
      <c r="E368" s="372">
        <v>5.0000000000000001E-3</v>
      </c>
      <c r="F368" s="360">
        <f>'UPAD-BAHAN-ALAT'!$I$14</f>
        <v>140000</v>
      </c>
      <c r="G368" s="248">
        <f>F368*E368</f>
        <v>700</v>
      </c>
    </row>
    <row r="369" spans="1:8">
      <c r="A369" s="247"/>
      <c r="B369" s="410"/>
      <c r="C369" s="247"/>
      <c r="D369" s="247"/>
      <c r="E369" s="1146" t="s">
        <v>685</v>
      </c>
      <c r="F369" s="1146"/>
      <c r="G369" s="248">
        <f>SUM(G367:G368)</f>
        <v>6200</v>
      </c>
    </row>
    <row r="370" spans="1:8">
      <c r="A370" s="294" t="s">
        <v>686</v>
      </c>
      <c r="B370" s="411" t="s">
        <v>687</v>
      </c>
      <c r="C370" s="247"/>
      <c r="D370" s="247"/>
      <c r="E370" s="372"/>
      <c r="F370" s="360"/>
      <c r="G370" s="248"/>
    </row>
    <row r="371" spans="1:8">
      <c r="A371" s="247"/>
      <c r="B371" s="295"/>
      <c r="C371" s="296"/>
      <c r="D371" s="296"/>
      <c r="E371" s="1146" t="s">
        <v>702</v>
      </c>
      <c r="F371" s="1146"/>
      <c r="G371" s="248"/>
    </row>
    <row r="372" spans="1:8" s="265" customFormat="1">
      <c r="A372" s="294" t="s">
        <v>703</v>
      </c>
      <c r="B372" s="1147" t="s">
        <v>3910</v>
      </c>
      <c r="C372" s="1147"/>
      <c r="D372" s="1147"/>
      <c r="E372" s="1147"/>
      <c r="F372" s="1147"/>
      <c r="G372" s="255">
        <f>G369+G371</f>
        <v>6200</v>
      </c>
    </row>
    <row r="373" spans="1:8" s="265" customFormat="1">
      <c r="A373" s="294" t="s">
        <v>706</v>
      </c>
      <c r="B373" s="1148" t="s">
        <v>709</v>
      </c>
      <c r="C373" s="1148"/>
      <c r="D373" s="1148"/>
      <c r="E373" s="1147" t="s">
        <v>4030</v>
      </c>
      <c r="F373" s="1147"/>
      <c r="G373" s="255">
        <f>G372*0.15</f>
        <v>930</v>
      </c>
    </row>
    <row r="374" spans="1:8" s="265" customFormat="1">
      <c r="A374" s="294" t="s">
        <v>708</v>
      </c>
      <c r="B374" s="1149" t="s">
        <v>3911</v>
      </c>
      <c r="C374" s="1149"/>
      <c r="D374" s="1149"/>
      <c r="E374" s="1149"/>
      <c r="F374" s="1149"/>
      <c r="G374" s="605">
        <f>ROUND(SUM(G372:G373),2)</f>
        <v>7130</v>
      </c>
      <c r="H374" s="255">
        <f>SUM(G372:G373)</f>
        <v>7130</v>
      </c>
    </row>
    <row r="376" spans="1:8">
      <c r="A376" s="286" t="s">
        <v>4047</v>
      </c>
      <c r="B376" s="265" t="s">
        <v>4586</v>
      </c>
    </row>
    <row r="377" spans="1:8" s="292" customFormat="1" ht="24.95" customHeight="1">
      <c r="A377" s="290" t="s">
        <v>1003</v>
      </c>
      <c r="B377" s="290" t="s">
        <v>1004</v>
      </c>
      <c r="C377" s="290" t="s">
        <v>1005</v>
      </c>
      <c r="D377" s="290" t="s">
        <v>1006</v>
      </c>
      <c r="E377" s="379" t="s">
        <v>1007</v>
      </c>
      <c r="F377" s="363" t="s">
        <v>2637</v>
      </c>
      <c r="G377" s="291" t="s">
        <v>2638</v>
      </c>
    </row>
    <row r="378" spans="1:8">
      <c r="A378" s="294" t="s">
        <v>671</v>
      </c>
      <c r="B378" s="411" t="s">
        <v>672</v>
      </c>
      <c r="C378" s="247"/>
      <c r="D378" s="247"/>
      <c r="E378" s="428"/>
      <c r="F378" s="360"/>
      <c r="G378" s="248"/>
    </row>
    <row r="379" spans="1:8">
      <c r="A379" s="247"/>
      <c r="B379" s="410" t="s">
        <v>673</v>
      </c>
      <c r="C379" s="247" t="s">
        <v>674</v>
      </c>
      <c r="D379" s="247" t="s">
        <v>675</v>
      </c>
      <c r="E379" s="428">
        <v>0.33</v>
      </c>
      <c r="F379" s="360">
        <f>'UPAD-BAHAN-ALAT'!$I$12</f>
        <v>110000</v>
      </c>
      <c r="G379" s="248">
        <f>F379*E379</f>
        <v>36300</v>
      </c>
    </row>
    <row r="380" spans="1:8">
      <c r="A380" s="247"/>
      <c r="B380" s="410" t="s">
        <v>683</v>
      </c>
      <c r="C380" s="247" t="s">
        <v>684</v>
      </c>
      <c r="D380" s="247" t="s">
        <v>675</v>
      </c>
      <c r="E380" s="428">
        <v>0.01</v>
      </c>
      <c r="F380" s="360">
        <f>'UPAD-BAHAN-ALAT'!$I$14</f>
        <v>140000</v>
      </c>
      <c r="G380" s="248">
        <f>F380*E380</f>
        <v>1400</v>
      </c>
    </row>
    <row r="381" spans="1:8">
      <c r="A381" s="247"/>
      <c r="B381" s="410"/>
      <c r="C381" s="247"/>
      <c r="D381" s="247"/>
      <c r="E381" s="428" t="s">
        <v>685</v>
      </c>
      <c r="F381" s="390"/>
      <c r="G381" s="248">
        <f>SUM(G379:G380)</f>
        <v>37700</v>
      </c>
    </row>
    <row r="382" spans="1:8">
      <c r="A382" s="294" t="s">
        <v>686</v>
      </c>
      <c r="B382" s="411" t="s">
        <v>687</v>
      </c>
      <c r="C382" s="247"/>
      <c r="D382" s="247"/>
      <c r="E382" s="428"/>
      <c r="F382" s="360"/>
      <c r="G382" s="248"/>
    </row>
    <row r="383" spans="1:8">
      <c r="A383" s="247"/>
      <c r="B383" s="410"/>
      <c r="C383" s="247"/>
      <c r="D383" s="247"/>
      <c r="E383" s="428" t="s">
        <v>702</v>
      </c>
      <c r="F383" s="390"/>
      <c r="G383" s="248"/>
    </row>
    <row r="384" spans="1:8" s="265" customFormat="1">
      <c r="A384" s="294" t="s">
        <v>703</v>
      </c>
      <c r="B384" s="1151" t="s">
        <v>3910</v>
      </c>
      <c r="C384" s="1151"/>
      <c r="D384" s="1151"/>
      <c r="E384" s="1151"/>
      <c r="F384" s="1151"/>
      <c r="G384" s="255">
        <f>G381+G383</f>
        <v>37700</v>
      </c>
    </row>
    <row r="385" spans="1:8" s="265" customFormat="1">
      <c r="A385" s="294" t="s">
        <v>706</v>
      </c>
      <c r="B385" s="1148" t="s">
        <v>709</v>
      </c>
      <c r="C385" s="1148"/>
      <c r="D385" s="1148"/>
      <c r="E385" s="613" t="s">
        <v>4030</v>
      </c>
      <c r="F385" s="612"/>
      <c r="G385" s="255">
        <f>G384*0.15</f>
        <v>5655</v>
      </c>
    </row>
    <row r="386" spans="1:8" s="265" customFormat="1">
      <c r="A386" s="294" t="s">
        <v>708</v>
      </c>
      <c r="B386" s="1149" t="s">
        <v>3911</v>
      </c>
      <c r="C386" s="1149"/>
      <c r="D386" s="1149"/>
      <c r="E386" s="1149"/>
      <c r="F386" s="1149"/>
      <c r="G386" s="605">
        <f>ROUND(SUM(G384:G385),2)</f>
        <v>43355</v>
      </c>
      <c r="H386" s="255">
        <f>SUM(G384:G385)</f>
        <v>43355</v>
      </c>
    </row>
    <row r="387" spans="1:8">
      <c r="A387" s="268"/>
      <c r="B387" s="269"/>
      <c r="C387" s="268"/>
      <c r="D387" s="268"/>
      <c r="E387" s="380"/>
      <c r="F387" s="365"/>
      <c r="G387" s="270"/>
    </row>
    <row r="388" spans="1:8">
      <c r="A388" s="285" t="s">
        <v>4048</v>
      </c>
      <c r="B388" s="250" t="s">
        <v>2677</v>
      </c>
      <c r="C388" s="252"/>
      <c r="D388" s="252"/>
      <c r="E388" s="374"/>
      <c r="F388" s="361"/>
      <c r="G388" s="253"/>
    </row>
    <row r="389" spans="1:8" s="292" customFormat="1" ht="24.95" customHeight="1">
      <c r="A389" s="290" t="s">
        <v>1003</v>
      </c>
      <c r="B389" s="290" t="s">
        <v>1004</v>
      </c>
      <c r="C389" s="290" t="s">
        <v>1005</v>
      </c>
      <c r="D389" s="290" t="s">
        <v>1006</v>
      </c>
      <c r="E389" s="373" t="s">
        <v>1007</v>
      </c>
      <c r="F389" s="363" t="s">
        <v>2637</v>
      </c>
      <c r="G389" s="291" t="s">
        <v>2638</v>
      </c>
    </row>
    <row r="390" spans="1:8">
      <c r="A390" s="294" t="s">
        <v>671</v>
      </c>
      <c r="B390" s="411" t="s">
        <v>672</v>
      </c>
      <c r="C390" s="247"/>
      <c r="D390" s="247"/>
      <c r="E390" s="372"/>
      <c r="F390" s="360"/>
      <c r="G390" s="248"/>
    </row>
    <row r="391" spans="1:8">
      <c r="A391" s="247"/>
      <c r="B391" s="410" t="s">
        <v>673</v>
      </c>
      <c r="C391" s="247" t="s">
        <v>674</v>
      </c>
      <c r="D391" s="247" t="s">
        <v>675</v>
      </c>
      <c r="E391" s="372">
        <v>0.5</v>
      </c>
      <c r="F391" s="360">
        <f>'UPAD-BAHAN-ALAT'!$I$12</f>
        <v>110000</v>
      </c>
      <c r="G391" s="248">
        <f>F391*E391</f>
        <v>55000</v>
      </c>
    </row>
    <row r="392" spans="1:8">
      <c r="A392" s="247"/>
      <c r="B392" s="410" t="s">
        <v>683</v>
      </c>
      <c r="C392" s="247" t="s">
        <v>684</v>
      </c>
      <c r="D392" s="247" t="s">
        <v>675</v>
      </c>
      <c r="E392" s="372">
        <v>0.05</v>
      </c>
      <c r="F392" s="360">
        <f>'UPAD-BAHAN-ALAT'!$I$14</f>
        <v>140000</v>
      </c>
      <c r="G392" s="248">
        <f>F392*E392</f>
        <v>7000</v>
      </c>
    </row>
    <row r="393" spans="1:8">
      <c r="A393" s="247"/>
      <c r="B393" s="410"/>
      <c r="C393" s="247"/>
      <c r="D393" s="247"/>
      <c r="E393" s="1155" t="s">
        <v>685</v>
      </c>
      <c r="F393" s="1155"/>
      <c r="G393" s="248">
        <f>SUM(G391:G392)</f>
        <v>62000</v>
      </c>
    </row>
    <row r="394" spans="1:8">
      <c r="A394" s="294" t="s">
        <v>686</v>
      </c>
      <c r="B394" s="411" t="s">
        <v>687</v>
      </c>
      <c r="C394" s="247"/>
      <c r="D394" s="247"/>
      <c r="E394" s="619"/>
      <c r="F394" s="392"/>
      <c r="G394" s="248"/>
    </row>
    <row r="395" spans="1:8">
      <c r="A395" s="247"/>
      <c r="B395" s="295"/>
      <c r="C395" s="296"/>
      <c r="D395" s="296"/>
      <c r="E395" s="1146" t="s">
        <v>702</v>
      </c>
      <c r="F395" s="1146"/>
      <c r="G395" s="248"/>
    </row>
    <row r="396" spans="1:8" s="265" customFormat="1">
      <c r="A396" s="294" t="s">
        <v>703</v>
      </c>
      <c r="B396" s="1147" t="s">
        <v>3910</v>
      </c>
      <c r="C396" s="1147"/>
      <c r="D396" s="1147"/>
      <c r="E396" s="1147"/>
      <c r="F396" s="1147"/>
      <c r="G396" s="255">
        <f>G393+G395</f>
        <v>62000</v>
      </c>
    </row>
    <row r="397" spans="1:8" s="265" customFormat="1">
      <c r="A397" s="294" t="s">
        <v>706</v>
      </c>
      <c r="B397" s="1148" t="s">
        <v>709</v>
      </c>
      <c r="C397" s="1148"/>
      <c r="D397" s="1148"/>
      <c r="E397" s="1147" t="s">
        <v>4030</v>
      </c>
      <c r="F397" s="1147"/>
      <c r="G397" s="255">
        <f>G396*0.15</f>
        <v>9300</v>
      </c>
    </row>
    <row r="398" spans="1:8" s="265" customFormat="1">
      <c r="A398" s="294" t="s">
        <v>708</v>
      </c>
      <c r="B398" s="1149" t="s">
        <v>3911</v>
      </c>
      <c r="C398" s="1149"/>
      <c r="D398" s="1149"/>
      <c r="E398" s="1149"/>
      <c r="F398" s="1149"/>
      <c r="G398" s="605">
        <f>ROUND(SUM(G396:G397),2)</f>
        <v>71300</v>
      </c>
      <c r="H398" s="255">
        <f>SUM(G396:G397)</f>
        <v>71300</v>
      </c>
    </row>
    <row r="399" spans="1:8">
      <c r="A399" s="268"/>
      <c r="B399" s="269"/>
      <c r="C399" s="268"/>
      <c r="D399" s="268"/>
      <c r="E399" s="380"/>
      <c r="F399" s="365"/>
      <c r="G399" s="270"/>
    </row>
    <row r="400" spans="1:8">
      <c r="A400" s="285" t="s">
        <v>4049</v>
      </c>
      <c r="B400" s="250" t="s">
        <v>2678</v>
      </c>
      <c r="C400" s="252"/>
      <c r="D400" s="252"/>
      <c r="E400" s="374"/>
      <c r="F400" s="361"/>
      <c r="G400" s="253"/>
    </row>
    <row r="401" spans="1:8" s="292" customFormat="1" ht="24.95" customHeight="1">
      <c r="A401" s="290" t="s">
        <v>1003</v>
      </c>
      <c r="B401" s="290" t="s">
        <v>1004</v>
      </c>
      <c r="C401" s="290" t="s">
        <v>1005</v>
      </c>
      <c r="D401" s="290" t="s">
        <v>1006</v>
      </c>
      <c r="E401" s="373" t="s">
        <v>1007</v>
      </c>
      <c r="F401" s="363" t="s">
        <v>2637</v>
      </c>
      <c r="G401" s="291" t="s">
        <v>2638</v>
      </c>
    </row>
    <row r="402" spans="1:8">
      <c r="A402" s="294" t="s">
        <v>671</v>
      </c>
      <c r="B402" s="411" t="s">
        <v>672</v>
      </c>
      <c r="C402" s="247"/>
      <c r="D402" s="247"/>
      <c r="E402" s="372"/>
      <c r="F402" s="360"/>
      <c r="G402" s="248"/>
    </row>
    <row r="403" spans="1:8">
      <c r="A403" s="247"/>
      <c r="B403" s="410" t="s">
        <v>673</v>
      </c>
      <c r="C403" s="247" t="s">
        <v>674</v>
      </c>
      <c r="D403" s="247" t="s">
        <v>675</v>
      </c>
      <c r="E403" s="372">
        <v>0.5</v>
      </c>
      <c r="F403" s="360">
        <f>'UPAD-BAHAN-ALAT'!$I$12</f>
        <v>110000</v>
      </c>
      <c r="G403" s="248">
        <f>F403*E403</f>
        <v>55000</v>
      </c>
    </row>
    <row r="404" spans="1:8">
      <c r="A404" s="247"/>
      <c r="B404" s="410" t="s">
        <v>683</v>
      </c>
      <c r="C404" s="247" t="s">
        <v>684</v>
      </c>
      <c r="D404" s="247" t="s">
        <v>675</v>
      </c>
      <c r="E404" s="372">
        <v>0.05</v>
      </c>
      <c r="F404" s="360">
        <f>'UPAD-BAHAN-ALAT'!$I$14</f>
        <v>140000</v>
      </c>
      <c r="G404" s="248">
        <f>F404*E404</f>
        <v>7000</v>
      </c>
    </row>
    <row r="405" spans="1:8">
      <c r="A405" s="247"/>
      <c r="B405" s="410"/>
      <c r="C405" s="247"/>
      <c r="D405" s="247"/>
      <c r="E405" s="1155" t="s">
        <v>685</v>
      </c>
      <c r="F405" s="1155"/>
      <c r="G405" s="248">
        <f>SUM(G403:G404)</f>
        <v>62000</v>
      </c>
    </row>
    <row r="406" spans="1:8">
      <c r="A406" s="294" t="s">
        <v>686</v>
      </c>
      <c r="B406" s="411" t="s">
        <v>687</v>
      </c>
      <c r="C406" s="247"/>
      <c r="D406" s="247"/>
      <c r="E406" s="619"/>
      <c r="F406" s="392"/>
      <c r="G406" s="248"/>
    </row>
    <row r="407" spans="1:8">
      <c r="A407" s="247"/>
      <c r="B407" s="295"/>
      <c r="C407" s="296"/>
      <c r="D407" s="296"/>
      <c r="E407" s="1146" t="s">
        <v>702</v>
      </c>
      <c r="F407" s="1146"/>
      <c r="G407" s="248"/>
    </row>
    <row r="408" spans="1:8" s="265" customFormat="1">
      <c r="A408" s="294" t="s">
        <v>703</v>
      </c>
      <c r="B408" s="1147" t="s">
        <v>3910</v>
      </c>
      <c r="C408" s="1147"/>
      <c r="D408" s="1147"/>
      <c r="E408" s="1147"/>
      <c r="F408" s="1147"/>
      <c r="G408" s="255">
        <f>G405+G407</f>
        <v>62000</v>
      </c>
    </row>
    <row r="409" spans="1:8" s="265" customFormat="1">
      <c r="A409" s="294" t="s">
        <v>706</v>
      </c>
      <c r="B409" s="1148" t="s">
        <v>709</v>
      </c>
      <c r="C409" s="1148"/>
      <c r="D409" s="1148"/>
      <c r="E409" s="1147" t="s">
        <v>4030</v>
      </c>
      <c r="F409" s="1147"/>
      <c r="G409" s="255">
        <f>G408*0.15</f>
        <v>9300</v>
      </c>
    </row>
    <row r="410" spans="1:8" s="265" customFormat="1">
      <c r="A410" s="294" t="s">
        <v>708</v>
      </c>
      <c r="B410" s="1149" t="s">
        <v>3911</v>
      </c>
      <c r="C410" s="1149"/>
      <c r="D410" s="1149"/>
      <c r="E410" s="1149"/>
      <c r="F410" s="1149"/>
      <c r="G410" s="605">
        <f>ROUND(SUM(G408:G409),2)</f>
        <v>71300</v>
      </c>
      <c r="H410" s="255">
        <f>SUM(G408:G409)</f>
        <v>71300</v>
      </c>
    </row>
    <row r="412" spans="1:8">
      <c r="A412" s="286" t="s">
        <v>4050</v>
      </c>
      <c r="B412" s="265" t="s">
        <v>2679</v>
      </c>
    </row>
    <row r="413" spans="1:8" s="292" customFormat="1" ht="24.95" customHeight="1">
      <c r="A413" s="290" t="s">
        <v>1003</v>
      </c>
      <c r="B413" s="290" t="s">
        <v>1004</v>
      </c>
      <c r="C413" s="293" t="s">
        <v>1005</v>
      </c>
      <c r="D413" s="293" t="s">
        <v>1006</v>
      </c>
      <c r="E413" s="379" t="s">
        <v>1007</v>
      </c>
      <c r="F413" s="389" t="s">
        <v>2637</v>
      </c>
      <c r="G413" s="291" t="s">
        <v>2638</v>
      </c>
    </row>
    <row r="414" spans="1:8">
      <c r="A414" s="294" t="s">
        <v>671</v>
      </c>
      <c r="B414" s="411" t="s">
        <v>672</v>
      </c>
      <c r="C414" s="283"/>
      <c r="D414" s="283"/>
      <c r="E414" s="428"/>
      <c r="F414" s="624"/>
      <c r="G414" s="248"/>
    </row>
    <row r="415" spans="1:8">
      <c r="A415" s="247"/>
      <c r="B415" s="410" t="s">
        <v>673</v>
      </c>
      <c r="C415" s="283" t="s">
        <v>674</v>
      </c>
      <c r="D415" s="283" t="s">
        <v>675</v>
      </c>
      <c r="E415" s="428">
        <v>0.3</v>
      </c>
      <c r="F415" s="360">
        <f>'UPAD-BAHAN-ALAT'!$I$12</f>
        <v>110000</v>
      </c>
      <c r="G415" s="248">
        <f>F415*E415</f>
        <v>33000</v>
      </c>
    </row>
    <row r="416" spans="1:8">
      <c r="A416" s="247"/>
      <c r="B416" s="410" t="s">
        <v>683</v>
      </c>
      <c r="C416" s="283" t="s">
        <v>684</v>
      </c>
      <c r="D416" s="283" t="s">
        <v>675</v>
      </c>
      <c r="E416" s="428">
        <v>0.01</v>
      </c>
      <c r="F416" s="360">
        <f>'UPAD-BAHAN-ALAT'!$I$14</f>
        <v>140000</v>
      </c>
      <c r="G416" s="248">
        <f>F416*E416</f>
        <v>1400</v>
      </c>
    </row>
    <row r="417" spans="1:8">
      <c r="A417" s="247"/>
      <c r="B417" s="410"/>
      <c r="C417" s="283"/>
      <c r="D417" s="283"/>
      <c r="E417" s="1146" t="s">
        <v>685</v>
      </c>
      <c r="F417" s="1146"/>
      <c r="G417" s="248">
        <f>SUM(G415:G416)</f>
        <v>34400</v>
      </c>
    </row>
    <row r="418" spans="1:8">
      <c r="A418" s="294" t="s">
        <v>686</v>
      </c>
      <c r="B418" s="411" t="s">
        <v>687</v>
      </c>
      <c r="C418" s="283"/>
      <c r="D418" s="283"/>
      <c r="E418" s="428"/>
      <c r="F418" s="624"/>
      <c r="G418" s="248"/>
    </row>
    <row r="419" spans="1:8">
      <c r="A419" s="247"/>
      <c r="B419" s="410" t="s">
        <v>803</v>
      </c>
      <c r="C419" s="283"/>
      <c r="D419" s="283" t="s">
        <v>2646</v>
      </c>
      <c r="E419" s="428">
        <v>1.2</v>
      </c>
      <c r="F419" s="624">
        <f>'UPAD-BAHAN-ALAT'!$I$73</f>
        <v>126500</v>
      </c>
      <c r="G419" s="248">
        <f>F419*E419</f>
        <v>151800</v>
      </c>
    </row>
    <row r="420" spans="1:8">
      <c r="A420" s="247"/>
      <c r="B420" s="410"/>
      <c r="C420" s="283"/>
      <c r="D420" s="283"/>
      <c r="E420" s="1155" t="s">
        <v>702</v>
      </c>
      <c r="F420" s="1155"/>
      <c r="G420" s="248">
        <f>SUM(G419)</f>
        <v>151800</v>
      </c>
    </row>
    <row r="421" spans="1:8" s="265" customFormat="1">
      <c r="A421" s="294" t="s">
        <v>703</v>
      </c>
      <c r="B421" s="1151" t="s">
        <v>3910</v>
      </c>
      <c r="C421" s="1151"/>
      <c r="D421" s="1151"/>
      <c r="E421" s="1151"/>
      <c r="F421" s="1151"/>
      <c r="G421" s="255">
        <f>G417+G420</f>
        <v>186200</v>
      </c>
    </row>
    <row r="422" spans="1:8" s="265" customFormat="1">
      <c r="A422" s="294" t="s">
        <v>706</v>
      </c>
      <c r="B422" s="1148" t="s">
        <v>709</v>
      </c>
      <c r="C422" s="1148"/>
      <c r="D422" s="1148"/>
      <c r="E422" s="1147" t="s">
        <v>4030</v>
      </c>
      <c r="F422" s="1147"/>
      <c r="G422" s="255">
        <f>G421*0.15</f>
        <v>27930</v>
      </c>
    </row>
    <row r="423" spans="1:8" s="265" customFormat="1">
      <c r="A423" s="294" t="s">
        <v>708</v>
      </c>
      <c r="B423" s="1149" t="s">
        <v>3911</v>
      </c>
      <c r="C423" s="1149"/>
      <c r="D423" s="1149"/>
      <c r="E423" s="1149"/>
      <c r="F423" s="1149"/>
      <c r="G423" s="605">
        <f>ROUND(SUM(G421:G422),2)</f>
        <v>214130</v>
      </c>
      <c r="H423" s="255">
        <f>SUM(G421:G422)</f>
        <v>214130</v>
      </c>
    </row>
    <row r="424" spans="1:8">
      <c r="A424" s="268"/>
      <c r="B424" s="269"/>
      <c r="C424" s="268"/>
      <c r="D424" s="268"/>
      <c r="E424" s="380"/>
      <c r="F424" s="365"/>
      <c r="G424" s="270"/>
    </row>
    <row r="425" spans="1:8">
      <c r="A425" s="286" t="s">
        <v>4000</v>
      </c>
      <c r="B425" s="250" t="s">
        <v>3687</v>
      </c>
      <c r="C425" s="252"/>
      <c r="D425" s="252"/>
      <c r="E425" s="374"/>
      <c r="F425" s="361"/>
      <c r="G425" s="253"/>
    </row>
    <row r="426" spans="1:8" s="292" customFormat="1" ht="24.95" customHeight="1">
      <c r="A426" s="290" t="s">
        <v>1003</v>
      </c>
      <c r="B426" s="290" t="s">
        <v>1004</v>
      </c>
      <c r="C426" s="290" t="s">
        <v>1005</v>
      </c>
      <c r="D426" s="290" t="s">
        <v>1006</v>
      </c>
      <c r="E426" s="373" t="s">
        <v>1007</v>
      </c>
      <c r="F426" s="363" t="s">
        <v>2637</v>
      </c>
      <c r="G426" s="291" t="s">
        <v>2638</v>
      </c>
    </row>
    <row r="427" spans="1:8">
      <c r="A427" s="294" t="s">
        <v>671</v>
      </c>
      <c r="B427" s="411" t="s">
        <v>672</v>
      </c>
      <c r="C427" s="247"/>
      <c r="D427" s="247"/>
      <c r="E427" s="372"/>
      <c r="F427" s="360"/>
      <c r="G427" s="248"/>
    </row>
    <row r="428" spans="1:8">
      <c r="A428" s="247"/>
      <c r="B428" s="410" t="s">
        <v>673</v>
      </c>
      <c r="C428" s="247" t="s">
        <v>674</v>
      </c>
      <c r="D428" s="247" t="s">
        <v>675</v>
      </c>
      <c r="E428" s="428">
        <v>0.3</v>
      </c>
      <c r="F428" s="360">
        <f>'UPAD-BAHAN-ALAT'!$I$12</f>
        <v>110000</v>
      </c>
      <c r="G428" s="248">
        <f>F428*E428</f>
        <v>33000</v>
      </c>
    </row>
    <row r="429" spans="1:8">
      <c r="A429" s="247"/>
      <c r="B429" s="410" t="s">
        <v>683</v>
      </c>
      <c r="C429" s="247" t="s">
        <v>684</v>
      </c>
      <c r="D429" s="247" t="s">
        <v>675</v>
      </c>
      <c r="E429" s="428">
        <v>0.01</v>
      </c>
      <c r="F429" s="360">
        <f>'UPAD-BAHAN-ALAT'!$I$14</f>
        <v>140000</v>
      </c>
      <c r="G429" s="248">
        <f>F429*E429</f>
        <v>1400</v>
      </c>
    </row>
    <row r="430" spans="1:8">
      <c r="A430" s="247"/>
      <c r="B430" s="410"/>
      <c r="C430" s="247"/>
      <c r="D430" s="247"/>
      <c r="E430" s="1155" t="s">
        <v>685</v>
      </c>
      <c r="F430" s="1155"/>
      <c r="G430" s="248">
        <f>SUM(G428:G429)</f>
        <v>34400</v>
      </c>
    </row>
    <row r="431" spans="1:8">
      <c r="A431" s="294" t="s">
        <v>686</v>
      </c>
      <c r="B431" s="411" t="s">
        <v>687</v>
      </c>
      <c r="C431" s="247"/>
      <c r="D431" s="247"/>
      <c r="E431" s="619"/>
      <c r="F431" s="392"/>
      <c r="G431" s="248"/>
    </row>
    <row r="432" spans="1:8">
      <c r="A432" s="247"/>
      <c r="B432" s="267" t="s">
        <v>3688</v>
      </c>
      <c r="C432" s="247"/>
      <c r="D432" s="247"/>
      <c r="E432" s="428">
        <v>1.2</v>
      </c>
      <c r="F432" s="360">
        <f>'UPAD-BAHAN-ALAT'!$I$81</f>
        <v>126500</v>
      </c>
      <c r="G432" s="248">
        <f>F432*E432</f>
        <v>151800</v>
      </c>
    </row>
    <row r="433" spans="1:8">
      <c r="A433" s="247"/>
      <c r="B433" s="410"/>
      <c r="C433" s="247"/>
      <c r="D433" s="247"/>
      <c r="E433" s="1146" t="s">
        <v>702</v>
      </c>
      <c r="F433" s="1146"/>
      <c r="G433" s="248">
        <f>G432</f>
        <v>151800</v>
      </c>
    </row>
    <row r="434" spans="1:8" s="265" customFormat="1">
      <c r="A434" s="432" t="s">
        <v>703</v>
      </c>
      <c r="B434" s="1175" t="s">
        <v>3910</v>
      </c>
      <c r="C434" s="1175"/>
      <c r="D434" s="1175"/>
      <c r="E434" s="1175"/>
      <c r="F434" s="1175"/>
      <c r="G434" s="631">
        <f>G430+G433</f>
        <v>186200</v>
      </c>
    </row>
    <row r="435" spans="1:8" s="265" customFormat="1">
      <c r="A435" s="294" t="s">
        <v>706</v>
      </c>
      <c r="B435" s="1167" t="s">
        <v>709</v>
      </c>
      <c r="C435" s="1167"/>
      <c r="D435" s="1167"/>
      <c r="E435" s="1149" t="s">
        <v>4030</v>
      </c>
      <c r="F435" s="1149"/>
      <c r="G435" s="255">
        <f>G434*0.15</f>
        <v>27930</v>
      </c>
    </row>
    <row r="436" spans="1:8" s="265" customFormat="1">
      <c r="A436" s="294" t="s">
        <v>708</v>
      </c>
      <c r="B436" s="1149" t="s">
        <v>3911</v>
      </c>
      <c r="C436" s="1149"/>
      <c r="D436" s="1149"/>
      <c r="E436" s="1149"/>
      <c r="F436" s="1149"/>
      <c r="G436" s="605">
        <f>ROUND(SUM(G434:G435),2)</f>
        <v>214130</v>
      </c>
      <c r="H436" s="255">
        <f>SUM(G434:G435)</f>
        <v>214130</v>
      </c>
    </row>
    <row r="437" spans="1:8">
      <c r="A437" s="252"/>
      <c r="B437" s="251"/>
      <c r="C437" s="252"/>
      <c r="D437" s="252"/>
      <c r="E437" s="374"/>
      <c r="F437" s="361"/>
      <c r="G437" s="253"/>
    </row>
    <row r="438" spans="1:8" hidden="1">
      <c r="A438" s="284" t="s">
        <v>4051</v>
      </c>
      <c r="B438" s="250" t="s">
        <v>4579</v>
      </c>
      <c r="D438" s="252"/>
      <c r="E438" s="374"/>
      <c r="F438" s="361"/>
      <c r="G438" s="253"/>
    </row>
    <row r="439" spans="1:8" s="292" customFormat="1" ht="24.95" hidden="1" customHeight="1">
      <c r="A439" s="290" t="s">
        <v>1003</v>
      </c>
      <c r="B439" s="290"/>
      <c r="C439" s="290" t="s">
        <v>1005</v>
      </c>
      <c r="D439" s="293" t="s">
        <v>1006</v>
      </c>
      <c r="E439" s="379" t="s">
        <v>1007</v>
      </c>
      <c r="F439" s="389" t="s">
        <v>2637</v>
      </c>
      <c r="G439" s="291" t="s">
        <v>2638</v>
      </c>
    </row>
    <row r="440" spans="1:8" hidden="1">
      <c r="A440" s="294" t="s">
        <v>671</v>
      </c>
      <c r="B440" s="357" t="s">
        <v>672</v>
      </c>
      <c r="C440" s="247"/>
      <c r="D440" s="247"/>
      <c r="E440" s="609"/>
      <c r="F440" s="429"/>
      <c r="G440" s="632"/>
    </row>
    <row r="441" spans="1:8" hidden="1">
      <c r="A441" s="247"/>
      <c r="B441" s="355" t="s">
        <v>673</v>
      </c>
      <c r="C441" s="247" t="s">
        <v>674</v>
      </c>
      <c r="D441" s="283" t="s">
        <v>675</v>
      </c>
      <c r="E441" s="428">
        <v>0.8</v>
      </c>
      <c r="F441" s="360">
        <f>'UPAD-BAHAN-ALAT'!$I$12</f>
        <v>110000</v>
      </c>
      <c r="G441" s="248">
        <f>F441*E441</f>
        <v>88000</v>
      </c>
    </row>
    <row r="442" spans="1:8" hidden="1">
      <c r="A442" s="247"/>
      <c r="B442" s="355" t="s">
        <v>782</v>
      </c>
      <c r="C442" s="247" t="s">
        <v>678</v>
      </c>
      <c r="D442" s="283" t="s">
        <v>675</v>
      </c>
      <c r="E442" s="428">
        <v>0.4</v>
      </c>
      <c r="F442" s="360">
        <f>'UPAD-BAHAN-ALAT'!$I$13</f>
        <v>140000</v>
      </c>
      <c r="G442" s="248">
        <f>F442*E442</f>
        <v>56000</v>
      </c>
    </row>
    <row r="443" spans="1:8" hidden="1">
      <c r="A443" s="247"/>
      <c r="B443" s="355" t="s">
        <v>680</v>
      </c>
      <c r="C443" s="247" t="s">
        <v>681</v>
      </c>
      <c r="D443" s="283" t="s">
        <v>675</v>
      </c>
      <c r="E443" s="428">
        <v>0.04</v>
      </c>
      <c r="F443" s="360">
        <f>'UPAD-BAHAN-ALAT'!$I$15</f>
        <v>150000</v>
      </c>
      <c r="G443" s="248">
        <f>F443*E443</f>
        <v>6000</v>
      </c>
    </row>
    <row r="444" spans="1:8" hidden="1">
      <c r="A444" s="247"/>
      <c r="B444" s="355" t="s">
        <v>683</v>
      </c>
      <c r="C444" s="247" t="s">
        <v>684</v>
      </c>
      <c r="D444" s="283" t="s">
        <v>675</v>
      </c>
      <c r="E444" s="428">
        <v>0.08</v>
      </c>
      <c r="F444" s="360">
        <f>'UPAD-BAHAN-ALAT'!$I$14</f>
        <v>140000</v>
      </c>
      <c r="G444" s="248">
        <f>F444*E444</f>
        <v>11200</v>
      </c>
    </row>
    <row r="445" spans="1:8" hidden="1">
      <c r="A445" s="247"/>
      <c r="B445" s="355"/>
      <c r="C445" s="247"/>
      <c r="D445" s="283"/>
      <c r="E445" s="428" t="s">
        <v>685</v>
      </c>
      <c r="F445" s="429"/>
      <c r="G445" s="632">
        <f>SUM(G441:G444)</f>
        <v>161200</v>
      </c>
    </row>
    <row r="446" spans="1:8" hidden="1">
      <c r="A446" s="294" t="s">
        <v>686</v>
      </c>
      <c r="B446" s="357" t="s">
        <v>687</v>
      </c>
      <c r="C446" s="247"/>
      <c r="D446" s="283"/>
      <c r="E446" s="428"/>
      <c r="F446" s="429"/>
      <c r="G446" s="632"/>
    </row>
    <row r="447" spans="1:8" hidden="1">
      <c r="A447" s="247"/>
      <c r="B447" s="355" t="s">
        <v>806</v>
      </c>
      <c r="C447" s="247"/>
      <c r="D447" s="283" t="s">
        <v>2646</v>
      </c>
      <c r="E447" s="428">
        <v>0.13500000000000001</v>
      </c>
      <c r="F447" s="429"/>
      <c r="G447" s="632"/>
    </row>
    <row r="448" spans="1:8" hidden="1">
      <c r="A448" s="247"/>
      <c r="B448" s="355" t="s">
        <v>808</v>
      </c>
      <c r="C448" s="247"/>
      <c r="D448" s="283" t="s">
        <v>2646</v>
      </c>
      <c r="E448" s="428">
        <v>0.4</v>
      </c>
      <c r="F448" s="429">
        <f>'UPAD-BAHAN-ALAT'!I71</f>
        <v>176000</v>
      </c>
      <c r="G448" s="248">
        <f>F448*E448</f>
        <v>70400</v>
      </c>
    </row>
    <row r="449" spans="1:8" hidden="1">
      <c r="A449" s="247"/>
      <c r="B449" s="355" t="s">
        <v>809</v>
      </c>
      <c r="C449" s="247"/>
      <c r="D449" s="283" t="s">
        <v>2646</v>
      </c>
      <c r="E449" s="428">
        <v>0.94799999999999995</v>
      </c>
      <c r="F449" s="429">
        <f>'UPAD-BAHAN-ALAT'!I81</f>
        <v>126500</v>
      </c>
      <c r="G449" s="248">
        <f>F449*E449</f>
        <v>119922</v>
      </c>
    </row>
    <row r="450" spans="1:8" hidden="1">
      <c r="A450" s="247"/>
      <c r="B450" s="355"/>
      <c r="C450" s="247"/>
      <c r="D450" s="283"/>
      <c r="E450" s="428" t="s">
        <v>702</v>
      </c>
      <c r="F450" s="429"/>
      <c r="G450" s="632">
        <f>SUM(G447:G449)</f>
        <v>190322</v>
      </c>
    </row>
    <row r="451" spans="1:8" s="265" customFormat="1" hidden="1">
      <c r="A451" s="294" t="s">
        <v>703</v>
      </c>
      <c r="B451" s="357" t="s">
        <v>3910</v>
      </c>
      <c r="C451" s="610"/>
      <c r="D451" s="610"/>
      <c r="E451" s="611"/>
      <c r="F451" s="612"/>
      <c r="G451" s="631">
        <f>G445+G450</f>
        <v>351522</v>
      </c>
    </row>
    <row r="452" spans="1:8" s="265" customFormat="1" hidden="1">
      <c r="A452" s="294" t="s">
        <v>706</v>
      </c>
      <c r="B452" s="617" t="s">
        <v>709</v>
      </c>
      <c r="C452" s="618"/>
      <c r="D452" s="633"/>
      <c r="E452" s="613" t="s">
        <v>4030</v>
      </c>
      <c r="F452" s="612"/>
      <c r="G452" s="631">
        <f>G451*0.15</f>
        <v>52728.299999999996</v>
      </c>
    </row>
    <row r="453" spans="1:8" s="265" customFormat="1" hidden="1">
      <c r="A453" s="294" t="s">
        <v>708</v>
      </c>
      <c r="B453" s="357" t="s">
        <v>3911</v>
      </c>
      <c r="C453" s="610"/>
      <c r="D453" s="610"/>
      <c r="E453" s="611"/>
      <c r="F453" s="612"/>
      <c r="G453" s="605">
        <f>ROUND(SUM(G451:G452),2)</f>
        <v>404250.3</v>
      </c>
      <c r="H453" s="631">
        <f>SUM(G451:G452)</f>
        <v>404250.3</v>
      </c>
    </row>
    <row r="454" spans="1:8" hidden="1">
      <c r="A454" s="268"/>
      <c r="B454" s="269"/>
      <c r="C454" s="268"/>
      <c r="D454" s="268"/>
      <c r="E454" s="380"/>
      <c r="F454" s="365"/>
      <c r="G454" s="270"/>
    </row>
    <row r="455" spans="1:8">
      <c r="A455" s="285" t="s">
        <v>4052</v>
      </c>
      <c r="B455" s="250" t="s">
        <v>2680</v>
      </c>
      <c r="C455" s="252"/>
      <c r="D455" s="252"/>
      <c r="E455" s="374"/>
      <c r="F455" s="361"/>
      <c r="G455" s="253"/>
    </row>
    <row r="456" spans="1:8" s="292" customFormat="1" ht="24.95" customHeight="1">
      <c r="A456" s="290" t="s">
        <v>1003</v>
      </c>
      <c r="B456" s="290" t="s">
        <v>1004</v>
      </c>
      <c r="C456" s="293" t="s">
        <v>1005</v>
      </c>
      <c r="D456" s="293" t="s">
        <v>1006</v>
      </c>
      <c r="E456" s="379" t="s">
        <v>1007</v>
      </c>
      <c r="F456" s="389" t="s">
        <v>2637</v>
      </c>
      <c r="G456" s="291" t="s">
        <v>2638</v>
      </c>
    </row>
    <row r="457" spans="1:8">
      <c r="A457" s="294" t="s">
        <v>671</v>
      </c>
      <c r="B457" s="411" t="s">
        <v>672</v>
      </c>
      <c r="C457" s="283"/>
      <c r="D457" s="283"/>
      <c r="E457" s="428"/>
      <c r="F457" s="624"/>
      <c r="G457" s="248"/>
    </row>
    <row r="458" spans="1:8">
      <c r="A458" s="247"/>
      <c r="B458" s="410" t="s">
        <v>673</v>
      </c>
      <c r="C458" s="283" t="s">
        <v>674</v>
      </c>
      <c r="D458" s="283" t="s">
        <v>675</v>
      </c>
      <c r="E458" s="428">
        <v>0.15</v>
      </c>
      <c r="F458" s="360">
        <f>'UPAD-BAHAN-ALAT'!$I$12</f>
        <v>110000</v>
      </c>
      <c r="G458" s="248">
        <f>F458*E458</f>
        <v>16500</v>
      </c>
    </row>
    <row r="459" spans="1:8">
      <c r="A459" s="247"/>
      <c r="B459" s="410" t="s">
        <v>683</v>
      </c>
      <c r="C459" s="283" t="s">
        <v>684</v>
      </c>
      <c r="D459" s="283" t="s">
        <v>675</v>
      </c>
      <c r="E459" s="428">
        <v>1.4999999999999999E-2</v>
      </c>
      <c r="F459" s="360">
        <f>'UPAD-BAHAN-ALAT'!$I$14</f>
        <v>140000</v>
      </c>
      <c r="G459" s="248">
        <f>F459*E459</f>
        <v>2100</v>
      </c>
    </row>
    <row r="460" spans="1:8">
      <c r="A460" s="247"/>
      <c r="B460" s="410"/>
      <c r="C460" s="283"/>
      <c r="D460" s="283"/>
      <c r="E460" s="1146" t="s">
        <v>685</v>
      </c>
      <c r="F460" s="1146"/>
      <c r="G460" s="248">
        <f>SUM(G458:G459)</f>
        <v>18600</v>
      </c>
    </row>
    <row r="461" spans="1:8">
      <c r="A461" s="294" t="s">
        <v>686</v>
      </c>
      <c r="B461" s="411" t="s">
        <v>687</v>
      </c>
      <c r="C461" s="283"/>
      <c r="D461" s="283"/>
      <c r="E461" s="428"/>
      <c r="F461" s="624"/>
      <c r="G461" s="248"/>
    </row>
    <row r="462" spans="1:8">
      <c r="A462" s="247"/>
      <c r="B462" s="410" t="s">
        <v>812</v>
      </c>
      <c r="C462" s="283"/>
      <c r="D462" s="283" t="s">
        <v>773</v>
      </c>
      <c r="E462" s="428">
        <v>6</v>
      </c>
      <c r="F462" s="624">
        <f>'UPAD-BAHAN-ALAT'!I90</f>
        <v>33000</v>
      </c>
      <c r="G462" s="248">
        <f>F462*E462</f>
        <v>198000</v>
      </c>
    </row>
    <row r="463" spans="1:8">
      <c r="A463" s="247"/>
      <c r="B463" s="295"/>
      <c r="C463" s="634"/>
      <c r="D463" s="634"/>
      <c r="E463" s="1146" t="s">
        <v>702</v>
      </c>
      <c r="F463" s="1146"/>
      <c r="G463" s="248">
        <f>SUM(G462)</f>
        <v>198000</v>
      </c>
    </row>
    <row r="464" spans="1:8" s="265" customFormat="1">
      <c r="A464" s="294" t="s">
        <v>703</v>
      </c>
      <c r="B464" s="1147" t="s">
        <v>3910</v>
      </c>
      <c r="C464" s="1147"/>
      <c r="D464" s="1147"/>
      <c r="E464" s="1147"/>
      <c r="F464" s="1147"/>
      <c r="G464" s="255">
        <f>G460+G463</f>
        <v>216600</v>
      </c>
    </row>
    <row r="465" spans="1:8" s="265" customFormat="1">
      <c r="A465" s="294" t="s">
        <v>706</v>
      </c>
      <c r="B465" s="1147" t="s">
        <v>796</v>
      </c>
      <c r="C465" s="1147"/>
      <c r="D465" s="432"/>
      <c r="E465" s="1147" t="s">
        <v>4030</v>
      </c>
      <c r="F465" s="1147"/>
      <c r="G465" s="255">
        <f>G464*0.15</f>
        <v>32490</v>
      </c>
    </row>
    <row r="466" spans="1:8" s="265" customFormat="1">
      <c r="A466" s="294" t="s">
        <v>708</v>
      </c>
      <c r="B466" s="1149" t="s">
        <v>3911</v>
      </c>
      <c r="C466" s="1149"/>
      <c r="D466" s="1149"/>
      <c r="E466" s="1149"/>
      <c r="F466" s="1149"/>
      <c r="G466" s="605">
        <f>ROUND(SUM(G464:G465),2)</f>
        <v>249090</v>
      </c>
      <c r="H466" s="255">
        <f>SUM(G464:G465)</f>
        <v>249090</v>
      </c>
    </row>
    <row r="468" spans="1:8">
      <c r="A468" s="600" t="s">
        <v>4053</v>
      </c>
      <c r="B468" s="265" t="s">
        <v>2681</v>
      </c>
    </row>
    <row r="469" spans="1:8" s="292" customFormat="1" ht="24.95" customHeight="1">
      <c r="A469" s="290" t="s">
        <v>1003</v>
      </c>
      <c r="B469" s="290" t="s">
        <v>1004</v>
      </c>
      <c r="C469" s="290" t="s">
        <v>1005</v>
      </c>
      <c r="D469" s="290" t="s">
        <v>1006</v>
      </c>
      <c r="E469" s="373" t="s">
        <v>1007</v>
      </c>
      <c r="F469" s="363" t="s">
        <v>2637</v>
      </c>
      <c r="G469" s="291" t="s">
        <v>2638</v>
      </c>
    </row>
    <row r="470" spans="1:8">
      <c r="A470" s="294" t="s">
        <v>671</v>
      </c>
      <c r="B470" s="411" t="s">
        <v>672</v>
      </c>
      <c r="C470" s="247"/>
      <c r="D470" s="247"/>
      <c r="E470" s="372"/>
      <c r="F470" s="360"/>
      <c r="G470" s="248"/>
    </row>
    <row r="471" spans="1:8">
      <c r="A471" s="247"/>
      <c r="B471" s="410" t="s">
        <v>673</v>
      </c>
      <c r="C471" s="247" t="s">
        <v>674</v>
      </c>
      <c r="D471" s="247" t="s">
        <v>675</v>
      </c>
      <c r="E471" s="372">
        <v>0.25</v>
      </c>
      <c r="F471" s="360">
        <f>'UPAD-BAHAN-ALAT'!$I$12</f>
        <v>110000</v>
      </c>
      <c r="G471" s="248">
        <f>F471*E471</f>
        <v>27500</v>
      </c>
    </row>
    <row r="472" spans="1:8">
      <c r="A472" s="247"/>
      <c r="B472" s="410" t="s">
        <v>683</v>
      </c>
      <c r="C472" s="247" t="s">
        <v>684</v>
      </c>
      <c r="D472" s="247" t="s">
        <v>675</v>
      </c>
      <c r="E472" s="372">
        <v>2.5000000000000001E-2</v>
      </c>
      <c r="F472" s="360">
        <f>'UPAD-BAHAN-ALAT'!$I$14</f>
        <v>140000</v>
      </c>
      <c r="G472" s="248">
        <f>F472*E472</f>
        <v>3500</v>
      </c>
    </row>
    <row r="473" spans="1:8">
      <c r="A473" s="247"/>
      <c r="B473" s="410"/>
      <c r="C473" s="247"/>
      <c r="D473" s="247"/>
      <c r="E473" s="1146" t="s">
        <v>685</v>
      </c>
      <c r="F473" s="1146"/>
      <c r="G473" s="248">
        <f>SUM(G471:G472)</f>
        <v>31000</v>
      </c>
    </row>
    <row r="474" spans="1:8">
      <c r="A474" s="294" t="s">
        <v>686</v>
      </c>
      <c r="B474" s="411" t="s">
        <v>687</v>
      </c>
      <c r="C474" s="247"/>
      <c r="D474" s="247"/>
      <c r="E474" s="372"/>
      <c r="F474" s="360"/>
      <c r="G474" s="248"/>
    </row>
    <row r="475" spans="1:8">
      <c r="A475" s="247"/>
      <c r="B475" s="410" t="s">
        <v>814</v>
      </c>
      <c r="C475" s="247"/>
      <c r="D475" s="247" t="s">
        <v>2646</v>
      </c>
      <c r="E475" s="372">
        <v>1.2</v>
      </c>
      <c r="F475" s="360">
        <f>'UPAD-BAHAN-ALAT'!$I$80</f>
        <v>207000</v>
      </c>
      <c r="G475" s="248">
        <f>F475*E475</f>
        <v>248400</v>
      </c>
    </row>
    <row r="476" spans="1:8">
      <c r="A476" s="247"/>
      <c r="B476" s="295"/>
      <c r="C476" s="296"/>
      <c r="D476" s="296"/>
      <c r="E476" s="1146" t="s">
        <v>702</v>
      </c>
      <c r="F476" s="1146"/>
      <c r="G476" s="248">
        <f>SUM(G475)</f>
        <v>248400</v>
      </c>
    </row>
    <row r="477" spans="1:8" s="265" customFormat="1">
      <c r="A477" s="294" t="s">
        <v>703</v>
      </c>
      <c r="B477" s="1147" t="s">
        <v>3910</v>
      </c>
      <c r="C477" s="1147"/>
      <c r="D477" s="1147"/>
      <c r="E477" s="1147"/>
      <c r="F477" s="1147"/>
      <c r="G477" s="255">
        <f>G473+G476</f>
        <v>279400</v>
      </c>
    </row>
    <row r="478" spans="1:8" s="265" customFormat="1">
      <c r="A478" s="294" t="s">
        <v>706</v>
      </c>
      <c r="B478" s="1148" t="s">
        <v>709</v>
      </c>
      <c r="C478" s="1148"/>
      <c r="D478" s="1148"/>
      <c r="E478" s="1147" t="s">
        <v>4030</v>
      </c>
      <c r="F478" s="1147"/>
      <c r="G478" s="255">
        <f>G477*0.15</f>
        <v>41910</v>
      </c>
    </row>
    <row r="479" spans="1:8" s="265" customFormat="1">
      <c r="A479" s="294" t="s">
        <v>708</v>
      </c>
      <c r="B479" s="1149" t="s">
        <v>3911</v>
      </c>
      <c r="C479" s="1149"/>
      <c r="D479" s="1149"/>
      <c r="E479" s="1149"/>
      <c r="F479" s="1149"/>
      <c r="G479" s="605">
        <f>ROUND(SUM(G477:G478),2)</f>
        <v>321310</v>
      </c>
    </row>
    <row r="481" spans="1:7">
      <c r="A481" s="284" t="s">
        <v>2682</v>
      </c>
      <c r="B481" s="250" t="s">
        <v>2683</v>
      </c>
      <c r="D481" s="252"/>
      <c r="E481" s="374"/>
      <c r="F481" s="361"/>
      <c r="G481" s="253"/>
    </row>
    <row r="482" spans="1:7">
      <c r="A482" s="284" t="s">
        <v>4054</v>
      </c>
      <c r="B482" s="250" t="s">
        <v>2684</v>
      </c>
      <c r="D482" s="252"/>
      <c r="E482" s="374"/>
      <c r="F482" s="361"/>
      <c r="G482" s="253"/>
    </row>
    <row r="483" spans="1:7" s="292" customFormat="1" ht="24.95" customHeight="1">
      <c r="A483" s="290" t="s">
        <v>1003</v>
      </c>
      <c r="B483" s="290" t="s">
        <v>1004</v>
      </c>
      <c r="C483" s="290" t="s">
        <v>1005</v>
      </c>
      <c r="D483" s="290" t="s">
        <v>1006</v>
      </c>
      <c r="E483" s="373" t="s">
        <v>1007</v>
      </c>
      <c r="F483" s="363" t="s">
        <v>2637</v>
      </c>
      <c r="G483" s="291" t="s">
        <v>2638</v>
      </c>
    </row>
    <row r="484" spans="1:7">
      <c r="A484" s="294" t="s">
        <v>671</v>
      </c>
      <c r="B484" s="411" t="s">
        <v>672</v>
      </c>
      <c r="C484" s="247"/>
      <c r="D484" s="247"/>
      <c r="E484" s="372"/>
      <c r="F484" s="360"/>
      <c r="G484" s="248"/>
    </row>
    <row r="485" spans="1:7">
      <c r="A485" s="247"/>
      <c r="B485" s="410" t="s">
        <v>673</v>
      </c>
      <c r="C485" s="247" t="s">
        <v>674</v>
      </c>
      <c r="D485" s="247" t="s">
        <v>675</v>
      </c>
      <c r="E485" s="372">
        <v>1.5</v>
      </c>
      <c r="F485" s="360">
        <f>'UPAD-BAHAN-ALAT'!$I$12</f>
        <v>110000</v>
      </c>
      <c r="G485" s="248">
        <f>F485*E485</f>
        <v>165000</v>
      </c>
    </row>
    <row r="486" spans="1:7">
      <c r="A486" s="247"/>
      <c r="B486" s="410" t="s">
        <v>816</v>
      </c>
      <c r="C486" s="247" t="s">
        <v>678</v>
      </c>
      <c r="D486" s="247" t="s">
        <v>675</v>
      </c>
      <c r="E486" s="372">
        <v>0.75</v>
      </c>
      <c r="F486" s="360">
        <f>'UPAD-BAHAN-ALAT'!$I$13</f>
        <v>140000</v>
      </c>
      <c r="G486" s="248">
        <f>F486*E486</f>
        <v>105000</v>
      </c>
    </row>
    <row r="487" spans="1:7">
      <c r="A487" s="247"/>
      <c r="B487" s="410" t="s">
        <v>680</v>
      </c>
      <c r="C487" s="247" t="s">
        <v>681</v>
      </c>
      <c r="D487" s="247" t="s">
        <v>675</v>
      </c>
      <c r="E487" s="372">
        <v>7.4999999999999997E-2</v>
      </c>
      <c r="F487" s="360">
        <f>'UPAD-BAHAN-ALAT'!$I$15</f>
        <v>150000</v>
      </c>
      <c r="G487" s="248">
        <f>F487*E487</f>
        <v>11250</v>
      </c>
    </row>
    <row r="488" spans="1:7">
      <c r="A488" s="247"/>
      <c r="B488" s="410" t="s">
        <v>683</v>
      </c>
      <c r="C488" s="247" t="s">
        <v>684</v>
      </c>
      <c r="D488" s="247" t="s">
        <v>675</v>
      </c>
      <c r="E488" s="372">
        <v>7.4999999999999997E-2</v>
      </c>
      <c r="F488" s="360">
        <f>'UPAD-BAHAN-ALAT'!$I$14</f>
        <v>140000</v>
      </c>
      <c r="G488" s="248">
        <f>F488*E488</f>
        <v>10500</v>
      </c>
    </row>
    <row r="489" spans="1:7">
      <c r="A489" s="247"/>
      <c r="B489" s="410"/>
      <c r="C489" s="247"/>
      <c r="D489" s="247"/>
      <c r="E489" s="1146" t="s">
        <v>685</v>
      </c>
      <c r="F489" s="1146"/>
      <c r="G489" s="248">
        <f>SUM(G485:G488)</f>
        <v>291750</v>
      </c>
    </row>
    <row r="490" spans="1:7">
      <c r="A490" s="294" t="s">
        <v>686</v>
      </c>
      <c r="B490" s="411" t="s">
        <v>687</v>
      </c>
      <c r="C490" s="247"/>
      <c r="D490" s="247"/>
      <c r="E490" s="372"/>
      <c r="F490" s="360"/>
      <c r="G490" s="248"/>
    </row>
    <row r="491" spans="1:7">
      <c r="A491" s="247"/>
      <c r="B491" s="410" t="s">
        <v>776</v>
      </c>
      <c r="C491" s="247"/>
      <c r="D491" s="247" t="s">
        <v>2646</v>
      </c>
      <c r="E491" s="372">
        <v>1.2</v>
      </c>
      <c r="F491" s="360">
        <f>'UPAD-BAHAN-ALAT'!$I$52</f>
        <v>298200</v>
      </c>
      <c r="G491" s="248">
        <f>F491*E491</f>
        <v>357840</v>
      </c>
    </row>
    <row r="492" spans="1:7">
      <c r="A492" s="247"/>
      <c r="B492" s="410" t="s">
        <v>818</v>
      </c>
      <c r="C492" s="247"/>
      <c r="D492" s="247" t="s">
        <v>690</v>
      </c>
      <c r="E492" s="372">
        <v>202</v>
      </c>
      <c r="F492" s="360">
        <f>'UPAD-BAHAN-ALAT'!$I$77</f>
        <v>1625</v>
      </c>
      <c r="G492" s="248">
        <f>F492*E492</f>
        <v>328250</v>
      </c>
    </row>
    <row r="493" spans="1:7">
      <c r="A493" s="247"/>
      <c r="B493" s="410" t="s">
        <v>808</v>
      </c>
      <c r="C493" s="247"/>
      <c r="D493" s="247" t="s">
        <v>2646</v>
      </c>
      <c r="E493" s="372">
        <v>0.48499999999999999</v>
      </c>
      <c r="F493" s="360">
        <f>'UPAD-BAHAN-ALAT'!$I$71</f>
        <v>176000</v>
      </c>
      <c r="G493" s="248">
        <f>F493*E493</f>
        <v>85360</v>
      </c>
    </row>
    <row r="494" spans="1:7">
      <c r="A494" s="247"/>
      <c r="B494" s="295"/>
      <c r="C494" s="296"/>
      <c r="D494" s="296"/>
      <c r="E494" s="1146" t="s">
        <v>702</v>
      </c>
      <c r="F494" s="1146"/>
      <c r="G494" s="248">
        <f>SUM(G491:G493)</f>
        <v>771450</v>
      </c>
    </row>
    <row r="495" spans="1:7" s="265" customFormat="1">
      <c r="A495" s="294" t="s">
        <v>703</v>
      </c>
      <c r="B495" s="1147" t="s">
        <v>3910</v>
      </c>
      <c r="C495" s="1147"/>
      <c r="D495" s="1147"/>
      <c r="E495" s="1147"/>
      <c r="F495" s="1147"/>
      <c r="G495" s="255">
        <f>G489+G494</f>
        <v>1063200</v>
      </c>
    </row>
    <row r="496" spans="1:7" s="265" customFormat="1">
      <c r="A496" s="294" t="s">
        <v>706</v>
      </c>
      <c r="B496" s="1148" t="s">
        <v>709</v>
      </c>
      <c r="C496" s="1148"/>
      <c r="D496" s="1148"/>
      <c r="E496" s="1147" t="s">
        <v>4030</v>
      </c>
      <c r="F496" s="1147"/>
      <c r="G496" s="255">
        <f>G495*0.15</f>
        <v>159480</v>
      </c>
    </row>
    <row r="497" spans="1:8" s="265" customFormat="1">
      <c r="A497" s="294" t="s">
        <v>708</v>
      </c>
      <c r="B497" s="1149" t="s">
        <v>3911</v>
      </c>
      <c r="C497" s="1149"/>
      <c r="D497" s="1149"/>
      <c r="E497" s="1149"/>
      <c r="F497" s="1149"/>
      <c r="G497" s="255">
        <f>ROUND(SUM(G495:G496),2)</f>
        <v>1222680</v>
      </c>
      <c r="H497" s="255">
        <f>SUM(G495:G496)</f>
        <v>1222680</v>
      </c>
    </row>
    <row r="499" spans="1:8">
      <c r="A499" s="286" t="s">
        <v>4055</v>
      </c>
      <c r="B499" s="265" t="s">
        <v>2685</v>
      </c>
    </row>
    <row r="500" spans="1:8" s="292" customFormat="1" ht="24.95" customHeight="1">
      <c r="A500" s="290" t="s">
        <v>1003</v>
      </c>
      <c r="B500" s="290" t="s">
        <v>1004</v>
      </c>
      <c r="C500" s="290" t="s">
        <v>1005</v>
      </c>
      <c r="D500" s="290" t="s">
        <v>1006</v>
      </c>
      <c r="E500" s="373" t="s">
        <v>1007</v>
      </c>
      <c r="F500" s="363" t="s">
        <v>2637</v>
      </c>
      <c r="G500" s="291" t="s">
        <v>2638</v>
      </c>
    </row>
    <row r="501" spans="1:8">
      <c r="A501" s="294" t="s">
        <v>671</v>
      </c>
      <c r="B501" s="411" t="s">
        <v>672</v>
      </c>
      <c r="C501" s="247"/>
      <c r="D501" s="247"/>
      <c r="E501" s="372"/>
      <c r="F501" s="360"/>
      <c r="G501" s="248"/>
    </row>
    <row r="502" spans="1:8">
      <c r="A502" s="247"/>
      <c r="B502" s="410" t="s">
        <v>673</v>
      </c>
      <c r="C502" s="247" t="s">
        <v>674</v>
      </c>
      <c r="D502" s="247" t="s">
        <v>675</v>
      </c>
      <c r="E502" s="372">
        <v>1.5</v>
      </c>
      <c r="F502" s="360">
        <f>'UPAD-BAHAN-ALAT'!$I$12</f>
        <v>110000</v>
      </c>
      <c r="G502" s="248">
        <f>F502*E502</f>
        <v>165000</v>
      </c>
    </row>
    <row r="503" spans="1:8">
      <c r="A503" s="247"/>
      <c r="B503" s="410" t="s">
        <v>816</v>
      </c>
      <c r="C503" s="247" t="s">
        <v>678</v>
      </c>
      <c r="D503" s="247" t="s">
        <v>675</v>
      </c>
      <c r="E503" s="372">
        <v>0.75</v>
      </c>
      <c r="F503" s="360">
        <f>'UPAD-BAHAN-ALAT'!$I$13</f>
        <v>140000</v>
      </c>
      <c r="G503" s="248">
        <f>F503*E503</f>
        <v>105000</v>
      </c>
    </row>
    <row r="504" spans="1:8">
      <c r="A504" s="247"/>
      <c r="B504" s="410" t="s">
        <v>680</v>
      </c>
      <c r="C504" s="247" t="s">
        <v>681</v>
      </c>
      <c r="D504" s="247" t="s">
        <v>675</v>
      </c>
      <c r="E504" s="372">
        <v>7.4999999999999997E-2</v>
      </c>
      <c r="F504" s="360">
        <f>'UPAD-BAHAN-ALAT'!$I$15</f>
        <v>150000</v>
      </c>
      <c r="G504" s="248">
        <f>F504*E504</f>
        <v>11250</v>
      </c>
    </row>
    <row r="505" spans="1:8">
      <c r="A505" s="247"/>
      <c r="B505" s="410" t="s">
        <v>683</v>
      </c>
      <c r="C505" s="247" t="s">
        <v>684</v>
      </c>
      <c r="D505" s="247" t="s">
        <v>675</v>
      </c>
      <c r="E505" s="372">
        <v>7.4999999999999997E-2</v>
      </c>
      <c r="F505" s="360">
        <f>'UPAD-BAHAN-ALAT'!$I$14</f>
        <v>140000</v>
      </c>
      <c r="G505" s="248">
        <f>F505*E505</f>
        <v>10500</v>
      </c>
    </row>
    <row r="506" spans="1:8">
      <c r="A506" s="247"/>
      <c r="B506" s="410"/>
      <c r="C506" s="247"/>
      <c r="D506" s="247"/>
      <c r="E506" s="1146" t="s">
        <v>685</v>
      </c>
      <c r="F506" s="1146"/>
      <c r="G506" s="248">
        <f>SUM(G502:G505)</f>
        <v>291750</v>
      </c>
    </row>
    <row r="507" spans="1:8">
      <c r="A507" s="294" t="s">
        <v>686</v>
      </c>
      <c r="B507" s="411" t="s">
        <v>687</v>
      </c>
      <c r="C507" s="247"/>
      <c r="D507" s="247"/>
      <c r="E507" s="372"/>
      <c r="F507" s="360"/>
      <c r="G507" s="248"/>
    </row>
    <row r="508" spans="1:8">
      <c r="A508" s="247"/>
      <c r="B508" s="410" t="s">
        <v>776</v>
      </c>
      <c r="C508" s="247"/>
      <c r="D508" s="247" t="s">
        <v>2646</v>
      </c>
      <c r="E508" s="372">
        <v>1.2</v>
      </c>
      <c r="F508" s="360">
        <f>'UPAD-BAHAN-ALAT'!$I$52</f>
        <v>298200</v>
      </c>
      <c r="G508" s="248">
        <f>F508*E508</f>
        <v>357840</v>
      </c>
    </row>
    <row r="509" spans="1:8">
      <c r="A509" s="247"/>
      <c r="B509" s="410" t="s">
        <v>818</v>
      </c>
      <c r="C509" s="247"/>
      <c r="D509" s="247" t="s">
        <v>690</v>
      </c>
      <c r="E509" s="372">
        <v>163</v>
      </c>
      <c r="F509" s="360">
        <f>'UPAD-BAHAN-ALAT'!$I$77</f>
        <v>1625</v>
      </c>
      <c r="G509" s="248">
        <f>F509*E509</f>
        <v>264875</v>
      </c>
    </row>
    <row r="510" spans="1:8">
      <c r="A510" s="247"/>
      <c r="B510" s="410" t="s">
        <v>808</v>
      </c>
      <c r="C510" s="247"/>
      <c r="D510" s="247" t="s">
        <v>2646</v>
      </c>
      <c r="E510" s="372">
        <v>0.52</v>
      </c>
      <c r="F510" s="360">
        <f>'UPAD-BAHAN-ALAT'!$I$71</f>
        <v>176000</v>
      </c>
      <c r="G510" s="248">
        <f>F510*E510</f>
        <v>91520</v>
      </c>
    </row>
    <row r="511" spans="1:8">
      <c r="A511" s="247"/>
      <c r="B511" s="295"/>
      <c r="C511" s="296"/>
      <c r="D511" s="296"/>
      <c r="E511" s="1146" t="s">
        <v>702</v>
      </c>
      <c r="F511" s="1146"/>
      <c r="G511" s="248">
        <f>SUM(G508:G510)</f>
        <v>714235</v>
      </c>
    </row>
    <row r="512" spans="1:8" s="265" customFormat="1">
      <c r="A512" s="294" t="s">
        <v>703</v>
      </c>
      <c r="B512" s="1147" t="s">
        <v>3910</v>
      </c>
      <c r="C512" s="1147"/>
      <c r="D512" s="1147"/>
      <c r="E512" s="1147"/>
      <c r="F512" s="1147"/>
      <c r="G512" s="255">
        <f>G506+G511</f>
        <v>1005985</v>
      </c>
    </row>
    <row r="513" spans="1:8" s="265" customFormat="1">
      <c r="A513" s="294" t="s">
        <v>706</v>
      </c>
      <c r="B513" s="1148" t="s">
        <v>709</v>
      </c>
      <c r="C513" s="1148"/>
      <c r="D513" s="1148"/>
      <c r="E513" s="1147" t="s">
        <v>4030</v>
      </c>
      <c r="F513" s="1147"/>
      <c r="G513" s="255">
        <f>G512*0.15</f>
        <v>150897.75</v>
      </c>
    </row>
    <row r="514" spans="1:8" s="265" customFormat="1">
      <c r="A514" s="294" t="s">
        <v>708</v>
      </c>
      <c r="B514" s="1149" t="s">
        <v>3911</v>
      </c>
      <c r="C514" s="1149"/>
      <c r="D514" s="1149"/>
      <c r="E514" s="1149"/>
      <c r="F514" s="1149"/>
      <c r="G514" s="255">
        <f>ROUND(SUM(G512:G513),2)</f>
        <v>1156882.75</v>
      </c>
      <c r="H514" s="255">
        <f>SUM(G512:G513)</f>
        <v>1156882.75</v>
      </c>
    </row>
    <row r="515" spans="1:8">
      <c r="A515" s="268"/>
      <c r="B515" s="269"/>
      <c r="C515" s="268"/>
      <c r="D515" s="268"/>
      <c r="E515" s="380"/>
      <c r="F515" s="365"/>
      <c r="G515" s="270"/>
    </row>
    <row r="516" spans="1:8">
      <c r="A516" s="285" t="s">
        <v>4056</v>
      </c>
      <c r="B516" s="250" t="s">
        <v>2686</v>
      </c>
      <c r="C516" s="252"/>
      <c r="D516" s="252"/>
      <c r="E516" s="374"/>
      <c r="F516" s="361"/>
      <c r="G516" s="253"/>
    </row>
    <row r="517" spans="1:8" s="292" customFormat="1" ht="24.95" customHeight="1">
      <c r="A517" s="290" t="s">
        <v>1003</v>
      </c>
      <c r="B517" s="290" t="s">
        <v>1004</v>
      </c>
      <c r="C517" s="290" t="s">
        <v>1005</v>
      </c>
      <c r="D517" s="290" t="s">
        <v>1006</v>
      </c>
      <c r="E517" s="373" t="s">
        <v>1007</v>
      </c>
      <c r="F517" s="363" t="s">
        <v>2637</v>
      </c>
      <c r="G517" s="291" t="s">
        <v>2638</v>
      </c>
    </row>
    <row r="518" spans="1:8">
      <c r="A518" s="294" t="s">
        <v>671</v>
      </c>
      <c r="B518" s="411" t="s">
        <v>672</v>
      </c>
      <c r="C518" s="247"/>
      <c r="D518" s="247"/>
      <c r="E518" s="372"/>
      <c r="F518" s="360"/>
      <c r="G518" s="248"/>
    </row>
    <row r="519" spans="1:8">
      <c r="A519" s="247"/>
      <c r="B519" s="410" t="s">
        <v>673</v>
      </c>
      <c r="C519" s="247" t="s">
        <v>674</v>
      </c>
      <c r="D519" s="247" t="s">
        <v>675</v>
      </c>
      <c r="E519" s="372">
        <v>1.5</v>
      </c>
      <c r="F519" s="360">
        <f>'UPAD-BAHAN-ALAT'!$I$12</f>
        <v>110000</v>
      </c>
      <c r="G519" s="248">
        <f>F519*E519</f>
        <v>165000</v>
      </c>
    </row>
    <row r="520" spans="1:8">
      <c r="A520" s="247"/>
      <c r="B520" s="410" t="s">
        <v>816</v>
      </c>
      <c r="C520" s="247" t="s">
        <v>678</v>
      </c>
      <c r="D520" s="247" t="s">
        <v>675</v>
      </c>
      <c r="E520" s="372">
        <v>0.75</v>
      </c>
      <c r="F520" s="360">
        <f>'UPAD-BAHAN-ALAT'!$I$13</f>
        <v>140000</v>
      </c>
      <c r="G520" s="248">
        <f>F520*E520</f>
        <v>105000</v>
      </c>
    </row>
    <row r="521" spans="1:8">
      <c r="A521" s="247"/>
      <c r="B521" s="410" t="s">
        <v>680</v>
      </c>
      <c r="C521" s="247" t="s">
        <v>681</v>
      </c>
      <c r="D521" s="247" t="s">
        <v>675</v>
      </c>
      <c r="E521" s="372">
        <v>7.4999999999999997E-2</v>
      </c>
      <c r="F521" s="360">
        <f>'UPAD-BAHAN-ALAT'!$I$15</f>
        <v>150000</v>
      </c>
      <c r="G521" s="248">
        <f>F521*E521</f>
        <v>11250</v>
      </c>
    </row>
    <row r="522" spans="1:8">
      <c r="A522" s="247"/>
      <c r="B522" s="410" t="s">
        <v>683</v>
      </c>
      <c r="C522" s="247" t="s">
        <v>684</v>
      </c>
      <c r="D522" s="247" t="s">
        <v>675</v>
      </c>
      <c r="E522" s="372">
        <v>7.4999999999999997E-2</v>
      </c>
      <c r="F522" s="360">
        <f>'UPAD-BAHAN-ALAT'!$I$14</f>
        <v>140000</v>
      </c>
      <c r="G522" s="248">
        <f>F522*E522</f>
        <v>10500</v>
      </c>
    </row>
    <row r="523" spans="1:8">
      <c r="A523" s="247"/>
      <c r="B523" s="410"/>
      <c r="C523" s="247"/>
      <c r="D523" s="247"/>
      <c r="E523" s="1146" t="s">
        <v>685</v>
      </c>
      <c r="F523" s="1146"/>
      <c r="G523" s="248">
        <f>SUM(G519:G522)</f>
        <v>291750</v>
      </c>
    </row>
    <row r="524" spans="1:8">
      <c r="A524" s="294" t="s">
        <v>686</v>
      </c>
      <c r="B524" s="411" t="s">
        <v>687</v>
      </c>
      <c r="C524" s="247"/>
      <c r="D524" s="247"/>
      <c r="E524" s="372"/>
      <c r="F524" s="360"/>
      <c r="G524" s="248"/>
    </row>
    <row r="525" spans="1:8">
      <c r="A525" s="247"/>
      <c r="B525" s="410" t="s">
        <v>776</v>
      </c>
      <c r="C525" s="247"/>
      <c r="D525" s="247" t="s">
        <v>2646</v>
      </c>
      <c r="E525" s="372">
        <v>1.2</v>
      </c>
      <c r="F525" s="360">
        <f>'UPAD-BAHAN-ALAT'!$I$52</f>
        <v>298200</v>
      </c>
      <c r="G525" s="248">
        <f>F525*E525</f>
        <v>357840</v>
      </c>
    </row>
    <row r="526" spans="1:8">
      <c r="A526" s="247"/>
      <c r="B526" s="410" t="s">
        <v>818</v>
      </c>
      <c r="C526" s="247"/>
      <c r="D526" s="247" t="s">
        <v>690</v>
      </c>
      <c r="E526" s="372">
        <v>136</v>
      </c>
      <c r="F526" s="360">
        <f>'UPAD-BAHAN-ALAT'!$I$77</f>
        <v>1625</v>
      </c>
      <c r="G526" s="248">
        <f>F526*E526</f>
        <v>221000</v>
      </c>
    </row>
    <row r="527" spans="1:8">
      <c r="A527" s="247"/>
      <c r="B527" s="410" t="s">
        <v>808</v>
      </c>
      <c r="C527" s="247"/>
      <c r="D527" s="247" t="s">
        <v>2646</v>
      </c>
      <c r="E527" s="372">
        <v>0.54400000000000004</v>
      </c>
      <c r="F527" s="360">
        <f>'UPAD-BAHAN-ALAT'!$I$71</f>
        <v>176000</v>
      </c>
      <c r="G527" s="248">
        <f>F527*E527</f>
        <v>95744</v>
      </c>
    </row>
    <row r="528" spans="1:8">
      <c r="A528" s="247"/>
      <c r="B528" s="410"/>
      <c r="C528" s="247"/>
      <c r="D528" s="247"/>
      <c r="E528" s="1155" t="s">
        <v>702</v>
      </c>
      <c r="F528" s="1155"/>
      <c r="G528" s="248">
        <f>SUM(G525:G527)</f>
        <v>674584</v>
      </c>
    </row>
    <row r="529" spans="1:8" s="265" customFormat="1">
      <c r="A529" s="294" t="s">
        <v>703</v>
      </c>
      <c r="B529" s="1151" t="s">
        <v>3910</v>
      </c>
      <c r="C529" s="1151"/>
      <c r="D529" s="1151"/>
      <c r="E529" s="1151"/>
      <c r="F529" s="1151"/>
      <c r="G529" s="255">
        <f>G523+G528</f>
        <v>966334</v>
      </c>
    </row>
    <row r="530" spans="1:8" s="265" customFormat="1">
      <c r="A530" s="294" t="s">
        <v>706</v>
      </c>
      <c r="B530" s="1148" t="s">
        <v>709</v>
      </c>
      <c r="C530" s="1148"/>
      <c r="D530" s="1148"/>
      <c r="E530" s="1147" t="s">
        <v>4030</v>
      </c>
      <c r="F530" s="1147"/>
      <c r="G530" s="255">
        <f>G529*0.15</f>
        <v>144950.1</v>
      </c>
    </row>
    <row r="531" spans="1:8" s="265" customFormat="1">
      <c r="A531" s="294" t="s">
        <v>708</v>
      </c>
      <c r="B531" s="1149" t="s">
        <v>3911</v>
      </c>
      <c r="C531" s="1149"/>
      <c r="D531" s="1149"/>
      <c r="E531" s="1149"/>
      <c r="F531" s="1149"/>
      <c r="G531" s="255">
        <f>ROUND(SUM(G529:G530),2)</f>
        <v>1111284.1000000001</v>
      </c>
      <c r="H531" s="255">
        <f>SUM(G529:G530)</f>
        <v>1111284.1000000001</v>
      </c>
    </row>
    <row r="533" spans="1:8">
      <c r="A533" s="286" t="s">
        <v>4057</v>
      </c>
      <c r="B533" s="265" t="s">
        <v>2687</v>
      </c>
    </row>
    <row r="534" spans="1:8" s="292" customFormat="1" ht="24.95" customHeight="1">
      <c r="A534" s="290" t="s">
        <v>1003</v>
      </c>
      <c r="B534" s="290" t="s">
        <v>1004</v>
      </c>
      <c r="C534" s="290" t="s">
        <v>1005</v>
      </c>
      <c r="D534" s="290" t="s">
        <v>1006</v>
      </c>
      <c r="E534" s="373" t="s">
        <v>1007</v>
      </c>
      <c r="F534" s="363" t="s">
        <v>2637</v>
      </c>
      <c r="G534" s="291" t="s">
        <v>2638</v>
      </c>
    </row>
    <row r="535" spans="1:8">
      <c r="A535" s="294" t="s">
        <v>671</v>
      </c>
      <c r="B535" s="411" t="s">
        <v>672</v>
      </c>
      <c r="C535" s="247"/>
      <c r="D535" s="247"/>
      <c r="E535" s="372"/>
      <c r="F535" s="360"/>
      <c r="G535" s="248"/>
    </row>
    <row r="536" spans="1:8">
      <c r="A536" s="247"/>
      <c r="B536" s="410" t="s">
        <v>673</v>
      </c>
      <c r="C536" s="247" t="s">
        <v>674</v>
      </c>
      <c r="D536" s="247" t="s">
        <v>675</v>
      </c>
      <c r="E536" s="372">
        <v>1.5</v>
      </c>
      <c r="F536" s="360">
        <f>'UPAD-BAHAN-ALAT'!$I$12</f>
        <v>110000</v>
      </c>
      <c r="G536" s="248">
        <f>F536*E536</f>
        <v>165000</v>
      </c>
    </row>
    <row r="537" spans="1:8">
      <c r="A537" s="247"/>
      <c r="B537" s="410" t="s">
        <v>816</v>
      </c>
      <c r="C537" s="247" t="s">
        <v>678</v>
      </c>
      <c r="D537" s="247" t="s">
        <v>675</v>
      </c>
      <c r="E537" s="372">
        <v>0.75</v>
      </c>
      <c r="F537" s="360">
        <f>'UPAD-BAHAN-ALAT'!$I$13</f>
        <v>140000</v>
      </c>
      <c r="G537" s="248">
        <f>F537*E537</f>
        <v>105000</v>
      </c>
    </row>
    <row r="538" spans="1:8">
      <c r="A538" s="247"/>
      <c r="B538" s="410" t="s">
        <v>680</v>
      </c>
      <c r="C538" s="247" t="s">
        <v>681</v>
      </c>
      <c r="D538" s="247" t="s">
        <v>675</v>
      </c>
      <c r="E538" s="372">
        <v>7.4999999999999997E-2</v>
      </c>
      <c r="F538" s="360">
        <f>'UPAD-BAHAN-ALAT'!$I$15</f>
        <v>150000</v>
      </c>
      <c r="G538" s="248">
        <f>F538*E538</f>
        <v>11250</v>
      </c>
    </row>
    <row r="539" spans="1:8">
      <c r="A539" s="247"/>
      <c r="B539" s="410" t="s">
        <v>683</v>
      </c>
      <c r="C539" s="247" t="s">
        <v>684</v>
      </c>
      <c r="D539" s="247" t="s">
        <v>675</v>
      </c>
      <c r="E539" s="372">
        <v>7.4999999999999997E-2</v>
      </c>
      <c r="F539" s="360">
        <f>'UPAD-BAHAN-ALAT'!$I$14</f>
        <v>140000</v>
      </c>
      <c r="G539" s="248">
        <f>F539*E539</f>
        <v>10500</v>
      </c>
    </row>
    <row r="540" spans="1:8">
      <c r="A540" s="247"/>
      <c r="B540" s="410"/>
      <c r="C540" s="247"/>
      <c r="D540" s="247"/>
      <c r="E540" s="1146" t="s">
        <v>685</v>
      </c>
      <c r="F540" s="1146"/>
      <c r="G540" s="248">
        <f>SUM(G536:G539)</f>
        <v>291750</v>
      </c>
    </row>
    <row r="541" spans="1:8">
      <c r="A541" s="294" t="s">
        <v>686</v>
      </c>
      <c r="B541" s="411" t="s">
        <v>687</v>
      </c>
      <c r="C541" s="247"/>
      <c r="D541" s="247"/>
      <c r="E541" s="372"/>
      <c r="F541" s="360"/>
      <c r="G541" s="248"/>
    </row>
    <row r="542" spans="1:8">
      <c r="A542" s="247"/>
      <c r="B542" s="410" t="s">
        <v>776</v>
      </c>
      <c r="C542" s="247"/>
      <c r="D542" s="247" t="s">
        <v>2646</v>
      </c>
      <c r="E542" s="372">
        <v>1.2</v>
      </c>
      <c r="F542" s="360">
        <f>'UPAD-BAHAN-ALAT'!$I$52</f>
        <v>298200</v>
      </c>
      <c r="G542" s="248">
        <f>F542*E542</f>
        <v>357840</v>
      </c>
    </row>
    <row r="543" spans="1:8">
      <c r="A543" s="247"/>
      <c r="B543" s="410" t="s">
        <v>818</v>
      </c>
      <c r="C543" s="247"/>
      <c r="D543" s="247" t="s">
        <v>690</v>
      </c>
      <c r="E543" s="372">
        <v>117</v>
      </c>
      <c r="F543" s="360">
        <f>'UPAD-BAHAN-ALAT'!$I$77</f>
        <v>1625</v>
      </c>
      <c r="G543" s="248">
        <f>F543*E543</f>
        <v>190125</v>
      </c>
    </row>
    <row r="544" spans="1:8">
      <c r="A544" s="247"/>
      <c r="B544" s="410" t="s">
        <v>808</v>
      </c>
      <c r="C544" s="247"/>
      <c r="D544" s="247" t="s">
        <v>2646</v>
      </c>
      <c r="E544" s="372">
        <v>0.56100000000000005</v>
      </c>
      <c r="F544" s="360">
        <f>'UPAD-BAHAN-ALAT'!$I$71</f>
        <v>176000</v>
      </c>
      <c r="G544" s="248">
        <f>F544*E544</f>
        <v>98736.000000000015</v>
      </c>
    </row>
    <row r="545" spans="1:8">
      <c r="A545" s="247"/>
      <c r="B545" s="410"/>
      <c r="C545" s="247"/>
      <c r="D545" s="247"/>
      <c r="E545" s="1155" t="s">
        <v>702</v>
      </c>
      <c r="F545" s="1155"/>
      <c r="G545" s="248">
        <f>SUM(G542:G544)</f>
        <v>646701</v>
      </c>
    </row>
    <row r="546" spans="1:8" s="265" customFormat="1">
      <c r="A546" s="294" t="s">
        <v>703</v>
      </c>
      <c r="B546" s="1151" t="s">
        <v>3910</v>
      </c>
      <c r="C546" s="1151"/>
      <c r="D546" s="1151"/>
      <c r="E546" s="1151"/>
      <c r="F546" s="1151"/>
      <c r="G546" s="255">
        <f>G540+G545</f>
        <v>938451</v>
      </c>
    </row>
    <row r="547" spans="1:8" s="265" customFormat="1">
      <c r="A547" s="294" t="s">
        <v>706</v>
      </c>
      <c r="B547" s="1148" t="s">
        <v>709</v>
      </c>
      <c r="C547" s="1148"/>
      <c r="D547" s="1148"/>
      <c r="E547" s="1147" t="s">
        <v>4030</v>
      </c>
      <c r="F547" s="1147"/>
      <c r="G547" s="255">
        <f>G546*0.15</f>
        <v>140767.65</v>
      </c>
    </row>
    <row r="548" spans="1:8" s="265" customFormat="1">
      <c r="A548" s="294" t="s">
        <v>708</v>
      </c>
      <c r="B548" s="1149" t="s">
        <v>3911</v>
      </c>
      <c r="C548" s="1149"/>
      <c r="D548" s="1149"/>
      <c r="E548" s="1149"/>
      <c r="F548" s="1149"/>
      <c r="G548" s="255">
        <f>ROUND(SUM(G546:G547),2)</f>
        <v>1079218.6499999999</v>
      </c>
      <c r="H548" s="255">
        <f>SUM(G546:G547)</f>
        <v>1079218.6499999999</v>
      </c>
    </row>
    <row r="549" spans="1:8">
      <c r="A549" s="268"/>
      <c r="B549" s="269"/>
      <c r="C549" s="268"/>
      <c r="D549" s="268"/>
      <c r="E549" s="380"/>
      <c r="F549" s="365"/>
      <c r="G549" s="270"/>
    </row>
    <row r="550" spans="1:8">
      <c r="A550" s="285" t="s">
        <v>4058</v>
      </c>
      <c r="B550" s="250" t="s">
        <v>2688</v>
      </c>
      <c r="C550" s="252"/>
      <c r="D550" s="252"/>
      <c r="E550" s="374"/>
      <c r="F550" s="361"/>
      <c r="G550" s="253"/>
    </row>
    <row r="551" spans="1:8" s="292" customFormat="1" ht="24.95" customHeight="1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8">
      <c r="A552" s="294" t="s">
        <v>671</v>
      </c>
      <c r="B552" s="411" t="s">
        <v>672</v>
      </c>
      <c r="C552" s="247"/>
      <c r="D552" s="247"/>
      <c r="E552" s="372"/>
      <c r="F552" s="360"/>
      <c r="G552" s="248"/>
    </row>
    <row r="553" spans="1:8">
      <c r="A553" s="247"/>
      <c r="B553" s="410" t="s">
        <v>673</v>
      </c>
      <c r="C553" s="247" t="s">
        <v>674</v>
      </c>
      <c r="D553" s="247" t="s">
        <v>675</v>
      </c>
      <c r="E553" s="372">
        <v>1.5</v>
      </c>
      <c r="F553" s="360">
        <f>'UPAD-BAHAN-ALAT'!$I$12</f>
        <v>110000</v>
      </c>
      <c r="G553" s="248">
        <f>F553*E553</f>
        <v>165000</v>
      </c>
    </row>
    <row r="554" spans="1:8">
      <c r="A554" s="247"/>
      <c r="B554" s="410" t="s">
        <v>816</v>
      </c>
      <c r="C554" s="247" t="s">
        <v>678</v>
      </c>
      <c r="D554" s="247" t="s">
        <v>675</v>
      </c>
      <c r="E554" s="372">
        <v>0.75</v>
      </c>
      <c r="F554" s="360">
        <f>'UPAD-BAHAN-ALAT'!$I$13</f>
        <v>140000</v>
      </c>
      <c r="G554" s="248">
        <f>F554*E554</f>
        <v>105000</v>
      </c>
    </row>
    <row r="555" spans="1:8">
      <c r="A555" s="247"/>
      <c r="B555" s="410" t="s">
        <v>680</v>
      </c>
      <c r="C555" s="247" t="s">
        <v>681</v>
      </c>
      <c r="D555" s="247" t="s">
        <v>675</v>
      </c>
      <c r="E555" s="372">
        <v>7.4999999999999997E-2</v>
      </c>
      <c r="F555" s="360">
        <f>'UPAD-BAHAN-ALAT'!$I$15</f>
        <v>150000</v>
      </c>
      <c r="G555" s="248">
        <f>F555*E555</f>
        <v>11250</v>
      </c>
    </row>
    <row r="556" spans="1:8">
      <c r="A556" s="247"/>
      <c r="B556" s="410" t="s">
        <v>683</v>
      </c>
      <c r="C556" s="247" t="s">
        <v>684</v>
      </c>
      <c r="D556" s="247" t="s">
        <v>675</v>
      </c>
      <c r="E556" s="372">
        <v>7.4999999999999997E-2</v>
      </c>
      <c r="F556" s="360">
        <f>'UPAD-BAHAN-ALAT'!$I$14</f>
        <v>140000</v>
      </c>
      <c r="G556" s="248">
        <f>F556*E556</f>
        <v>10500</v>
      </c>
    </row>
    <row r="557" spans="1:8">
      <c r="A557" s="247"/>
      <c r="B557" s="410"/>
      <c r="C557" s="247"/>
      <c r="D557" s="247"/>
      <c r="E557" s="1146" t="s">
        <v>685</v>
      </c>
      <c r="F557" s="1146"/>
      <c r="G557" s="248">
        <f>SUM(G553:G556)</f>
        <v>291750</v>
      </c>
    </row>
    <row r="558" spans="1:8">
      <c r="A558" s="294" t="s">
        <v>686</v>
      </c>
      <c r="B558" s="411" t="s">
        <v>687</v>
      </c>
      <c r="C558" s="247"/>
      <c r="D558" s="247"/>
      <c r="E558" s="372"/>
      <c r="F558" s="360"/>
      <c r="G558" s="248"/>
    </row>
    <row r="559" spans="1:8">
      <c r="A559" s="247"/>
      <c r="B559" s="410" t="s">
        <v>776</v>
      </c>
      <c r="C559" s="247"/>
      <c r="D559" s="247" t="s">
        <v>2646</v>
      </c>
      <c r="E559" s="372">
        <v>1.2</v>
      </c>
      <c r="F559" s="360">
        <f>'UPAD-BAHAN-ALAT'!$I$52</f>
        <v>298200</v>
      </c>
      <c r="G559" s="248">
        <f>F559*E559</f>
        <v>357840</v>
      </c>
    </row>
    <row r="560" spans="1:8">
      <c r="A560" s="247"/>
      <c r="B560" s="410" t="s">
        <v>818</v>
      </c>
      <c r="C560" s="247"/>
      <c r="D560" s="247" t="s">
        <v>690</v>
      </c>
      <c r="E560" s="372">
        <v>91</v>
      </c>
      <c r="F560" s="360">
        <f>'UPAD-BAHAN-ALAT'!$I$77</f>
        <v>1625</v>
      </c>
      <c r="G560" s="248">
        <f>F560*E560</f>
        <v>147875</v>
      </c>
    </row>
    <row r="561" spans="1:8">
      <c r="A561" s="247"/>
      <c r="B561" s="410" t="s">
        <v>808</v>
      </c>
      <c r="C561" s="247"/>
      <c r="D561" s="247" t="s">
        <v>2646</v>
      </c>
      <c r="E561" s="372">
        <v>0.58399999999999996</v>
      </c>
      <c r="F561" s="360">
        <f>'UPAD-BAHAN-ALAT'!$I$71</f>
        <v>176000</v>
      </c>
      <c r="G561" s="248">
        <f>F561*E561</f>
        <v>102784</v>
      </c>
    </row>
    <row r="562" spans="1:8">
      <c r="A562" s="247"/>
      <c r="B562" s="410"/>
      <c r="C562" s="247"/>
      <c r="D562" s="247"/>
      <c r="E562" s="1144" t="s">
        <v>702</v>
      </c>
      <c r="F562" s="1144"/>
      <c r="G562" s="248">
        <f>SUM(G559:G561)</f>
        <v>608499</v>
      </c>
    </row>
    <row r="563" spans="1:8" s="265" customFormat="1">
      <c r="A563" s="294" t="s">
        <v>703</v>
      </c>
      <c r="B563" s="1147" t="s">
        <v>3910</v>
      </c>
      <c r="C563" s="1147"/>
      <c r="D563" s="1147"/>
      <c r="E563" s="1147"/>
      <c r="F563" s="1147"/>
      <c r="G563" s="255">
        <f>G557+G562</f>
        <v>900249</v>
      </c>
    </row>
    <row r="564" spans="1:8" s="265" customFormat="1">
      <c r="A564" s="294" t="s">
        <v>706</v>
      </c>
      <c r="B564" s="1148" t="s">
        <v>709</v>
      </c>
      <c r="C564" s="1148"/>
      <c r="D564" s="1148"/>
      <c r="E564" s="1147" t="s">
        <v>4030</v>
      </c>
      <c r="F564" s="1147"/>
      <c r="G564" s="255">
        <f>G563*0.15</f>
        <v>135037.35</v>
      </c>
    </row>
    <row r="565" spans="1:8" s="265" customFormat="1">
      <c r="A565" s="294" t="s">
        <v>708</v>
      </c>
      <c r="B565" s="1147" t="s">
        <v>3911</v>
      </c>
      <c r="C565" s="1147"/>
      <c r="D565" s="1147"/>
      <c r="E565" s="1147"/>
      <c r="F565" s="1147"/>
      <c r="G565" s="255">
        <f>ROUND(SUM(G563:G564),2)</f>
        <v>1035286.35</v>
      </c>
      <c r="H565" s="255">
        <f>SUM(G563:G564)</f>
        <v>1035286.35</v>
      </c>
    </row>
    <row r="567" spans="1:8">
      <c r="A567" s="285" t="s">
        <v>4059</v>
      </c>
      <c r="B567" s="250" t="s">
        <v>2689</v>
      </c>
      <c r="C567" s="252"/>
      <c r="D567" s="252"/>
      <c r="E567" s="374"/>
      <c r="F567" s="361"/>
      <c r="G567" s="253"/>
    </row>
    <row r="568" spans="1:8" s="292" customFormat="1" ht="24.95" customHeight="1">
      <c r="A568" s="290" t="s">
        <v>1003</v>
      </c>
      <c r="B568" s="290" t="s">
        <v>1004</v>
      </c>
      <c r="C568" s="290" t="s">
        <v>1005</v>
      </c>
      <c r="D568" s="290" t="s">
        <v>1006</v>
      </c>
      <c r="E568" s="373" t="s">
        <v>1007</v>
      </c>
      <c r="F568" s="363" t="s">
        <v>2637</v>
      </c>
      <c r="G568" s="291" t="s">
        <v>2638</v>
      </c>
    </row>
    <row r="569" spans="1:8">
      <c r="A569" s="294" t="s">
        <v>671</v>
      </c>
      <c r="B569" s="411" t="s">
        <v>672</v>
      </c>
      <c r="C569" s="247"/>
      <c r="D569" s="247"/>
      <c r="E569" s="372"/>
      <c r="F569" s="360"/>
      <c r="G569" s="248"/>
    </row>
    <row r="570" spans="1:8">
      <c r="A570" s="247"/>
      <c r="B570" s="410" t="s">
        <v>673</v>
      </c>
      <c r="C570" s="247" t="s">
        <v>674</v>
      </c>
      <c r="D570" s="247" t="s">
        <v>675</v>
      </c>
      <c r="E570" s="372">
        <v>0.78</v>
      </c>
      <c r="F570" s="360">
        <f>'UPAD-BAHAN-ALAT'!$I$12</f>
        <v>110000</v>
      </c>
      <c r="G570" s="248">
        <f>F570*E570</f>
        <v>85800</v>
      </c>
    </row>
    <row r="571" spans="1:8">
      <c r="A571" s="247"/>
      <c r="B571" s="410" t="s">
        <v>816</v>
      </c>
      <c r="C571" s="247" t="s">
        <v>678</v>
      </c>
      <c r="D571" s="247" t="s">
        <v>675</v>
      </c>
      <c r="E571" s="372">
        <v>0.39</v>
      </c>
      <c r="F571" s="360">
        <f>'UPAD-BAHAN-ALAT'!$I$13</f>
        <v>140000</v>
      </c>
      <c r="G571" s="248">
        <f>F571*E571</f>
        <v>54600</v>
      </c>
    </row>
    <row r="572" spans="1:8">
      <c r="A572" s="247"/>
      <c r="B572" s="410" t="s">
        <v>680</v>
      </c>
      <c r="C572" s="247" t="s">
        <v>681</v>
      </c>
      <c r="D572" s="247" t="s">
        <v>675</v>
      </c>
      <c r="E572" s="372">
        <v>3.9E-2</v>
      </c>
      <c r="F572" s="360">
        <f>'UPAD-BAHAN-ALAT'!$I$15</f>
        <v>150000</v>
      </c>
      <c r="G572" s="248">
        <f>F572*E572</f>
        <v>5850</v>
      </c>
    </row>
    <row r="573" spans="1:8">
      <c r="A573" s="247"/>
      <c r="B573" s="410" t="s">
        <v>683</v>
      </c>
      <c r="C573" s="247" t="s">
        <v>684</v>
      </c>
      <c r="D573" s="247" t="s">
        <v>675</v>
      </c>
      <c r="E573" s="372">
        <v>3.9E-2</v>
      </c>
      <c r="F573" s="360">
        <f>'UPAD-BAHAN-ALAT'!$I$14</f>
        <v>140000</v>
      </c>
      <c r="G573" s="248">
        <f>F573*E573</f>
        <v>5460</v>
      </c>
    </row>
    <row r="574" spans="1:8">
      <c r="A574" s="247"/>
      <c r="B574" s="410"/>
      <c r="C574" s="247"/>
      <c r="D574" s="247"/>
      <c r="E574" s="1146" t="s">
        <v>685</v>
      </c>
      <c r="F574" s="1146"/>
      <c r="G574" s="248">
        <f>SUM(G570:G573)</f>
        <v>151710</v>
      </c>
    </row>
    <row r="575" spans="1:8">
      <c r="A575" s="294" t="s">
        <v>686</v>
      </c>
      <c r="B575" s="411" t="s">
        <v>687</v>
      </c>
      <c r="C575" s="247"/>
      <c r="D575" s="247"/>
      <c r="E575" s="372"/>
      <c r="F575" s="360"/>
      <c r="G575" s="248"/>
    </row>
    <row r="576" spans="1:8">
      <c r="A576" s="247"/>
      <c r="B576" s="410" t="s">
        <v>776</v>
      </c>
      <c r="C576" s="247"/>
      <c r="D576" s="247" t="s">
        <v>2646</v>
      </c>
      <c r="E576" s="372">
        <v>1.2</v>
      </c>
      <c r="F576" s="360">
        <f>'UPAD-BAHAN-ALAT'!$I$52</f>
        <v>298200</v>
      </c>
      <c r="G576" s="248">
        <f>F576*E576</f>
        <v>357840</v>
      </c>
    </row>
    <row r="577" spans="1:8">
      <c r="A577" s="247"/>
      <c r="B577" s="410" t="s">
        <v>803</v>
      </c>
      <c r="C577" s="247"/>
      <c r="D577" s="247" t="s">
        <v>2646</v>
      </c>
      <c r="E577" s="372">
        <v>0.432</v>
      </c>
      <c r="F577" s="360">
        <f>'UPAD-BAHAN-ALAT'!$I$73</f>
        <v>126500</v>
      </c>
      <c r="G577" s="248">
        <f>F577*E577</f>
        <v>54648</v>
      </c>
    </row>
    <row r="578" spans="1:8">
      <c r="A578" s="247"/>
      <c r="B578" s="295"/>
      <c r="C578" s="296"/>
      <c r="D578" s="296"/>
      <c r="E578" s="1146" t="s">
        <v>702</v>
      </c>
      <c r="F578" s="1146"/>
      <c r="G578" s="248">
        <f>SUM(G576:G577)</f>
        <v>412488</v>
      </c>
    </row>
    <row r="579" spans="1:8" s="265" customFormat="1">
      <c r="A579" s="294" t="s">
        <v>703</v>
      </c>
      <c r="B579" s="1147" t="s">
        <v>3910</v>
      </c>
      <c r="C579" s="1147"/>
      <c r="D579" s="1147"/>
      <c r="E579" s="1147"/>
      <c r="F579" s="1147"/>
      <c r="G579" s="255">
        <f>G574+G578</f>
        <v>564198</v>
      </c>
    </row>
    <row r="580" spans="1:8" s="265" customFormat="1">
      <c r="A580" s="294" t="s">
        <v>706</v>
      </c>
      <c r="B580" s="1148" t="s">
        <v>709</v>
      </c>
      <c r="C580" s="1148"/>
      <c r="D580" s="1148"/>
      <c r="E580" s="1147" t="s">
        <v>4030</v>
      </c>
      <c r="F580" s="1147"/>
      <c r="G580" s="255">
        <f>G579*0.15</f>
        <v>84629.7</v>
      </c>
    </row>
    <row r="581" spans="1:8" s="265" customFormat="1">
      <c r="A581" s="294" t="s">
        <v>708</v>
      </c>
      <c r="B581" s="1149" t="s">
        <v>3911</v>
      </c>
      <c r="C581" s="1149"/>
      <c r="D581" s="1149"/>
      <c r="E581" s="1149"/>
      <c r="F581" s="1149"/>
      <c r="G581" s="255">
        <f>ROUND(SUM(G579:G580),2)</f>
        <v>648827.69999999995</v>
      </c>
      <c r="H581" s="255">
        <f>SUM(G579:G580)</f>
        <v>648827.69999999995</v>
      </c>
    </row>
    <row r="583" spans="1:8">
      <c r="A583" s="600" t="s">
        <v>4060</v>
      </c>
      <c r="B583" s="265" t="s">
        <v>4587</v>
      </c>
    </row>
    <row r="584" spans="1:8" s="292" customFormat="1" ht="24.95" customHeight="1">
      <c r="A584" s="290" t="s">
        <v>1003</v>
      </c>
      <c r="B584" s="290" t="s">
        <v>1004</v>
      </c>
      <c r="C584" s="290" t="s">
        <v>1005</v>
      </c>
      <c r="D584" s="290" t="s">
        <v>1006</v>
      </c>
      <c r="E584" s="373" t="s">
        <v>1007</v>
      </c>
      <c r="F584" s="363" t="s">
        <v>2637</v>
      </c>
      <c r="G584" s="291" t="s">
        <v>2638</v>
      </c>
    </row>
    <row r="585" spans="1:8">
      <c r="A585" s="294" t="s">
        <v>671</v>
      </c>
      <c r="B585" s="411" t="s">
        <v>672</v>
      </c>
      <c r="C585" s="247"/>
      <c r="D585" s="247"/>
      <c r="E585" s="372"/>
      <c r="F585" s="360"/>
      <c r="G585" s="248"/>
    </row>
    <row r="586" spans="1:8">
      <c r="A586" s="247"/>
      <c r="B586" s="410" t="s">
        <v>673</v>
      </c>
      <c r="C586" s="247" t="s">
        <v>674</v>
      </c>
      <c r="D586" s="247" t="s">
        <v>675</v>
      </c>
      <c r="E586" s="372">
        <v>3.4</v>
      </c>
      <c r="F586" s="360">
        <f>'UPAD-BAHAN-ALAT'!$I$12</f>
        <v>110000</v>
      </c>
      <c r="G586" s="248">
        <f>F586*E586</f>
        <v>374000</v>
      </c>
    </row>
    <row r="587" spans="1:8">
      <c r="A587" s="247"/>
      <c r="B587" s="410" t="s">
        <v>816</v>
      </c>
      <c r="C587" s="247" t="s">
        <v>678</v>
      </c>
      <c r="D587" s="247" t="s">
        <v>675</v>
      </c>
      <c r="E587" s="372">
        <v>0.85</v>
      </c>
      <c r="F587" s="360">
        <f>'UPAD-BAHAN-ALAT'!$I$13</f>
        <v>140000</v>
      </c>
      <c r="G587" s="248">
        <f>F587*E587</f>
        <v>119000</v>
      </c>
    </row>
    <row r="588" spans="1:8">
      <c r="A588" s="247"/>
      <c r="B588" s="410" t="s">
        <v>680</v>
      </c>
      <c r="C588" s="247" t="s">
        <v>681</v>
      </c>
      <c r="D588" s="247" t="s">
        <v>675</v>
      </c>
      <c r="E588" s="372">
        <v>8.5000000000000006E-2</v>
      </c>
      <c r="F588" s="360">
        <f>'UPAD-BAHAN-ALAT'!$I$15</f>
        <v>150000</v>
      </c>
      <c r="G588" s="248">
        <f>F588*E588</f>
        <v>12750.000000000002</v>
      </c>
    </row>
    <row r="589" spans="1:8">
      <c r="A589" s="247"/>
      <c r="B589" s="410" t="s">
        <v>683</v>
      </c>
      <c r="C589" s="247" t="s">
        <v>684</v>
      </c>
      <c r="D589" s="247" t="s">
        <v>675</v>
      </c>
      <c r="E589" s="372">
        <v>0.17</v>
      </c>
      <c r="F589" s="360">
        <f>'UPAD-BAHAN-ALAT'!$I$14</f>
        <v>140000</v>
      </c>
      <c r="G589" s="248">
        <f>F589*E589</f>
        <v>23800</v>
      </c>
    </row>
    <row r="590" spans="1:8">
      <c r="A590" s="247"/>
      <c r="B590" s="410"/>
      <c r="C590" s="247"/>
      <c r="D590" s="247"/>
      <c r="E590" s="1146" t="s">
        <v>685</v>
      </c>
      <c r="F590" s="1146"/>
      <c r="G590" s="248">
        <f>SUM(G586:G589)</f>
        <v>529550</v>
      </c>
    </row>
    <row r="591" spans="1:8">
      <c r="A591" s="294" t="s">
        <v>686</v>
      </c>
      <c r="B591" s="411" t="s">
        <v>687</v>
      </c>
      <c r="C591" s="247"/>
      <c r="D591" s="247"/>
      <c r="E591" s="372"/>
      <c r="F591" s="360"/>
      <c r="G591" s="248"/>
    </row>
    <row r="592" spans="1:8">
      <c r="A592" s="247"/>
      <c r="B592" s="410" t="s">
        <v>776</v>
      </c>
      <c r="C592" s="247"/>
      <c r="D592" s="247" t="s">
        <v>2646</v>
      </c>
      <c r="E592" s="372">
        <v>0.48</v>
      </c>
      <c r="F592" s="360">
        <f>'UPAD-BAHAN-ALAT'!$I$52</f>
        <v>298200</v>
      </c>
      <c r="G592" s="248">
        <f t="shared" ref="G592:G597" si="5">F592*E592</f>
        <v>143136</v>
      </c>
    </row>
    <row r="593" spans="1:8">
      <c r="A593" s="247"/>
      <c r="B593" s="410" t="s">
        <v>818</v>
      </c>
      <c r="C593" s="247"/>
      <c r="D593" s="247" t="s">
        <v>690</v>
      </c>
      <c r="E593" s="372">
        <v>194</v>
      </c>
      <c r="F593" s="360">
        <f>'UPAD-BAHAN-ALAT'!$I$77</f>
        <v>1625</v>
      </c>
      <c r="G593" s="248">
        <f t="shared" si="5"/>
        <v>315250</v>
      </c>
    </row>
    <row r="594" spans="1:8">
      <c r="A594" s="247"/>
      <c r="B594" s="410" t="s">
        <v>831</v>
      </c>
      <c r="C594" s="247"/>
      <c r="D594" s="247" t="s">
        <v>2646</v>
      </c>
      <c r="E594" s="372">
        <v>0.312</v>
      </c>
      <c r="F594" s="360">
        <f>'UPAD-BAHAN-ALAT'!$I$71</f>
        <v>176000</v>
      </c>
      <c r="G594" s="248">
        <f t="shared" si="5"/>
        <v>54912</v>
      </c>
    </row>
    <row r="595" spans="1:8">
      <c r="A595" s="247"/>
      <c r="B595" s="410" t="s">
        <v>833</v>
      </c>
      <c r="C595" s="247"/>
      <c r="D595" s="247" t="s">
        <v>2646</v>
      </c>
      <c r="E595" s="372">
        <v>0.46800000000000003</v>
      </c>
      <c r="F595" s="360">
        <f>'UPAD-BAHAN-ALAT'!$I$69</f>
        <v>298200</v>
      </c>
      <c r="G595" s="248">
        <f t="shared" si="5"/>
        <v>139557.6</v>
      </c>
    </row>
    <row r="596" spans="1:8">
      <c r="A596" s="247"/>
      <c r="B596" s="410" t="s">
        <v>834</v>
      </c>
      <c r="C596" s="247"/>
      <c r="D596" s="247" t="s">
        <v>690</v>
      </c>
      <c r="E596" s="372">
        <v>126</v>
      </c>
      <c r="F596" s="360">
        <f>'UPAD-BAHAN-ALAT'!$I$112</f>
        <v>13200</v>
      </c>
      <c r="G596" s="248">
        <f t="shared" si="5"/>
        <v>1663200</v>
      </c>
    </row>
    <row r="597" spans="1:8">
      <c r="A597" s="247"/>
      <c r="B597" s="410" t="s">
        <v>835</v>
      </c>
      <c r="C597" s="247"/>
      <c r="D597" s="247" t="s">
        <v>690</v>
      </c>
      <c r="E597" s="372">
        <v>1.8</v>
      </c>
      <c r="F597" s="360">
        <f>'UPAD-BAHAN-ALAT'!$I$119</f>
        <v>24200</v>
      </c>
      <c r="G597" s="248">
        <f t="shared" si="5"/>
        <v>43560</v>
      </c>
    </row>
    <row r="598" spans="1:8">
      <c r="A598" s="247"/>
      <c r="B598" s="295"/>
      <c r="C598" s="296"/>
      <c r="D598" s="296"/>
      <c r="E598" s="1146" t="s">
        <v>702</v>
      </c>
      <c r="F598" s="1146"/>
      <c r="G598" s="248">
        <f>SUM(G592:G597)</f>
        <v>2359615.6</v>
      </c>
    </row>
    <row r="599" spans="1:8" s="265" customFormat="1">
      <c r="A599" s="294" t="s">
        <v>703</v>
      </c>
      <c r="B599" s="1147" t="s">
        <v>3910</v>
      </c>
      <c r="C599" s="1147"/>
      <c r="D599" s="1147"/>
      <c r="E599" s="1147"/>
      <c r="F599" s="1147"/>
      <c r="G599" s="255">
        <f>G590+G598</f>
        <v>2889165.6</v>
      </c>
    </row>
    <row r="600" spans="1:8" s="265" customFormat="1">
      <c r="A600" s="294" t="s">
        <v>706</v>
      </c>
      <c r="B600" s="1148" t="s">
        <v>709</v>
      </c>
      <c r="C600" s="1148"/>
      <c r="D600" s="1148"/>
      <c r="E600" s="1147" t="s">
        <v>4030</v>
      </c>
      <c r="F600" s="1147"/>
      <c r="G600" s="255">
        <f>G599*0.15</f>
        <v>433374.84</v>
      </c>
    </row>
    <row r="601" spans="1:8" s="265" customFormat="1">
      <c r="A601" s="294" t="s">
        <v>708</v>
      </c>
      <c r="B601" s="1149" t="s">
        <v>3911</v>
      </c>
      <c r="C601" s="1149"/>
      <c r="D601" s="1149"/>
      <c r="E601" s="1149"/>
      <c r="F601" s="1149"/>
      <c r="G601" s="255">
        <f>ROUND(SUM(G599:G600),2)</f>
        <v>3322540.44</v>
      </c>
      <c r="H601" s="255">
        <f>SUM(G599:G600)</f>
        <v>3322540.44</v>
      </c>
    </row>
    <row r="602" spans="1:8">
      <c r="A602" s="268"/>
      <c r="B602" s="269"/>
      <c r="C602" s="268"/>
      <c r="D602" s="268"/>
      <c r="E602" s="380"/>
      <c r="F602" s="365"/>
      <c r="G602" s="270"/>
    </row>
    <row r="603" spans="1:8">
      <c r="A603" s="284" t="s">
        <v>4061</v>
      </c>
      <c r="B603" s="250" t="s">
        <v>4062</v>
      </c>
      <c r="C603" s="276"/>
      <c r="D603" s="252"/>
      <c r="E603" s="374"/>
      <c r="F603" s="361"/>
      <c r="G603" s="253"/>
    </row>
    <row r="604" spans="1:8" s="292" customFormat="1" ht="24.95" customHeight="1">
      <c r="A604" s="290" t="s">
        <v>1003</v>
      </c>
      <c r="B604" s="290" t="s">
        <v>1004</v>
      </c>
      <c r="C604" s="290" t="s">
        <v>1005</v>
      </c>
      <c r="D604" s="290" t="s">
        <v>1006</v>
      </c>
      <c r="E604" s="373" t="s">
        <v>1007</v>
      </c>
      <c r="F604" s="363" t="s">
        <v>2637</v>
      </c>
      <c r="G604" s="291" t="s">
        <v>2638</v>
      </c>
    </row>
    <row r="605" spans="1:8">
      <c r="A605" s="294" t="s">
        <v>671</v>
      </c>
      <c r="B605" s="411" t="s">
        <v>672</v>
      </c>
      <c r="C605" s="247"/>
      <c r="D605" s="247"/>
      <c r="E605" s="372"/>
      <c r="F605" s="360"/>
      <c r="G605" s="248"/>
    </row>
    <row r="606" spans="1:8">
      <c r="A606" s="247"/>
      <c r="B606" s="410" t="s">
        <v>673</v>
      </c>
      <c r="C606" s="247" t="s">
        <v>674</v>
      </c>
      <c r="D606" s="247" t="s">
        <v>675</v>
      </c>
      <c r="E606" s="372">
        <v>2.4</v>
      </c>
      <c r="F606" s="360">
        <f>'UPAD-BAHAN-ALAT'!$I$12</f>
        <v>110000</v>
      </c>
      <c r="G606" s="248">
        <f>F606*E606</f>
        <v>264000</v>
      </c>
    </row>
    <row r="607" spans="1:8">
      <c r="A607" s="247"/>
      <c r="B607" s="410" t="s">
        <v>816</v>
      </c>
      <c r="C607" s="247" t="s">
        <v>678</v>
      </c>
      <c r="D607" s="247" t="s">
        <v>675</v>
      </c>
      <c r="E607" s="372">
        <v>0.8</v>
      </c>
      <c r="F607" s="360">
        <f>'UPAD-BAHAN-ALAT'!$I$13</f>
        <v>140000</v>
      </c>
      <c r="G607" s="248">
        <f>F607*E607</f>
        <v>112000</v>
      </c>
    </row>
    <row r="608" spans="1:8">
      <c r="A608" s="247"/>
      <c r="B608" s="410" t="s">
        <v>680</v>
      </c>
      <c r="C608" s="247" t="s">
        <v>681</v>
      </c>
      <c r="D608" s="247" t="s">
        <v>675</v>
      </c>
      <c r="E608" s="372">
        <v>0.08</v>
      </c>
      <c r="F608" s="360">
        <f>'UPAD-BAHAN-ALAT'!$I$15</f>
        <v>150000</v>
      </c>
      <c r="G608" s="248">
        <f>F608*E608</f>
        <v>12000</v>
      </c>
    </row>
    <row r="609" spans="1:8">
      <c r="A609" s="247"/>
      <c r="B609" s="410" t="s">
        <v>683</v>
      </c>
      <c r="C609" s="247" t="s">
        <v>684</v>
      </c>
      <c r="D609" s="247" t="s">
        <v>675</v>
      </c>
      <c r="E609" s="372">
        <v>0.11899999999999999</v>
      </c>
      <c r="F609" s="360">
        <f>'UPAD-BAHAN-ALAT'!$I$14</f>
        <v>140000</v>
      </c>
      <c r="G609" s="248">
        <f>F609*E609</f>
        <v>16660</v>
      </c>
    </row>
    <row r="610" spans="1:8">
      <c r="A610" s="247"/>
      <c r="B610" s="410"/>
      <c r="C610" s="247"/>
      <c r="D610" s="247"/>
      <c r="E610" s="1146" t="s">
        <v>685</v>
      </c>
      <c r="F610" s="1146"/>
      <c r="G610" s="248">
        <f>SUM(G606:G609)</f>
        <v>404660</v>
      </c>
    </row>
    <row r="611" spans="1:8">
      <c r="A611" s="294" t="s">
        <v>686</v>
      </c>
      <c r="B611" s="411" t="s">
        <v>687</v>
      </c>
      <c r="C611" s="247"/>
      <c r="D611" s="247"/>
      <c r="E611" s="372"/>
      <c r="F611" s="360"/>
      <c r="G611" s="248"/>
    </row>
    <row r="612" spans="1:8">
      <c r="A612" s="247"/>
      <c r="B612" s="410" t="s">
        <v>776</v>
      </c>
      <c r="C612" s="247"/>
      <c r="D612" s="247" t="s">
        <v>2646</v>
      </c>
      <c r="E612" s="372">
        <v>0.45</v>
      </c>
      <c r="F612" s="360">
        <f>'UPAD-BAHAN-ALAT'!$I$52</f>
        <v>298200</v>
      </c>
      <c r="G612" s="248">
        <f>F612*E612</f>
        <v>134190</v>
      </c>
    </row>
    <row r="613" spans="1:8">
      <c r="A613" s="247"/>
      <c r="B613" s="410" t="s">
        <v>818</v>
      </c>
      <c r="C613" s="247"/>
      <c r="D613" s="247" t="s">
        <v>690</v>
      </c>
      <c r="E613" s="372">
        <v>194</v>
      </c>
      <c r="F613" s="360">
        <f>'UPAD-BAHAN-ALAT'!$I$77</f>
        <v>1625</v>
      </c>
      <c r="G613" s="248">
        <f>F613*E613</f>
        <v>315250</v>
      </c>
    </row>
    <row r="614" spans="1:8">
      <c r="A614" s="247"/>
      <c r="B614" s="410" t="s">
        <v>831</v>
      </c>
      <c r="C614" s="247"/>
      <c r="D614" s="247" t="s">
        <v>2646</v>
      </c>
      <c r="E614" s="372">
        <v>0.312</v>
      </c>
      <c r="F614" s="360">
        <f>'UPAD-BAHAN-ALAT'!$I$71</f>
        <v>176000</v>
      </c>
      <c r="G614" s="248">
        <f>F614*E614</f>
        <v>54912</v>
      </c>
    </row>
    <row r="615" spans="1:8">
      <c r="A615" s="247"/>
      <c r="B615" s="410" t="s">
        <v>833</v>
      </c>
      <c r="C615" s="247"/>
      <c r="D615" s="247" t="s">
        <v>2646</v>
      </c>
      <c r="E615" s="372">
        <v>0.46800000000000003</v>
      </c>
      <c r="F615" s="360">
        <f>'UPAD-BAHAN-ALAT'!$I$69</f>
        <v>298200</v>
      </c>
      <c r="G615" s="248">
        <f>F615*E615</f>
        <v>139557.6</v>
      </c>
    </row>
    <row r="616" spans="1:8">
      <c r="A616" s="247"/>
      <c r="B616" s="295"/>
      <c r="C616" s="296"/>
      <c r="D616" s="296"/>
      <c r="E616" s="1146" t="s">
        <v>702</v>
      </c>
      <c r="F616" s="1146"/>
      <c r="G616" s="248">
        <f>SUM(G612:G615)</f>
        <v>643909.6</v>
      </c>
    </row>
    <row r="617" spans="1:8" s="265" customFormat="1">
      <c r="A617" s="294" t="s">
        <v>703</v>
      </c>
      <c r="B617" s="1147" t="s">
        <v>3910</v>
      </c>
      <c r="C617" s="1147"/>
      <c r="D617" s="1147"/>
      <c r="E617" s="1147"/>
      <c r="F617" s="1147"/>
      <c r="G617" s="255">
        <f>G610+G616</f>
        <v>1048569.6</v>
      </c>
    </row>
    <row r="618" spans="1:8" s="265" customFormat="1">
      <c r="A618" s="294" t="s">
        <v>706</v>
      </c>
      <c r="B618" s="1148" t="s">
        <v>709</v>
      </c>
      <c r="C618" s="1148"/>
      <c r="D618" s="1148"/>
      <c r="E618" s="1147" t="s">
        <v>4030</v>
      </c>
      <c r="F618" s="1147"/>
      <c r="G618" s="255">
        <f>G617*0.15</f>
        <v>157285.44</v>
      </c>
    </row>
    <row r="619" spans="1:8" s="265" customFormat="1">
      <c r="A619" s="294" t="s">
        <v>708</v>
      </c>
      <c r="B619" s="1149" t="s">
        <v>3911</v>
      </c>
      <c r="C619" s="1149"/>
      <c r="D619" s="1149"/>
      <c r="E619" s="1149"/>
      <c r="F619" s="1149"/>
      <c r="G619" s="255">
        <f>ROUND(SUM(G617:G618),2)</f>
        <v>1205855.04</v>
      </c>
      <c r="H619" s="255">
        <f>SUM(G617:G618)</f>
        <v>1205855.04</v>
      </c>
    </row>
    <row r="621" spans="1:8">
      <c r="A621" s="286" t="s">
        <v>4063</v>
      </c>
      <c r="B621" s="265" t="s">
        <v>2690</v>
      </c>
    </row>
    <row r="622" spans="1:8" s="814" customFormat="1">
      <c r="A622" s="876" t="s">
        <v>4064</v>
      </c>
      <c r="B622" s="848" t="s">
        <v>2691</v>
      </c>
      <c r="C622" s="849"/>
      <c r="D622" s="849"/>
      <c r="E622" s="850"/>
      <c r="F622" s="851"/>
      <c r="G622" s="852"/>
    </row>
    <row r="623" spans="1:8" s="858" customFormat="1" ht="24.95" customHeight="1">
      <c r="A623" s="853" t="s">
        <v>1003</v>
      </c>
      <c r="B623" s="854" t="s">
        <v>1004</v>
      </c>
      <c r="C623" s="853" t="s">
        <v>1005</v>
      </c>
      <c r="D623" s="853" t="s">
        <v>1006</v>
      </c>
      <c r="E623" s="880" t="s">
        <v>1007</v>
      </c>
      <c r="F623" s="881" t="s">
        <v>2637</v>
      </c>
      <c r="G623" s="857" t="s">
        <v>2638</v>
      </c>
    </row>
    <row r="624" spans="1:8" s="814" customFormat="1">
      <c r="A624" s="859" t="s">
        <v>671</v>
      </c>
      <c r="B624" s="894" t="s">
        <v>672</v>
      </c>
      <c r="C624" s="865"/>
      <c r="D624" s="865"/>
      <c r="E624" s="889"/>
      <c r="F624" s="866"/>
      <c r="G624" s="864"/>
    </row>
    <row r="625" spans="1:8" s="814" customFormat="1">
      <c r="A625" s="865"/>
      <c r="B625" s="895" t="s">
        <v>673</v>
      </c>
      <c r="C625" s="865" t="s">
        <v>674</v>
      </c>
      <c r="D625" s="865" t="s">
        <v>675</v>
      </c>
      <c r="E625" s="889">
        <v>1.65</v>
      </c>
      <c r="F625" s="866">
        <f>'UPAD-BAHAN-ALAT'!$I$12</f>
        <v>110000</v>
      </c>
      <c r="G625" s="864">
        <f>F625*E625</f>
        <v>181500</v>
      </c>
    </row>
    <row r="626" spans="1:8" s="814" customFormat="1">
      <c r="A626" s="865"/>
      <c r="B626" s="895" t="s">
        <v>816</v>
      </c>
      <c r="C626" s="865" t="s">
        <v>678</v>
      </c>
      <c r="D626" s="865" t="s">
        <v>675</v>
      </c>
      <c r="E626" s="889">
        <v>0.27500000000000002</v>
      </c>
      <c r="F626" s="866">
        <f>'UPAD-BAHAN-ALAT'!$I$13</f>
        <v>140000</v>
      </c>
      <c r="G626" s="864">
        <f>F626*E626</f>
        <v>38500</v>
      </c>
    </row>
    <row r="627" spans="1:8" s="814" customFormat="1">
      <c r="A627" s="865"/>
      <c r="B627" s="895" t="s">
        <v>680</v>
      </c>
      <c r="C627" s="865" t="s">
        <v>681</v>
      </c>
      <c r="D627" s="865" t="s">
        <v>675</v>
      </c>
      <c r="E627" s="889">
        <v>2.8000000000000001E-2</v>
      </c>
      <c r="F627" s="866">
        <f>'UPAD-BAHAN-ALAT'!$I$15</f>
        <v>150000</v>
      </c>
      <c r="G627" s="864">
        <f>F627*E627</f>
        <v>4200</v>
      </c>
    </row>
    <row r="628" spans="1:8" s="814" customFormat="1">
      <c r="A628" s="865"/>
      <c r="B628" s="895" t="s">
        <v>683</v>
      </c>
      <c r="C628" s="865" t="s">
        <v>684</v>
      </c>
      <c r="D628" s="865" t="s">
        <v>675</v>
      </c>
      <c r="E628" s="889">
        <v>8.3000000000000004E-2</v>
      </c>
      <c r="F628" s="866">
        <f>'UPAD-BAHAN-ALAT'!$I$14</f>
        <v>140000</v>
      </c>
      <c r="G628" s="864">
        <f>F628*E628</f>
        <v>11620</v>
      </c>
    </row>
    <row r="629" spans="1:8" s="814" customFormat="1">
      <c r="A629" s="865"/>
      <c r="B629" s="895"/>
      <c r="C629" s="865"/>
      <c r="D629" s="865"/>
      <c r="E629" s="1156" t="s">
        <v>685</v>
      </c>
      <c r="F629" s="1156"/>
      <c r="G629" s="864">
        <f>SUM(G625:G628)</f>
        <v>235820</v>
      </c>
    </row>
    <row r="630" spans="1:8" s="814" customFormat="1">
      <c r="A630" s="859" t="s">
        <v>686</v>
      </c>
      <c r="B630" s="894" t="s">
        <v>687</v>
      </c>
      <c r="C630" s="865"/>
      <c r="D630" s="865"/>
      <c r="E630" s="889"/>
      <c r="F630" s="866"/>
      <c r="G630" s="864"/>
    </row>
    <row r="631" spans="1:8" s="814" customFormat="1">
      <c r="A631" s="865"/>
      <c r="B631" s="895" t="s">
        <v>738</v>
      </c>
      <c r="C631" s="865"/>
      <c r="D631" s="865" t="s">
        <v>773</v>
      </c>
      <c r="E631" s="889">
        <v>247</v>
      </c>
      <c r="F631" s="866">
        <f>'UPAD-BAHAN-ALAT'!$I$77</f>
        <v>1625</v>
      </c>
      <c r="G631" s="864">
        <f>F631*E631</f>
        <v>401375</v>
      </c>
    </row>
    <row r="632" spans="1:8" s="814" customFormat="1">
      <c r="A632" s="865"/>
      <c r="B632" s="895" t="s">
        <v>831</v>
      </c>
      <c r="C632" s="865"/>
      <c r="D632" s="865" t="s">
        <v>773</v>
      </c>
      <c r="E632" s="889">
        <v>869</v>
      </c>
      <c r="F632" s="866">
        <f>'UPAD-BAHAN-ALAT'!$I$72</f>
        <v>125.70979607871148</v>
      </c>
      <c r="G632" s="864">
        <f>F632*E632</f>
        <v>109241.81279240028</v>
      </c>
    </row>
    <row r="633" spans="1:8" s="814" customFormat="1">
      <c r="A633" s="865"/>
      <c r="B633" s="895" t="s">
        <v>841</v>
      </c>
      <c r="C633" s="865"/>
      <c r="D633" s="865" t="s">
        <v>773</v>
      </c>
      <c r="E633" s="889">
        <v>999</v>
      </c>
      <c r="F633" s="866">
        <f>'UPAD-BAHAN-ALAT'!$I$70</f>
        <v>220.88070812192143</v>
      </c>
      <c r="G633" s="864">
        <f>F633*E633</f>
        <v>220659.8274137995</v>
      </c>
    </row>
    <row r="634" spans="1:8" s="814" customFormat="1">
      <c r="A634" s="865"/>
      <c r="B634" s="895" t="s">
        <v>842</v>
      </c>
      <c r="C634" s="865"/>
      <c r="D634" s="865" t="s">
        <v>701</v>
      </c>
      <c r="E634" s="889">
        <v>215</v>
      </c>
      <c r="F634" s="866">
        <f>'UPAD-BAHAN-ALAT'!$I$46</f>
        <v>35</v>
      </c>
      <c r="G634" s="864">
        <f>F634*E634</f>
        <v>7525</v>
      </c>
    </row>
    <row r="635" spans="1:8" s="814" customFormat="1">
      <c r="A635" s="865"/>
      <c r="B635" s="896"/>
      <c r="C635" s="897"/>
      <c r="D635" s="897"/>
      <c r="E635" s="1156" t="s">
        <v>702</v>
      </c>
      <c r="F635" s="1156"/>
      <c r="G635" s="864">
        <f>SUM(G631:G634)</f>
        <v>738801.64020619972</v>
      </c>
    </row>
    <row r="636" spans="1:8" s="848" customFormat="1">
      <c r="A636" s="859" t="s">
        <v>703</v>
      </c>
      <c r="B636" s="1153" t="s">
        <v>3910</v>
      </c>
      <c r="C636" s="1153"/>
      <c r="D636" s="1153"/>
      <c r="E636" s="1153"/>
      <c r="F636" s="1153"/>
      <c r="G636" s="872">
        <f>G629+G635</f>
        <v>974621.64020619972</v>
      </c>
    </row>
    <row r="637" spans="1:8" s="848" customFormat="1">
      <c r="A637" s="859" t="s">
        <v>706</v>
      </c>
      <c r="B637" s="1152" t="s">
        <v>709</v>
      </c>
      <c r="C637" s="1152"/>
      <c r="D637" s="1152"/>
      <c r="E637" s="1153" t="s">
        <v>4030</v>
      </c>
      <c r="F637" s="1153"/>
      <c r="G637" s="872">
        <f>G636*0.15</f>
        <v>146193.24603092996</v>
      </c>
    </row>
    <row r="638" spans="1:8" s="848" customFormat="1">
      <c r="A638" s="859" t="s">
        <v>708</v>
      </c>
      <c r="B638" s="1154" t="s">
        <v>3911</v>
      </c>
      <c r="C638" s="1154"/>
      <c r="D638" s="1154"/>
      <c r="E638" s="1154"/>
      <c r="F638" s="1154"/>
      <c r="G638" s="872">
        <f>ROUND(SUM(G636:G637),2)</f>
        <v>1120814.8899999999</v>
      </c>
      <c r="H638" s="872">
        <f>SUM(G636:G637)</f>
        <v>1120814.8862371296</v>
      </c>
    </row>
    <row r="639" spans="1:8">
      <c r="A639" s="268"/>
      <c r="B639" s="269"/>
      <c r="C639" s="268"/>
      <c r="D639" s="268"/>
      <c r="E639" s="380"/>
      <c r="F639" s="365"/>
      <c r="G639" s="270"/>
    </row>
    <row r="640" spans="1:8">
      <c r="A640" s="284" t="s">
        <v>4065</v>
      </c>
      <c r="B640" s="250" t="s">
        <v>2692</v>
      </c>
      <c r="C640" s="252"/>
      <c r="D640" s="252"/>
      <c r="E640" s="374"/>
      <c r="F640" s="361"/>
      <c r="G640" s="253"/>
    </row>
    <row r="641" spans="1:8" s="292" customFormat="1" ht="24.95" customHeight="1">
      <c r="A641" s="290" t="s">
        <v>1003</v>
      </c>
      <c r="B641" s="290" t="s">
        <v>1004</v>
      </c>
      <c r="C641" s="293" t="s">
        <v>1005</v>
      </c>
      <c r="D641" s="293" t="s">
        <v>1006</v>
      </c>
      <c r="E641" s="373" t="s">
        <v>1007</v>
      </c>
      <c r="F641" s="363" t="s">
        <v>4066</v>
      </c>
      <c r="G641" s="291" t="s">
        <v>2638</v>
      </c>
    </row>
    <row r="642" spans="1:8">
      <c r="A642" s="294" t="s">
        <v>671</v>
      </c>
      <c r="B642" s="411" t="s">
        <v>672</v>
      </c>
      <c r="C642" s="283"/>
      <c r="D642" s="283"/>
      <c r="E642" s="372"/>
      <c r="F642" s="360"/>
      <c r="G642" s="248"/>
    </row>
    <row r="643" spans="1:8">
      <c r="A643" s="247"/>
      <c r="B643" s="410" t="s">
        <v>673</v>
      </c>
      <c r="C643" s="283" t="s">
        <v>674</v>
      </c>
      <c r="D643" s="283" t="s">
        <v>675</v>
      </c>
      <c r="E643" s="372">
        <v>1.65</v>
      </c>
      <c r="F643" s="360">
        <f>'UPAD-BAHAN-ALAT'!$I$12</f>
        <v>110000</v>
      </c>
      <c r="G643" s="248">
        <f>F643*E643</f>
        <v>181500</v>
      </c>
    </row>
    <row r="644" spans="1:8">
      <c r="A644" s="247"/>
      <c r="B644" s="410" t="s">
        <v>816</v>
      </c>
      <c r="C644" s="283" t="s">
        <v>678</v>
      </c>
      <c r="D644" s="283" t="s">
        <v>675</v>
      </c>
      <c r="E644" s="372">
        <v>0.27500000000000002</v>
      </c>
      <c r="F644" s="360">
        <f>'UPAD-BAHAN-ALAT'!$I$13</f>
        <v>140000</v>
      </c>
      <c r="G644" s="248">
        <f>F644*E644</f>
        <v>38500</v>
      </c>
    </row>
    <row r="645" spans="1:8">
      <c r="A645" s="247"/>
      <c r="B645" s="410" t="s">
        <v>680</v>
      </c>
      <c r="C645" s="283" t="s">
        <v>681</v>
      </c>
      <c r="D645" s="283" t="s">
        <v>675</v>
      </c>
      <c r="E645" s="372">
        <v>2.8000000000000001E-2</v>
      </c>
      <c r="F645" s="360">
        <f>'UPAD-BAHAN-ALAT'!$I$15</f>
        <v>150000</v>
      </c>
      <c r="G645" s="248">
        <f>F645*E645</f>
        <v>4200</v>
      </c>
    </row>
    <row r="646" spans="1:8">
      <c r="A646" s="247"/>
      <c r="B646" s="410" t="s">
        <v>683</v>
      </c>
      <c r="C646" s="283" t="s">
        <v>684</v>
      </c>
      <c r="D646" s="283" t="s">
        <v>675</v>
      </c>
      <c r="E646" s="372">
        <v>8.3000000000000004E-2</v>
      </c>
      <c r="F646" s="360">
        <f>'UPAD-BAHAN-ALAT'!$I$14</f>
        <v>140000</v>
      </c>
      <c r="G646" s="248">
        <f>F646*E646</f>
        <v>11620</v>
      </c>
    </row>
    <row r="647" spans="1:8">
      <c r="A647" s="247"/>
      <c r="B647" s="410"/>
      <c r="C647" s="288"/>
      <c r="D647" s="283"/>
      <c r="E647" s="1146" t="s">
        <v>685</v>
      </c>
      <c r="F647" s="1146"/>
      <c r="G647" s="248">
        <f>SUM(G643:G646)</f>
        <v>235820</v>
      </c>
    </row>
    <row r="648" spans="1:8">
      <c r="A648" s="294" t="s">
        <v>686</v>
      </c>
      <c r="B648" s="411" t="s">
        <v>687</v>
      </c>
      <c r="C648" s="288"/>
      <c r="D648" s="283"/>
      <c r="E648" s="372"/>
      <c r="F648" s="360"/>
      <c r="G648" s="248"/>
    </row>
    <row r="649" spans="1:8">
      <c r="A649" s="247"/>
      <c r="B649" s="413" t="s">
        <v>738</v>
      </c>
      <c r="C649" s="288"/>
      <c r="D649" s="283" t="s">
        <v>773</v>
      </c>
      <c r="E649" s="372">
        <v>276</v>
      </c>
      <c r="F649" s="360">
        <f>'UPAD-BAHAN-ALAT'!$I$77</f>
        <v>1625</v>
      </c>
      <c r="G649" s="248">
        <f>F649*E649</f>
        <v>448500</v>
      </c>
    </row>
    <row r="650" spans="1:8">
      <c r="A650" s="247"/>
      <c r="B650" s="413" t="s">
        <v>831</v>
      </c>
      <c r="C650" s="288"/>
      <c r="D650" s="283" t="s">
        <v>773</v>
      </c>
      <c r="E650" s="372">
        <v>828</v>
      </c>
      <c r="F650" s="360">
        <f>'UPAD-BAHAN-ALAT'!$I$72</f>
        <v>125.70979607871148</v>
      </c>
      <c r="G650" s="248">
        <f>F650*E650</f>
        <v>104087.71115317311</v>
      </c>
    </row>
    <row r="651" spans="1:8">
      <c r="A651" s="247"/>
      <c r="B651" s="413" t="s">
        <v>841</v>
      </c>
      <c r="C651" s="288"/>
      <c r="D651" s="283" t="s">
        <v>773</v>
      </c>
      <c r="E651" s="372">
        <v>1012</v>
      </c>
      <c r="F651" s="360">
        <f>'UPAD-BAHAN-ALAT'!$I$70</f>
        <v>220.88070812192143</v>
      </c>
      <c r="G651" s="248">
        <f>F651*E651</f>
        <v>223531.27661938447</v>
      </c>
    </row>
    <row r="652" spans="1:8">
      <c r="A652" s="247"/>
      <c r="B652" s="413" t="s">
        <v>842</v>
      </c>
      <c r="C652" s="288"/>
      <c r="D652" s="283" t="s">
        <v>701</v>
      </c>
      <c r="E652" s="372">
        <v>215</v>
      </c>
      <c r="F652" s="360">
        <f>'UPAD-BAHAN-ALAT'!$I$46</f>
        <v>35</v>
      </c>
      <c r="G652" s="248">
        <f>F652*E652</f>
        <v>7525</v>
      </c>
    </row>
    <row r="653" spans="1:8">
      <c r="A653" s="247"/>
      <c r="B653" s="295"/>
      <c r="C653" s="635"/>
      <c r="D653" s="296"/>
      <c r="E653" s="1146" t="s">
        <v>702</v>
      </c>
      <c r="F653" s="1146"/>
      <c r="G653" s="248">
        <f>SUM(G649:G652)</f>
        <v>783643.98777255765</v>
      </c>
    </row>
    <row r="654" spans="1:8" s="265" customFormat="1">
      <c r="A654" s="294" t="s">
        <v>703</v>
      </c>
      <c r="B654" s="1147" t="s">
        <v>3910</v>
      </c>
      <c r="C654" s="1147"/>
      <c r="D654" s="1147"/>
      <c r="E654" s="1147"/>
      <c r="F654" s="1147"/>
      <c r="G654" s="255">
        <f>G647+G653</f>
        <v>1019463.9877725577</v>
      </c>
    </row>
    <row r="655" spans="1:8" s="265" customFormat="1">
      <c r="A655" s="294" t="s">
        <v>706</v>
      </c>
      <c r="B655" s="1148" t="s">
        <v>709</v>
      </c>
      <c r="C655" s="1148"/>
      <c r="D655" s="1148"/>
      <c r="E655" s="1147" t="s">
        <v>4030</v>
      </c>
      <c r="F655" s="1147"/>
      <c r="G655" s="255">
        <f>G654*0.15</f>
        <v>152919.59816588365</v>
      </c>
    </row>
    <row r="656" spans="1:8" s="265" customFormat="1">
      <c r="A656" s="294" t="s">
        <v>708</v>
      </c>
      <c r="B656" s="1149" t="s">
        <v>3911</v>
      </c>
      <c r="C656" s="1149"/>
      <c r="D656" s="1149"/>
      <c r="E656" s="1149"/>
      <c r="F656" s="1149"/>
      <c r="G656" s="255">
        <f>ROUND(SUM(G654:G655),2)</f>
        <v>1172383.5900000001</v>
      </c>
      <c r="H656" s="255">
        <f>SUM(G654:G655)</f>
        <v>1172383.5859384413</v>
      </c>
    </row>
    <row r="658" spans="1:7">
      <c r="A658" s="600" t="s">
        <v>2693</v>
      </c>
      <c r="B658" s="265" t="s">
        <v>2694</v>
      </c>
    </row>
    <row r="659" spans="1:7">
      <c r="A659" s="254" t="s">
        <v>1003</v>
      </c>
      <c r="B659" s="636" t="s">
        <v>1004</v>
      </c>
      <c r="C659" s="254" t="s">
        <v>1005</v>
      </c>
      <c r="D659" s="254" t="s">
        <v>1006</v>
      </c>
      <c r="E659" s="386" t="s">
        <v>1007</v>
      </c>
      <c r="F659" s="393" t="s">
        <v>2637</v>
      </c>
      <c r="G659" s="255" t="s">
        <v>2638</v>
      </c>
    </row>
    <row r="660" spans="1:7">
      <c r="A660" s="294" t="s">
        <v>671</v>
      </c>
      <c r="B660" s="411" t="s">
        <v>672</v>
      </c>
      <c r="C660" s="247"/>
      <c r="D660" s="247"/>
      <c r="E660" s="372"/>
      <c r="F660" s="360"/>
      <c r="G660" s="248"/>
    </row>
    <row r="661" spans="1:7">
      <c r="A661" s="247"/>
      <c r="B661" s="410" t="s">
        <v>673</v>
      </c>
      <c r="C661" s="247" t="s">
        <v>674</v>
      </c>
      <c r="D661" s="247" t="s">
        <v>675</v>
      </c>
      <c r="E661" s="372">
        <v>1.65</v>
      </c>
      <c r="F661" s="360">
        <f>'UPAD-BAHAN-ALAT'!$I$12</f>
        <v>110000</v>
      </c>
      <c r="G661" s="248">
        <f>F661*E661</f>
        <v>181500</v>
      </c>
    </row>
    <row r="662" spans="1:7">
      <c r="A662" s="247"/>
      <c r="B662" s="410" t="s">
        <v>816</v>
      </c>
      <c r="C662" s="247" t="s">
        <v>678</v>
      </c>
      <c r="D662" s="247" t="s">
        <v>675</v>
      </c>
      <c r="E662" s="372">
        <v>0.27500000000000002</v>
      </c>
      <c r="F662" s="360">
        <f>'UPAD-BAHAN-ALAT'!$I$13</f>
        <v>140000</v>
      </c>
      <c r="G662" s="248">
        <f>F662*E662</f>
        <v>38500</v>
      </c>
    </row>
    <row r="663" spans="1:7">
      <c r="A663" s="247"/>
      <c r="B663" s="410" t="s">
        <v>680</v>
      </c>
      <c r="C663" s="247" t="s">
        <v>681</v>
      </c>
      <c r="D663" s="247" t="s">
        <v>675</v>
      </c>
      <c r="E663" s="372">
        <v>2.8000000000000001E-2</v>
      </c>
      <c r="F663" s="360">
        <f>'UPAD-BAHAN-ALAT'!$I$15</f>
        <v>150000</v>
      </c>
      <c r="G663" s="248">
        <f>F663*E663</f>
        <v>4200</v>
      </c>
    </row>
    <row r="664" spans="1:7">
      <c r="A664" s="247"/>
      <c r="B664" s="410" t="s">
        <v>683</v>
      </c>
      <c r="C664" s="247" t="s">
        <v>684</v>
      </c>
      <c r="D664" s="247" t="s">
        <v>675</v>
      </c>
      <c r="E664" s="372">
        <v>8.3000000000000004E-2</v>
      </c>
      <c r="F664" s="360">
        <f>'UPAD-BAHAN-ALAT'!$I$14</f>
        <v>140000</v>
      </c>
      <c r="G664" s="248">
        <f>F664*E664</f>
        <v>11620</v>
      </c>
    </row>
    <row r="665" spans="1:7">
      <c r="A665" s="247"/>
      <c r="B665" s="410"/>
      <c r="C665" s="247"/>
      <c r="D665" s="247"/>
      <c r="E665" s="1146" t="s">
        <v>685</v>
      </c>
      <c r="F665" s="1146"/>
      <c r="G665" s="248">
        <f>SUM(G661:G664)</f>
        <v>235820</v>
      </c>
    </row>
    <row r="666" spans="1:7">
      <c r="A666" s="294" t="s">
        <v>686</v>
      </c>
      <c r="B666" s="411" t="s">
        <v>687</v>
      </c>
      <c r="C666" s="247"/>
      <c r="D666" s="247"/>
      <c r="E666" s="372"/>
      <c r="F666" s="360"/>
      <c r="G666" s="248"/>
    </row>
    <row r="667" spans="1:7">
      <c r="A667" s="247"/>
      <c r="B667" s="410" t="s">
        <v>738</v>
      </c>
      <c r="C667" s="247"/>
      <c r="D667" s="247" t="s">
        <v>773</v>
      </c>
      <c r="E667" s="372">
        <v>299</v>
      </c>
      <c r="F667" s="360">
        <f>'UPAD-BAHAN-ALAT'!$I$77</f>
        <v>1625</v>
      </c>
      <c r="G667" s="248">
        <f>F667*E667</f>
        <v>485875</v>
      </c>
    </row>
    <row r="668" spans="1:7">
      <c r="A668" s="247"/>
      <c r="B668" s="410" t="s">
        <v>831</v>
      </c>
      <c r="C668" s="247"/>
      <c r="D668" s="247" t="s">
        <v>773</v>
      </c>
      <c r="E668" s="372">
        <v>799</v>
      </c>
      <c r="F668" s="360">
        <f>'UPAD-BAHAN-ALAT'!$I$72</f>
        <v>125.70979607871148</v>
      </c>
      <c r="G668" s="248">
        <f>F668*E668</f>
        <v>100442.12706689048</v>
      </c>
    </row>
    <row r="669" spans="1:7">
      <c r="A669" s="247"/>
      <c r="B669" s="410" t="s">
        <v>843</v>
      </c>
      <c r="C669" s="247"/>
      <c r="D669" s="247" t="s">
        <v>773</v>
      </c>
      <c r="E669" s="372">
        <v>1017</v>
      </c>
      <c r="F669" s="360">
        <f>'UPAD-BAHAN-ALAT'!$I$70</f>
        <v>220.88070812192143</v>
      </c>
      <c r="G669" s="248">
        <f>F669*E669</f>
        <v>224635.68015999408</v>
      </c>
    </row>
    <row r="670" spans="1:7">
      <c r="A670" s="247"/>
      <c r="B670" s="410" t="s">
        <v>842</v>
      </c>
      <c r="C670" s="247"/>
      <c r="D670" s="247" t="s">
        <v>701</v>
      </c>
      <c r="E670" s="372">
        <v>215</v>
      </c>
      <c r="F670" s="360">
        <f>'UPAD-BAHAN-ALAT'!$I$46</f>
        <v>35</v>
      </c>
      <c r="G670" s="248">
        <f>F670*E670</f>
        <v>7525</v>
      </c>
    </row>
    <row r="671" spans="1:7">
      <c r="A671" s="247"/>
      <c r="B671" s="295"/>
      <c r="C671" s="296"/>
      <c r="D671" s="296"/>
      <c r="E671" s="1146" t="s">
        <v>702</v>
      </c>
      <c r="F671" s="1146"/>
      <c r="G671" s="248">
        <f>SUM(G667:G670)</f>
        <v>818477.80722688453</v>
      </c>
    </row>
    <row r="672" spans="1:7" s="265" customFormat="1">
      <c r="A672" s="294" t="s">
        <v>703</v>
      </c>
      <c r="B672" s="1147" t="s">
        <v>3910</v>
      </c>
      <c r="C672" s="1147"/>
      <c r="D672" s="1147"/>
      <c r="E672" s="1147"/>
      <c r="F672" s="1147"/>
      <c r="G672" s="255">
        <f>G665+G671</f>
        <v>1054297.8072268846</v>
      </c>
    </row>
    <row r="673" spans="1:8" s="265" customFormat="1">
      <c r="A673" s="294" t="s">
        <v>706</v>
      </c>
      <c r="B673" s="1148" t="s">
        <v>709</v>
      </c>
      <c r="C673" s="1148"/>
      <c r="D673" s="1148"/>
      <c r="E673" s="1147" t="s">
        <v>4030</v>
      </c>
      <c r="F673" s="1147"/>
      <c r="G673" s="255">
        <f>G672*0.15</f>
        <v>158144.67108403269</v>
      </c>
    </row>
    <row r="674" spans="1:8" s="265" customFormat="1">
      <c r="A674" s="294" t="s">
        <v>708</v>
      </c>
      <c r="B674" s="1149" t="s">
        <v>3911</v>
      </c>
      <c r="C674" s="1149"/>
      <c r="D674" s="1149"/>
      <c r="E674" s="1149"/>
      <c r="F674" s="1149"/>
      <c r="G674" s="255">
        <f>ROUND(SUM(G672:G673),2)</f>
        <v>1212442.48</v>
      </c>
      <c r="H674" s="255">
        <f>SUM(G672:G673)</f>
        <v>1212442.4783109173</v>
      </c>
    </row>
    <row r="676" spans="1:8">
      <c r="A676" s="637" t="s">
        <v>2128</v>
      </c>
    </row>
    <row r="677" spans="1:8">
      <c r="A677" s="638" t="s">
        <v>2648</v>
      </c>
    </row>
    <row r="678" spans="1:8">
      <c r="A678" s="286" t="s">
        <v>4069</v>
      </c>
      <c r="B678" s="265" t="s">
        <v>4723</v>
      </c>
    </row>
    <row r="679" spans="1:8" s="292" customFormat="1" ht="24.95" customHeight="1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8">
      <c r="A680" s="294" t="s">
        <v>671</v>
      </c>
      <c r="B680" s="411" t="s">
        <v>672</v>
      </c>
      <c r="C680" s="247"/>
      <c r="D680" s="247"/>
      <c r="E680" s="372"/>
      <c r="F680" s="360"/>
      <c r="G680" s="248"/>
    </row>
    <row r="681" spans="1:8">
      <c r="A681" s="247"/>
      <c r="B681" s="410" t="s">
        <v>673</v>
      </c>
      <c r="C681" s="247" t="s">
        <v>674</v>
      </c>
      <c r="D681" s="247" t="s">
        <v>675</v>
      </c>
      <c r="E681" s="372">
        <v>1.2</v>
      </c>
      <c r="F681" s="360">
        <f>'UPAD-BAHAN-ALAT'!$I$12</f>
        <v>110000</v>
      </c>
      <c r="G681" s="248">
        <f>F681*E681</f>
        <v>132000</v>
      </c>
    </row>
    <row r="682" spans="1:8">
      <c r="A682" s="247"/>
      <c r="B682" s="410" t="s">
        <v>816</v>
      </c>
      <c r="C682" s="247" t="s">
        <v>678</v>
      </c>
      <c r="D682" s="247" t="s">
        <v>675</v>
      </c>
      <c r="E682" s="372">
        <v>0.2</v>
      </c>
      <c r="F682" s="360">
        <f>'UPAD-BAHAN-ALAT'!$I$13</f>
        <v>140000</v>
      </c>
      <c r="G682" s="248">
        <f>F682*E682</f>
        <v>28000</v>
      </c>
    </row>
    <row r="683" spans="1:8">
      <c r="A683" s="247"/>
      <c r="B683" s="410" t="s">
        <v>680</v>
      </c>
      <c r="C683" s="247" t="s">
        <v>681</v>
      </c>
      <c r="D683" s="247" t="s">
        <v>675</v>
      </c>
      <c r="E683" s="372">
        <v>0.02</v>
      </c>
      <c r="F683" s="360">
        <f>'UPAD-BAHAN-ALAT'!$I$15</f>
        <v>150000</v>
      </c>
      <c r="G683" s="248">
        <f>F683*E683</f>
        <v>3000</v>
      </c>
    </row>
    <row r="684" spans="1:8">
      <c r="A684" s="247"/>
      <c r="B684" s="410" t="s">
        <v>683</v>
      </c>
      <c r="C684" s="247" t="s">
        <v>684</v>
      </c>
      <c r="D684" s="247" t="s">
        <v>675</v>
      </c>
      <c r="E684" s="372">
        <v>0.06</v>
      </c>
      <c r="F684" s="360">
        <f>'UPAD-BAHAN-ALAT'!$I$14</f>
        <v>140000</v>
      </c>
      <c r="G684" s="248">
        <f>F684*E684</f>
        <v>8400</v>
      </c>
    </row>
    <row r="685" spans="1:8">
      <c r="A685" s="247"/>
      <c r="B685" s="410"/>
      <c r="C685" s="247"/>
      <c r="D685" s="247"/>
      <c r="E685" s="1146" t="s">
        <v>685</v>
      </c>
      <c r="F685" s="1146"/>
      <c r="G685" s="248">
        <f>SUM(G681:G684)</f>
        <v>171400</v>
      </c>
    </row>
    <row r="686" spans="1:8">
      <c r="A686" s="294" t="s">
        <v>686</v>
      </c>
      <c r="B686" s="411" t="s">
        <v>687</v>
      </c>
      <c r="C686" s="247"/>
      <c r="D686" s="247"/>
      <c r="E686" s="372"/>
      <c r="F686" s="360"/>
      <c r="G686" s="248"/>
    </row>
    <row r="687" spans="1:8">
      <c r="A687" s="247"/>
      <c r="B687" s="410" t="s">
        <v>738</v>
      </c>
      <c r="C687" s="247"/>
      <c r="D687" s="247" t="s">
        <v>773</v>
      </c>
      <c r="E687" s="372">
        <v>230</v>
      </c>
      <c r="F687" s="360">
        <f>'UPAD-BAHAN-ALAT'!$I$77</f>
        <v>1625</v>
      </c>
      <c r="G687" s="248">
        <f>F687*E687</f>
        <v>373750</v>
      </c>
    </row>
    <row r="688" spans="1:8">
      <c r="A688" s="247"/>
      <c r="B688" s="410" t="s">
        <v>831</v>
      </c>
      <c r="C688" s="247"/>
      <c r="D688" s="247" t="s">
        <v>773</v>
      </c>
      <c r="E688" s="372">
        <v>893</v>
      </c>
      <c r="F688" s="360">
        <f>'UPAD-BAHAN-ALAT'!$I$72</f>
        <v>125.70979607871148</v>
      </c>
      <c r="G688" s="248">
        <f>F688*E688</f>
        <v>112258.84789828934</v>
      </c>
    </row>
    <row r="689" spans="1:8">
      <c r="A689" s="247"/>
      <c r="B689" s="256" t="s">
        <v>841</v>
      </c>
      <c r="C689" s="247"/>
      <c r="D689" s="247" t="s">
        <v>773</v>
      </c>
      <c r="E689" s="372">
        <v>1027</v>
      </c>
      <c r="F689" s="360">
        <f>'UPAD-BAHAN-ALAT'!$I$70</f>
        <v>220.88070812192143</v>
      </c>
      <c r="G689" s="248">
        <f>F689*E689</f>
        <v>226844.4872412133</v>
      </c>
    </row>
    <row r="690" spans="1:8">
      <c r="A690" s="247"/>
      <c r="B690" s="410" t="s">
        <v>842</v>
      </c>
      <c r="C690" s="247"/>
      <c r="D690" s="247" t="s">
        <v>701</v>
      </c>
      <c r="E690" s="372">
        <v>200</v>
      </c>
      <c r="F690" s="360">
        <f>'UPAD-BAHAN-ALAT'!$I$46</f>
        <v>35</v>
      </c>
      <c r="G690" s="248">
        <f>F690*E690</f>
        <v>7000</v>
      </c>
    </row>
    <row r="691" spans="1:8">
      <c r="A691" s="247"/>
      <c r="B691" s="410"/>
      <c r="C691" s="247"/>
      <c r="D691" s="247"/>
      <c r="E691" s="1144" t="s">
        <v>702</v>
      </c>
      <c r="F691" s="1144"/>
      <c r="G691" s="248">
        <f>SUM(G687:G690)</f>
        <v>719853.33513950265</v>
      </c>
    </row>
    <row r="692" spans="1:8" s="265" customFormat="1">
      <c r="A692" s="294" t="s">
        <v>703</v>
      </c>
      <c r="B692" s="1147" t="s">
        <v>3910</v>
      </c>
      <c r="C692" s="1147"/>
      <c r="D692" s="1147"/>
      <c r="E692" s="1147"/>
      <c r="F692" s="1147"/>
      <c r="G692" s="255">
        <f>G685+G691</f>
        <v>891253.33513950265</v>
      </c>
    </row>
    <row r="693" spans="1:8" s="265" customFormat="1">
      <c r="A693" s="294" t="s">
        <v>706</v>
      </c>
      <c r="B693" s="1148" t="s">
        <v>709</v>
      </c>
      <c r="C693" s="1148"/>
      <c r="D693" s="1148"/>
      <c r="E693" s="1147" t="s">
        <v>4030</v>
      </c>
      <c r="F693" s="1147"/>
      <c r="G693" s="255">
        <f>G692*0.15</f>
        <v>133688.0002709254</v>
      </c>
    </row>
    <row r="694" spans="1:8" s="265" customFormat="1">
      <c r="A694" s="294" t="s">
        <v>708</v>
      </c>
      <c r="B694" s="1147" t="s">
        <v>3911</v>
      </c>
      <c r="C694" s="1147"/>
      <c r="D694" s="1147"/>
      <c r="E694" s="1147"/>
      <c r="F694" s="1147"/>
      <c r="G694" s="255">
        <f>ROUND(SUM(G692:G693),2)</f>
        <v>1024941.34</v>
      </c>
      <c r="H694" s="255">
        <f>SUM(G692:G693)</f>
        <v>1024941.335410428</v>
      </c>
    </row>
    <row r="696" spans="1:8">
      <c r="A696" s="286" t="s">
        <v>4068</v>
      </c>
      <c r="B696" s="265" t="s">
        <v>2695</v>
      </c>
    </row>
    <row r="697" spans="1:8" s="292" customFormat="1" ht="24.95" customHeight="1">
      <c r="A697" s="290" t="s">
        <v>1003</v>
      </c>
      <c r="B697" s="290" t="s">
        <v>1004</v>
      </c>
      <c r="C697" s="290" t="s">
        <v>1005</v>
      </c>
      <c r="D697" s="290" t="s">
        <v>1006</v>
      </c>
      <c r="E697" s="373" t="s">
        <v>1007</v>
      </c>
      <c r="F697" s="363" t="s">
        <v>2637</v>
      </c>
      <c r="G697" s="291" t="s">
        <v>2638</v>
      </c>
    </row>
    <row r="698" spans="1:8">
      <c r="A698" s="294" t="s">
        <v>671</v>
      </c>
      <c r="B698" s="411" t="s">
        <v>672</v>
      </c>
      <c r="C698" s="247"/>
      <c r="D698" s="247"/>
      <c r="E698" s="372"/>
      <c r="F698" s="360"/>
      <c r="G698" s="248"/>
    </row>
    <row r="699" spans="1:8">
      <c r="A699" s="247"/>
      <c r="B699" s="410" t="s">
        <v>673</v>
      </c>
      <c r="C699" s="247" t="s">
        <v>674</v>
      </c>
      <c r="D699" s="247" t="s">
        <v>675</v>
      </c>
      <c r="E699" s="372">
        <v>1.65</v>
      </c>
      <c r="F699" s="360">
        <f>'UPAD-BAHAN-ALAT'!$I$12</f>
        <v>110000</v>
      </c>
      <c r="G699" s="248">
        <f>F699*E699</f>
        <v>181500</v>
      </c>
    </row>
    <row r="700" spans="1:8">
      <c r="A700" s="247"/>
      <c r="B700" s="410" t="s">
        <v>816</v>
      </c>
      <c r="C700" s="247" t="s">
        <v>678</v>
      </c>
      <c r="D700" s="247" t="s">
        <v>675</v>
      </c>
      <c r="E700" s="372">
        <v>0.27500000000000002</v>
      </c>
      <c r="F700" s="360">
        <f>'UPAD-BAHAN-ALAT'!$I$13</f>
        <v>140000</v>
      </c>
      <c r="G700" s="248">
        <f>F700*E700</f>
        <v>38500</v>
      </c>
    </row>
    <row r="701" spans="1:8">
      <c r="A701" s="247"/>
      <c r="B701" s="410" t="s">
        <v>680</v>
      </c>
      <c r="C701" s="247" t="s">
        <v>681</v>
      </c>
      <c r="D701" s="247" t="s">
        <v>675</v>
      </c>
      <c r="E701" s="372">
        <v>2.8000000000000001E-2</v>
      </c>
      <c r="F701" s="360">
        <f>'UPAD-BAHAN-ALAT'!$I$15</f>
        <v>150000</v>
      </c>
      <c r="G701" s="248">
        <f>F701*E701</f>
        <v>4200</v>
      </c>
    </row>
    <row r="702" spans="1:8">
      <c r="A702" s="247"/>
      <c r="B702" s="410" t="s">
        <v>683</v>
      </c>
      <c r="C702" s="247" t="s">
        <v>684</v>
      </c>
      <c r="D702" s="247" t="s">
        <v>675</v>
      </c>
      <c r="E702" s="372">
        <v>8.3000000000000004E-2</v>
      </c>
      <c r="F702" s="360">
        <f>'UPAD-BAHAN-ALAT'!$I$14</f>
        <v>140000</v>
      </c>
      <c r="G702" s="248">
        <f>F702*E702</f>
        <v>11620</v>
      </c>
    </row>
    <row r="703" spans="1:8">
      <c r="A703" s="247"/>
      <c r="B703" s="410"/>
      <c r="C703" s="247"/>
      <c r="D703" s="247"/>
      <c r="E703" s="1146" t="s">
        <v>685</v>
      </c>
      <c r="F703" s="1146"/>
      <c r="G703" s="248">
        <f>SUM(G699:G702)</f>
        <v>235820</v>
      </c>
    </row>
    <row r="704" spans="1:8">
      <c r="A704" s="294" t="s">
        <v>686</v>
      </c>
      <c r="B704" s="411" t="s">
        <v>687</v>
      </c>
      <c r="C704" s="247"/>
      <c r="D704" s="247"/>
      <c r="E704" s="372"/>
      <c r="F704" s="360"/>
      <c r="G704" s="248"/>
    </row>
    <row r="705" spans="1:8">
      <c r="A705" s="247"/>
      <c r="B705" s="410" t="s">
        <v>738</v>
      </c>
      <c r="C705" s="247"/>
      <c r="D705" s="247" t="s">
        <v>773</v>
      </c>
      <c r="E705" s="372">
        <v>326</v>
      </c>
      <c r="F705" s="360">
        <f>'UPAD-BAHAN-ALAT'!$I$77</f>
        <v>1625</v>
      </c>
      <c r="G705" s="248">
        <f>F705*E705</f>
        <v>529750</v>
      </c>
    </row>
    <row r="706" spans="1:8">
      <c r="A706" s="247"/>
      <c r="B706" s="410" t="s">
        <v>831</v>
      </c>
      <c r="C706" s="247"/>
      <c r="D706" s="247" t="s">
        <v>773</v>
      </c>
      <c r="E706" s="372">
        <v>760</v>
      </c>
      <c r="F706" s="360">
        <f>'UPAD-BAHAN-ALAT'!$I$72</f>
        <v>125.70979607871148</v>
      </c>
      <c r="G706" s="248">
        <f>F706*E706</f>
        <v>95539.44501982072</v>
      </c>
    </row>
    <row r="707" spans="1:8">
      <c r="A707" s="247"/>
      <c r="B707" s="410" t="s">
        <v>2946</v>
      </c>
      <c r="C707" s="247"/>
      <c r="D707" s="247" t="s">
        <v>773</v>
      </c>
      <c r="E707" s="372">
        <v>1029</v>
      </c>
      <c r="F707" s="360">
        <f>'UPAD-BAHAN-ALAT'!$I$57</f>
        <v>353.32548165596319</v>
      </c>
      <c r="G707" s="248">
        <f>F707*E707</f>
        <v>363571.92062398611</v>
      </c>
    </row>
    <row r="708" spans="1:8">
      <c r="A708" s="247"/>
      <c r="B708" s="410" t="s">
        <v>842</v>
      </c>
      <c r="C708" s="247"/>
      <c r="D708" s="247" t="s">
        <v>701</v>
      </c>
      <c r="E708" s="372">
        <v>215</v>
      </c>
      <c r="F708" s="360">
        <f>'UPAD-BAHAN-ALAT'!$I$46</f>
        <v>35</v>
      </c>
      <c r="G708" s="248">
        <f>F708*E708</f>
        <v>7525</v>
      </c>
    </row>
    <row r="709" spans="1:8">
      <c r="A709" s="247"/>
      <c r="B709" s="295"/>
      <c r="C709" s="296"/>
      <c r="D709" s="296"/>
      <c r="E709" s="1146" t="s">
        <v>702</v>
      </c>
      <c r="F709" s="1146"/>
      <c r="G709" s="248">
        <f>SUM(G705:G708)</f>
        <v>996386.36564380676</v>
      </c>
    </row>
    <row r="710" spans="1:8" s="265" customFormat="1">
      <c r="A710" s="294" t="s">
        <v>703</v>
      </c>
      <c r="B710" s="1147" t="s">
        <v>3910</v>
      </c>
      <c r="C710" s="1147"/>
      <c r="D710" s="1147"/>
      <c r="E710" s="1147"/>
      <c r="F710" s="1147"/>
      <c r="G710" s="255">
        <f>G703+G709</f>
        <v>1232206.3656438068</v>
      </c>
    </row>
    <row r="711" spans="1:8" s="265" customFormat="1">
      <c r="A711" s="294" t="s">
        <v>706</v>
      </c>
      <c r="B711" s="1148" t="s">
        <v>709</v>
      </c>
      <c r="C711" s="1148"/>
      <c r="D711" s="1148"/>
      <c r="E711" s="1147" t="s">
        <v>4030</v>
      </c>
      <c r="F711" s="1147"/>
      <c r="G711" s="255">
        <f>G710*0.15</f>
        <v>184830.954846571</v>
      </c>
    </row>
    <row r="712" spans="1:8" s="265" customFormat="1">
      <c r="A712" s="294" t="s">
        <v>708</v>
      </c>
      <c r="B712" s="1149" t="s">
        <v>3911</v>
      </c>
      <c r="C712" s="1149"/>
      <c r="D712" s="1149"/>
      <c r="E712" s="1149"/>
      <c r="F712" s="1149"/>
      <c r="G712" s="255">
        <f>ROUND(SUM(G710:G711),2)</f>
        <v>1417037.32</v>
      </c>
      <c r="H712" s="255">
        <f>SUM(G710:G711)</f>
        <v>1417037.3204903777</v>
      </c>
    </row>
    <row r="714" spans="1:8">
      <c r="A714" s="600" t="s">
        <v>4067</v>
      </c>
      <c r="B714" s="265" t="s">
        <v>2696</v>
      </c>
    </row>
    <row r="715" spans="1:8" s="292" customFormat="1" ht="24.95" customHeight="1">
      <c r="A715" s="290" t="s">
        <v>1003</v>
      </c>
      <c r="B715" s="290" t="s">
        <v>1004</v>
      </c>
      <c r="C715" s="290" t="s">
        <v>1005</v>
      </c>
      <c r="D715" s="290" t="s">
        <v>1006</v>
      </c>
      <c r="E715" s="373" t="s">
        <v>1007</v>
      </c>
      <c r="F715" s="363" t="s">
        <v>2637</v>
      </c>
      <c r="G715" s="291" t="s">
        <v>2638</v>
      </c>
    </row>
    <row r="716" spans="1:8">
      <c r="A716" s="294" t="s">
        <v>671</v>
      </c>
      <c r="B716" s="411" t="s">
        <v>672</v>
      </c>
      <c r="C716" s="247"/>
      <c r="D716" s="247"/>
      <c r="E716" s="372"/>
      <c r="F716" s="360"/>
      <c r="G716" s="248"/>
    </row>
    <row r="717" spans="1:8">
      <c r="A717" s="247"/>
      <c r="B717" s="410" t="s">
        <v>673</v>
      </c>
      <c r="C717" s="247" t="s">
        <v>674</v>
      </c>
      <c r="D717" s="247" t="s">
        <v>675</v>
      </c>
      <c r="E717" s="372">
        <v>1.65</v>
      </c>
      <c r="F717" s="360">
        <f>'UPAD-BAHAN-ALAT'!$I$12</f>
        <v>110000</v>
      </c>
      <c r="G717" s="248">
        <f>F717*E717</f>
        <v>181500</v>
      </c>
    </row>
    <row r="718" spans="1:8">
      <c r="A718" s="247"/>
      <c r="B718" s="410" t="s">
        <v>816</v>
      </c>
      <c r="C718" s="247" t="s">
        <v>678</v>
      </c>
      <c r="D718" s="247" t="s">
        <v>675</v>
      </c>
      <c r="E718" s="372">
        <v>0.27500000000000002</v>
      </c>
      <c r="F718" s="360">
        <f>'UPAD-BAHAN-ALAT'!$I$13</f>
        <v>140000</v>
      </c>
      <c r="G718" s="248">
        <f>F718*E718</f>
        <v>38500</v>
      </c>
    </row>
    <row r="719" spans="1:8">
      <c r="A719" s="247"/>
      <c r="B719" s="410" t="s">
        <v>680</v>
      </c>
      <c r="C719" s="247" t="s">
        <v>681</v>
      </c>
      <c r="D719" s="247" t="s">
        <v>675</v>
      </c>
      <c r="E719" s="372">
        <v>2.8000000000000001E-2</v>
      </c>
      <c r="F719" s="360">
        <f>'UPAD-BAHAN-ALAT'!$I$15</f>
        <v>150000</v>
      </c>
      <c r="G719" s="248">
        <f>F719*E719</f>
        <v>4200</v>
      </c>
    </row>
    <row r="720" spans="1:8">
      <c r="A720" s="247"/>
      <c r="B720" s="410" t="s">
        <v>683</v>
      </c>
      <c r="C720" s="247" t="s">
        <v>684</v>
      </c>
      <c r="D720" s="247" t="s">
        <v>675</v>
      </c>
      <c r="E720" s="372">
        <v>8.3000000000000004E-2</v>
      </c>
      <c r="F720" s="360">
        <f>'UPAD-BAHAN-ALAT'!$I$14</f>
        <v>140000</v>
      </c>
      <c r="G720" s="248">
        <f>F720*E720</f>
        <v>11620</v>
      </c>
    </row>
    <row r="721" spans="1:8">
      <c r="A721" s="247"/>
      <c r="B721" s="410"/>
      <c r="C721" s="247"/>
      <c r="D721" s="247"/>
      <c r="E721" s="1146" t="s">
        <v>685</v>
      </c>
      <c r="F721" s="1146"/>
      <c r="G721" s="248">
        <f>SUM(G717:G720)</f>
        <v>235820</v>
      </c>
    </row>
    <row r="722" spans="1:8">
      <c r="A722" s="294" t="s">
        <v>686</v>
      </c>
      <c r="B722" s="411" t="s">
        <v>687</v>
      </c>
      <c r="C722" s="247"/>
      <c r="D722" s="247"/>
      <c r="E722" s="372"/>
      <c r="F722" s="360"/>
      <c r="G722" s="248"/>
    </row>
    <row r="723" spans="1:8">
      <c r="A723" s="247"/>
      <c r="B723" s="410" t="s">
        <v>738</v>
      </c>
      <c r="C723" s="247"/>
      <c r="D723" s="247" t="s">
        <v>773</v>
      </c>
      <c r="E723" s="372">
        <v>352</v>
      </c>
      <c r="F723" s="360">
        <f>'UPAD-BAHAN-ALAT'!$I$77</f>
        <v>1625</v>
      </c>
      <c r="G723" s="248">
        <f>F723*E723</f>
        <v>572000</v>
      </c>
    </row>
    <row r="724" spans="1:8">
      <c r="A724" s="247"/>
      <c r="B724" s="410" t="s">
        <v>831</v>
      </c>
      <c r="C724" s="247"/>
      <c r="D724" s="247" t="s">
        <v>773</v>
      </c>
      <c r="E724" s="372">
        <v>731</v>
      </c>
      <c r="F724" s="360">
        <f>'UPAD-BAHAN-ALAT'!$I$72</f>
        <v>125.70979607871148</v>
      </c>
      <c r="G724" s="248">
        <f>F724*E724</f>
        <v>91893.86093353809</v>
      </c>
    </row>
    <row r="725" spans="1:8">
      <c r="A725" s="247"/>
      <c r="B725" s="410" t="s">
        <v>2946</v>
      </c>
      <c r="C725" s="247"/>
      <c r="D725" s="247" t="s">
        <v>773</v>
      </c>
      <c r="E725" s="372">
        <v>1031</v>
      </c>
      <c r="F725" s="360">
        <f>'UPAD-BAHAN-ALAT'!$I$57</f>
        <v>353.32548165596319</v>
      </c>
      <c r="G725" s="248">
        <f>F725*E725</f>
        <v>364278.57158729807</v>
      </c>
    </row>
    <row r="726" spans="1:8">
      <c r="A726" s="247"/>
      <c r="B726" s="410" t="s">
        <v>842</v>
      </c>
      <c r="C726" s="247"/>
      <c r="D726" s="247" t="s">
        <v>701</v>
      </c>
      <c r="E726" s="372">
        <v>215</v>
      </c>
      <c r="F726" s="360">
        <f>'UPAD-BAHAN-ALAT'!$I$46</f>
        <v>35</v>
      </c>
      <c r="G726" s="248">
        <f>F726*E726</f>
        <v>7525</v>
      </c>
    </row>
    <row r="727" spans="1:8">
      <c r="A727" s="247"/>
      <c r="B727" s="295"/>
      <c r="C727" s="296"/>
      <c r="D727" s="296"/>
      <c r="E727" s="1146" t="s">
        <v>702</v>
      </c>
      <c r="F727" s="1146"/>
      <c r="G727" s="248">
        <f>SUM(G723:G726)</f>
        <v>1035697.4325208361</v>
      </c>
    </row>
    <row r="728" spans="1:8" s="265" customFormat="1">
      <c r="A728" s="294" t="s">
        <v>703</v>
      </c>
      <c r="B728" s="1147" t="s">
        <v>3910</v>
      </c>
      <c r="C728" s="1147"/>
      <c r="D728" s="1147"/>
      <c r="E728" s="1147"/>
      <c r="F728" s="1147"/>
      <c r="G728" s="255">
        <f>G721+G727</f>
        <v>1271517.4325208361</v>
      </c>
    </row>
    <row r="729" spans="1:8" s="265" customFormat="1">
      <c r="A729" s="294" t="s">
        <v>706</v>
      </c>
      <c r="B729" s="1148" t="s">
        <v>709</v>
      </c>
      <c r="C729" s="1148"/>
      <c r="D729" s="1148"/>
      <c r="E729" s="1147" t="s">
        <v>4030</v>
      </c>
      <c r="F729" s="1147"/>
      <c r="G729" s="255">
        <f>G728*0.15</f>
        <v>190727.6148781254</v>
      </c>
    </row>
    <row r="730" spans="1:8" s="265" customFormat="1">
      <c r="A730" s="294" t="s">
        <v>708</v>
      </c>
      <c r="B730" s="1149" t="s">
        <v>3911</v>
      </c>
      <c r="C730" s="1149"/>
      <c r="D730" s="1149"/>
      <c r="E730" s="1149"/>
      <c r="F730" s="1149"/>
      <c r="G730" s="255">
        <f>ROUND(SUM(G728:G729),2)</f>
        <v>1462245.05</v>
      </c>
      <c r="H730" s="255">
        <f>SUM(G728:G729)</f>
        <v>1462245.0473989616</v>
      </c>
    </row>
    <row r="732" spans="1:8">
      <c r="A732" s="600" t="s">
        <v>4070</v>
      </c>
      <c r="B732" s="265" t="s">
        <v>2697</v>
      </c>
    </row>
    <row r="733" spans="1:8" s="292" customFormat="1" ht="24.95" customHeight="1">
      <c r="A733" s="290" t="s">
        <v>1003</v>
      </c>
      <c r="B733" s="290" t="s">
        <v>1004</v>
      </c>
      <c r="C733" s="290" t="s">
        <v>1005</v>
      </c>
      <c r="D733" s="290" t="s">
        <v>1006</v>
      </c>
      <c r="E733" s="373" t="s">
        <v>1007</v>
      </c>
      <c r="F733" s="363" t="s">
        <v>2637</v>
      </c>
      <c r="G733" s="291" t="s">
        <v>2638</v>
      </c>
    </row>
    <row r="734" spans="1:8">
      <c r="A734" s="294" t="s">
        <v>671</v>
      </c>
      <c r="B734" s="411" t="s">
        <v>672</v>
      </c>
      <c r="C734" s="247"/>
      <c r="D734" s="247"/>
      <c r="E734" s="372"/>
      <c r="F734" s="360"/>
      <c r="G734" s="248"/>
    </row>
    <row r="735" spans="1:8">
      <c r="A735" s="247"/>
      <c r="B735" s="410" t="s">
        <v>673</v>
      </c>
      <c r="C735" s="247" t="s">
        <v>674</v>
      </c>
      <c r="D735" s="247" t="s">
        <v>675</v>
      </c>
      <c r="E735" s="372">
        <v>1.65</v>
      </c>
      <c r="F735" s="360">
        <f>'UPAD-BAHAN-ALAT'!$I$12</f>
        <v>110000</v>
      </c>
      <c r="G735" s="248">
        <f>F735*E735</f>
        <v>181500</v>
      </c>
    </row>
    <row r="736" spans="1:8">
      <c r="A736" s="247"/>
      <c r="B736" s="410" t="s">
        <v>816</v>
      </c>
      <c r="C736" s="247" t="s">
        <v>678</v>
      </c>
      <c r="D736" s="247" t="s">
        <v>675</v>
      </c>
      <c r="E736" s="372">
        <v>0.27500000000000002</v>
      </c>
      <c r="F736" s="360">
        <f>'UPAD-BAHAN-ALAT'!$I$13</f>
        <v>140000</v>
      </c>
      <c r="G736" s="248">
        <f>F736*E736</f>
        <v>38500</v>
      </c>
    </row>
    <row r="737" spans="1:8">
      <c r="A737" s="247"/>
      <c r="B737" s="410" t="s">
        <v>680</v>
      </c>
      <c r="C737" s="247" t="s">
        <v>681</v>
      </c>
      <c r="D737" s="247" t="s">
        <v>675</v>
      </c>
      <c r="E737" s="372">
        <v>2.8000000000000001E-2</v>
      </c>
      <c r="F737" s="360">
        <f>'UPAD-BAHAN-ALAT'!$I$15</f>
        <v>150000</v>
      </c>
      <c r="G737" s="248">
        <f>F737*E737</f>
        <v>4200</v>
      </c>
    </row>
    <row r="738" spans="1:8">
      <c r="A738" s="247"/>
      <c r="B738" s="410" t="s">
        <v>683</v>
      </c>
      <c r="C738" s="247" t="s">
        <v>684</v>
      </c>
      <c r="D738" s="247" t="s">
        <v>675</v>
      </c>
      <c r="E738" s="372">
        <v>8.3000000000000004E-2</v>
      </c>
      <c r="F738" s="360">
        <f>'UPAD-BAHAN-ALAT'!$I$14</f>
        <v>140000</v>
      </c>
      <c r="G738" s="248">
        <f>F738*E738</f>
        <v>11620</v>
      </c>
    </row>
    <row r="739" spans="1:8">
      <c r="A739" s="247"/>
      <c r="B739" s="410"/>
      <c r="C739" s="247"/>
      <c r="D739" s="247"/>
      <c r="E739" s="1146" t="s">
        <v>685</v>
      </c>
      <c r="F739" s="1146"/>
      <c r="G739" s="248">
        <f>SUM(G735:G738)</f>
        <v>235820</v>
      </c>
    </row>
    <row r="740" spans="1:8">
      <c r="A740" s="294" t="s">
        <v>686</v>
      </c>
      <c r="B740" s="411" t="s">
        <v>687</v>
      </c>
      <c r="C740" s="247"/>
      <c r="D740" s="247"/>
      <c r="E740" s="372"/>
      <c r="F740" s="360"/>
      <c r="G740" s="248"/>
    </row>
    <row r="741" spans="1:8">
      <c r="A741" s="247"/>
      <c r="B741" s="410" t="s">
        <v>738</v>
      </c>
      <c r="C741" s="247"/>
      <c r="D741" s="247" t="s">
        <v>773</v>
      </c>
      <c r="E741" s="372">
        <v>371</v>
      </c>
      <c r="F741" s="360">
        <f>'UPAD-BAHAN-ALAT'!$I$77</f>
        <v>1625</v>
      </c>
      <c r="G741" s="248">
        <f>F741*E741</f>
        <v>602875</v>
      </c>
    </row>
    <row r="742" spans="1:8">
      <c r="A742" s="247"/>
      <c r="B742" s="410" t="s">
        <v>831</v>
      </c>
      <c r="C742" s="247"/>
      <c r="D742" s="247" t="s">
        <v>773</v>
      </c>
      <c r="E742" s="372">
        <v>698</v>
      </c>
      <c r="F742" s="360">
        <f>'UPAD-BAHAN-ALAT'!$I$72</f>
        <v>125.70979607871148</v>
      </c>
      <c r="G742" s="248">
        <f>F742*E742</f>
        <v>87745.437662940618</v>
      </c>
    </row>
    <row r="743" spans="1:8">
      <c r="A743" s="247"/>
      <c r="B743" s="410" t="s">
        <v>2946</v>
      </c>
      <c r="C743" s="247"/>
      <c r="D743" s="247" t="s">
        <v>773</v>
      </c>
      <c r="E743" s="372">
        <v>1047</v>
      </c>
      <c r="F743" s="360">
        <f>'UPAD-BAHAN-ALAT'!$I$57</f>
        <v>353.32548165596319</v>
      </c>
      <c r="G743" s="248">
        <f>F743*E743</f>
        <v>369931.77929379349</v>
      </c>
    </row>
    <row r="744" spans="1:8">
      <c r="A744" s="247"/>
      <c r="B744" s="410" t="s">
        <v>842</v>
      </c>
      <c r="C744" s="247"/>
      <c r="D744" s="247" t="s">
        <v>701</v>
      </c>
      <c r="E744" s="372">
        <v>215</v>
      </c>
      <c r="F744" s="360">
        <f>'UPAD-BAHAN-ALAT'!$I$46</f>
        <v>35</v>
      </c>
      <c r="G744" s="248">
        <f>F744*E744</f>
        <v>7525</v>
      </c>
    </row>
    <row r="745" spans="1:8">
      <c r="A745" s="247"/>
      <c r="B745" s="295"/>
      <c r="C745" s="296"/>
      <c r="D745" s="296"/>
      <c r="E745" s="1146" t="s">
        <v>702</v>
      </c>
      <c r="F745" s="1146"/>
      <c r="G745" s="248">
        <f>SUM(G741:G744)</f>
        <v>1068077.2169567342</v>
      </c>
    </row>
    <row r="746" spans="1:8" s="265" customFormat="1">
      <c r="A746" s="294" t="s">
        <v>703</v>
      </c>
      <c r="B746" s="1147" t="s">
        <v>3910</v>
      </c>
      <c r="C746" s="1147"/>
      <c r="D746" s="1147"/>
      <c r="E746" s="1147"/>
      <c r="F746" s="1147"/>
      <c r="G746" s="255">
        <f>G739+G745</f>
        <v>1303897.2169567342</v>
      </c>
    </row>
    <row r="747" spans="1:8" s="265" customFormat="1">
      <c r="A747" s="294" t="s">
        <v>706</v>
      </c>
      <c r="B747" s="1148" t="s">
        <v>709</v>
      </c>
      <c r="C747" s="1148"/>
      <c r="D747" s="1148"/>
      <c r="E747" s="1147" t="s">
        <v>4030</v>
      </c>
      <c r="F747" s="1147"/>
      <c r="G747" s="255">
        <f>G746*0.15</f>
        <v>195584.58254351013</v>
      </c>
    </row>
    <row r="748" spans="1:8" s="265" customFormat="1">
      <c r="A748" s="294" t="s">
        <v>708</v>
      </c>
      <c r="B748" s="1149" t="s">
        <v>3911</v>
      </c>
      <c r="C748" s="1149"/>
      <c r="D748" s="1149"/>
      <c r="E748" s="1149"/>
      <c r="F748" s="1149"/>
      <c r="G748" s="255">
        <f>ROUND(SUM(G746:G747),2)</f>
        <v>1499481.8</v>
      </c>
      <c r="H748" s="255">
        <f>SUM(G746:G747)</f>
        <v>1499481.7995002442</v>
      </c>
    </row>
    <row r="750" spans="1:8">
      <c r="A750" s="600" t="s">
        <v>4071</v>
      </c>
      <c r="B750" s="265" t="s">
        <v>2698</v>
      </c>
    </row>
    <row r="751" spans="1:8" s="292" customFormat="1" ht="24.95" customHeight="1">
      <c r="A751" s="290" t="s">
        <v>1003</v>
      </c>
      <c r="B751" s="290" t="s">
        <v>1004</v>
      </c>
      <c r="C751" s="290" t="s">
        <v>1005</v>
      </c>
      <c r="D751" s="290" t="s">
        <v>1006</v>
      </c>
      <c r="E751" s="373" t="s">
        <v>1007</v>
      </c>
      <c r="F751" s="363" t="s">
        <v>2637</v>
      </c>
      <c r="G751" s="291" t="s">
        <v>2638</v>
      </c>
    </row>
    <row r="752" spans="1:8">
      <c r="A752" s="294" t="s">
        <v>671</v>
      </c>
      <c r="B752" s="411" t="s">
        <v>672</v>
      </c>
      <c r="C752" s="247"/>
      <c r="D752" s="247"/>
      <c r="E752" s="372"/>
      <c r="F752" s="360"/>
      <c r="G752" s="248"/>
    </row>
    <row r="753" spans="1:8">
      <c r="A753" s="247"/>
      <c r="B753" s="410" t="s">
        <v>673</v>
      </c>
      <c r="C753" s="247" t="s">
        <v>674</v>
      </c>
      <c r="D753" s="247" t="s">
        <v>675</v>
      </c>
      <c r="E753" s="372">
        <v>1.65</v>
      </c>
      <c r="F753" s="360">
        <f>'UPAD-BAHAN-ALAT'!$I$12</f>
        <v>110000</v>
      </c>
      <c r="G753" s="248">
        <f>F753*E753</f>
        <v>181500</v>
      </c>
    </row>
    <row r="754" spans="1:8">
      <c r="A754" s="247"/>
      <c r="B754" s="410" t="s">
        <v>816</v>
      </c>
      <c r="C754" s="247" t="s">
        <v>678</v>
      </c>
      <c r="D754" s="247" t="s">
        <v>675</v>
      </c>
      <c r="E754" s="372">
        <v>0.27500000000000002</v>
      </c>
      <c r="F754" s="360">
        <f>'UPAD-BAHAN-ALAT'!$I$13</f>
        <v>140000</v>
      </c>
      <c r="G754" s="248">
        <f>F754*E754</f>
        <v>38500</v>
      </c>
    </row>
    <row r="755" spans="1:8">
      <c r="A755" s="247"/>
      <c r="B755" s="410" t="s">
        <v>680</v>
      </c>
      <c r="C755" s="247" t="s">
        <v>681</v>
      </c>
      <c r="D755" s="247" t="s">
        <v>675</v>
      </c>
      <c r="E755" s="372">
        <v>2.8000000000000001E-2</v>
      </c>
      <c r="F755" s="360">
        <f>'UPAD-BAHAN-ALAT'!$I$15</f>
        <v>150000</v>
      </c>
      <c r="G755" s="248">
        <f>F755*E755</f>
        <v>4200</v>
      </c>
    </row>
    <row r="756" spans="1:8">
      <c r="A756" s="247"/>
      <c r="B756" s="410" t="s">
        <v>683</v>
      </c>
      <c r="C756" s="247" t="s">
        <v>684</v>
      </c>
      <c r="D756" s="247" t="s">
        <v>675</v>
      </c>
      <c r="E756" s="372">
        <v>8.3000000000000004E-2</v>
      </c>
      <c r="F756" s="360">
        <f>'UPAD-BAHAN-ALAT'!$I$14</f>
        <v>140000</v>
      </c>
      <c r="G756" s="248">
        <f>F756*E756</f>
        <v>11620</v>
      </c>
    </row>
    <row r="757" spans="1:8">
      <c r="A757" s="247"/>
      <c r="B757" s="410"/>
      <c r="C757" s="247"/>
      <c r="D757" s="247"/>
      <c r="E757" s="1146" t="s">
        <v>685</v>
      </c>
      <c r="F757" s="1146"/>
      <c r="G757" s="248">
        <f>SUM(G753:G756)</f>
        <v>235820</v>
      </c>
    </row>
    <row r="758" spans="1:8">
      <c r="A758" s="294" t="s">
        <v>686</v>
      </c>
      <c r="B758" s="411" t="s">
        <v>687</v>
      </c>
      <c r="C758" s="247"/>
      <c r="D758" s="247"/>
      <c r="E758" s="372"/>
      <c r="F758" s="360"/>
      <c r="G758" s="248"/>
    </row>
    <row r="759" spans="1:8">
      <c r="A759" s="247"/>
      <c r="B759" s="410" t="s">
        <v>738</v>
      </c>
      <c r="C759" s="247"/>
      <c r="D759" s="247" t="s">
        <v>773</v>
      </c>
      <c r="E759" s="372">
        <v>384</v>
      </c>
      <c r="F759" s="360">
        <f>'UPAD-BAHAN-ALAT'!$I$77</f>
        <v>1625</v>
      </c>
      <c r="G759" s="248">
        <f>F759*E759</f>
        <v>624000</v>
      </c>
    </row>
    <row r="760" spans="1:8">
      <c r="A760" s="247"/>
      <c r="B760" s="410" t="s">
        <v>831</v>
      </c>
      <c r="C760" s="247"/>
      <c r="D760" s="247" t="s">
        <v>773</v>
      </c>
      <c r="E760" s="372">
        <v>692</v>
      </c>
      <c r="F760" s="360">
        <f>'UPAD-BAHAN-ALAT'!$I$72</f>
        <v>125.70979607871148</v>
      </c>
      <c r="G760" s="248">
        <f>F760*E760</f>
        <v>86991.178886468348</v>
      </c>
    </row>
    <row r="761" spans="1:8">
      <c r="A761" s="247"/>
      <c r="B761" s="410" t="s">
        <v>2946</v>
      </c>
      <c r="C761" s="247"/>
      <c r="D761" s="247" t="s">
        <v>773</v>
      </c>
      <c r="E761" s="372">
        <v>1039</v>
      </c>
      <c r="F761" s="360">
        <f>$F$743</f>
        <v>353.32548165596319</v>
      </c>
      <c r="G761" s="248">
        <f>F761*E761</f>
        <v>367105.17544054578</v>
      </c>
    </row>
    <row r="762" spans="1:8">
      <c r="A762" s="247"/>
      <c r="B762" s="410" t="s">
        <v>842</v>
      </c>
      <c r="C762" s="247"/>
      <c r="D762" s="247" t="s">
        <v>701</v>
      </c>
      <c r="E762" s="372">
        <v>215</v>
      </c>
      <c r="F762" s="360">
        <f>'UPAD-BAHAN-ALAT'!$I$46</f>
        <v>35</v>
      </c>
      <c r="G762" s="248">
        <f>F762*E762</f>
        <v>7525</v>
      </c>
    </row>
    <row r="763" spans="1:8">
      <c r="A763" s="247"/>
      <c r="B763" s="295"/>
      <c r="C763" s="296"/>
      <c r="D763" s="296"/>
      <c r="E763" s="1146" t="s">
        <v>702</v>
      </c>
      <c r="F763" s="1146"/>
      <c r="G763" s="248">
        <f>SUM(G759:G762)</f>
        <v>1085621.3543270142</v>
      </c>
    </row>
    <row r="764" spans="1:8" s="265" customFormat="1">
      <c r="A764" s="294" t="s">
        <v>703</v>
      </c>
      <c r="B764" s="1147" t="s">
        <v>3910</v>
      </c>
      <c r="C764" s="1147"/>
      <c r="D764" s="1147"/>
      <c r="E764" s="1147"/>
      <c r="F764" s="1147"/>
      <c r="G764" s="255">
        <f>G757+G763</f>
        <v>1321441.3543270142</v>
      </c>
    </row>
    <row r="765" spans="1:8" s="265" customFormat="1">
      <c r="A765" s="294" t="s">
        <v>706</v>
      </c>
      <c r="B765" s="1148" t="s">
        <v>709</v>
      </c>
      <c r="C765" s="1148"/>
      <c r="D765" s="1148"/>
      <c r="E765" s="1147" t="s">
        <v>4030</v>
      </c>
      <c r="F765" s="1147"/>
      <c r="G765" s="255">
        <f>G764*0.15</f>
        <v>198216.20314905213</v>
      </c>
    </row>
    <row r="766" spans="1:8" s="265" customFormat="1">
      <c r="A766" s="294" t="s">
        <v>708</v>
      </c>
      <c r="B766" s="1149" t="s">
        <v>3911</v>
      </c>
      <c r="C766" s="1149"/>
      <c r="D766" s="1149"/>
      <c r="E766" s="1149"/>
      <c r="F766" s="1149"/>
      <c r="G766" s="255">
        <f>ROUND(SUM(G764:G765),2)</f>
        <v>1519657.56</v>
      </c>
      <c r="H766" s="255">
        <f>SUM(G764:G765)</f>
        <v>1519657.5574760663</v>
      </c>
    </row>
    <row r="768" spans="1:8">
      <c r="A768" s="600" t="s">
        <v>4072</v>
      </c>
      <c r="B768" s="265" t="s">
        <v>2699</v>
      </c>
    </row>
    <row r="769" spans="1:8" s="292" customFormat="1" ht="24.95" customHeight="1">
      <c r="A769" s="290" t="s">
        <v>1003</v>
      </c>
      <c r="B769" s="290" t="s">
        <v>1004</v>
      </c>
      <c r="C769" s="290" t="s">
        <v>1005</v>
      </c>
      <c r="D769" s="290" t="s">
        <v>1006</v>
      </c>
      <c r="E769" s="373" t="s">
        <v>1007</v>
      </c>
      <c r="F769" s="363" t="s">
        <v>2637</v>
      </c>
      <c r="G769" s="291" t="s">
        <v>2638</v>
      </c>
    </row>
    <row r="770" spans="1:8">
      <c r="A770" s="294" t="s">
        <v>671</v>
      </c>
      <c r="B770" s="411" t="s">
        <v>672</v>
      </c>
      <c r="C770" s="247"/>
      <c r="D770" s="247"/>
      <c r="E770" s="372"/>
      <c r="F770" s="360"/>
      <c r="G770" s="248"/>
    </row>
    <row r="771" spans="1:8">
      <c r="A771" s="247"/>
      <c r="B771" s="410" t="s">
        <v>673</v>
      </c>
      <c r="C771" s="247" t="s">
        <v>674</v>
      </c>
      <c r="D771" s="247" t="s">
        <v>675</v>
      </c>
      <c r="E771" s="372">
        <v>1.65</v>
      </c>
      <c r="F771" s="360">
        <f>'UPAD-BAHAN-ALAT'!$I$12</f>
        <v>110000</v>
      </c>
      <c r="G771" s="248">
        <f>F771*E771</f>
        <v>181500</v>
      </c>
    </row>
    <row r="772" spans="1:8">
      <c r="A772" s="247"/>
      <c r="B772" s="410" t="s">
        <v>816</v>
      </c>
      <c r="C772" s="247" t="s">
        <v>678</v>
      </c>
      <c r="D772" s="247" t="s">
        <v>675</v>
      </c>
      <c r="E772" s="372">
        <v>0.27500000000000002</v>
      </c>
      <c r="F772" s="360">
        <f>'UPAD-BAHAN-ALAT'!$I$13</f>
        <v>140000</v>
      </c>
      <c r="G772" s="248">
        <f>F772*E772</f>
        <v>38500</v>
      </c>
    </row>
    <row r="773" spans="1:8">
      <c r="A773" s="247"/>
      <c r="B773" s="410" t="s">
        <v>680</v>
      </c>
      <c r="C773" s="247" t="s">
        <v>681</v>
      </c>
      <c r="D773" s="247" t="s">
        <v>675</v>
      </c>
      <c r="E773" s="372">
        <v>2.8000000000000001E-2</v>
      </c>
      <c r="F773" s="360">
        <f>'UPAD-BAHAN-ALAT'!$I$15</f>
        <v>150000</v>
      </c>
      <c r="G773" s="248">
        <f>F773*E773</f>
        <v>4200</v>
      </c>
    </row>
    <row r="774" spans="1:8">
      <c r="A774" s="247"/>
      <c r="B774" s="410" t="s">
        <v>683</v>
      </c>
      <c r="C774" s="247" t="s">
        <v>684</v>
      </c>
      <c r="D774" s="247" t="s">
        <v>675</v>
      </c>
      <c r="E774" s="372">
        <v>8.3000000000000004E-2</v>
      </c>
      <c r="F774" s="360">
        <f>'UPAD-BAHAN-ALAT'!$I$14</f>
        <v>140000</v>
      </c>
      <c r="G774" s="248">
        <f>F774*E774</f>
        <v>11620</v>
      </c>
    </row>
    <row r="775" spans="1:8">
      <c r="A775" s="247"/>
      <c r="B775" s="410"/>
      <c r="C775" s="247"/>
      <c r="D775" s="247"/>
      <c r="E775" s="1146" t="s">
        <v>685</v>
      </c>
      <c r="F775" s="1146"/>
      <c r="G775" s="248">
        <f>SUM(G771:G774)</f>
        <v>235820</v>
      </c>
    </row>
    <row r="776" spans="1:8">
      <c r="A776" s="294" t="s">
        <v>686</v>
      </c>
      <c r="B776" s="411" t="s">
        <v>687</v>
      </c>
      <c r="C776" s="247"/>
      <c r="D776" s="247"/>
      <c r="E776" s="372"/>
      <c r="F776" s="360"/>
      <c r="G776" s="248"/>
    </row>
    <row r="777" spans="1:8">
      <c r="A777" s="247"/>
      <c r="B777" s="410" t="s">
        <v>738</v>
      </c>
      <c r="C777" s="247"/>
      <c r="D777" s="247" t="s">
        <v>773</v>
      </c>
      <c r="E777" s="372">
        <v>406</v>
      </c>
      <c r="F777" s="360">
        <f>'UPAD-BAHAN-ALAT'!$I$77</f>
        <v>1625</v>
      </c>
      <c r="G777" s="248">
        <f>F777*E777</f>
        <v>659750</v>
      </c>
    </row>
    <row r="778" spans="1:8">
      <c r="A778" s="247"/>
      <c r="B778" s="410" t="s">
        <v>831</v>
      </c>
      <c r="C778" s="247"/>
      <c r="D778" s="247" t="s">
        <v>773</v>
      </c>
      <c r="E778" s="372">
        <v>684</v>
      </c>
      <c r="F778" s="360">
        <f>'UPAD-BAHAN-ALAT'!$I$72</f>
        <v>125.70979607871148</v>
      </c>
      <c r="G778" s="248">
        <f>F778*E778</f>
        <v>85985.500517838649</v>
      </c>
    </row>
    <row r="779" spans="1:8">
      <c r="A779" s="247"/>
      <c r="B779" s="410" t="s">
        <v>2946</v>
      </c>
      <c r="C779" s="247"/>
      <c r="D779" s="247" t="s">
        <v>773</v>
      </c>
      <c r="E779" s="372">
        <v>1026</v>
      </c>
      <c r="F779" s="360">
        <f>$F$761</f>
        <v>353.32548165596319</v>
      </c>
      <c r="G779" s="248">
        <f>F779*E779</f>
        <v>362511.9441790182</v>
      </c>
    </row>
    <row r="780" spans="1:8">
      <c r="A780" s="247"/>
      <c r="B780" s="410" t="s">
        <v>842</v>
      </c>
      <c r="C780" s="247"/>
      <c r="D780" s="247" t="s">
        <v>701</v>
      </c>
      <c r="E780" s="372">
        <v>215</v>
      </c>
      <c r="F780" s="360">
        <f>'UPAD-BAHAN-ALAT'!$I$46</f>
        <v>35</v>
      </c>
      <c r="G780" s="248">
        <f>F780*E780</f>
        <v>7525</v>
      </c>
    </row>
    <row r="781" spans="1:8">
      <c r="A781" s="247"/>
      <c r="B781" s="295"/>
      <c r="C781" s="296"/>
      <c r="D781" s="296"/>
      <c r="E781" s="1146" t="s">
        <v>702</v>
      </c>
      <c r="F781" s="1146"/>
      <c r="G781" s="248">
        <f>SUM(G777:G780)</f>
        <v>1115772.4446968569</v>
      </c>
    </row>
    <row r="782" spans="1:8" s="265" customFormat="1">
      <c r="A782" s="294" t="s">
        <v>703</v>
      </c>
      <c r="B782" s="1147" t="s">
        <v>3910</v>
      </c>
      <c r="C782" s="1147"/>
      <c r="D782" s="1147"/>
      <c r="E782" s="1147"/>
      <c r="F782" s="1147"/>
      <c r="G782" s="255">
        <f>G775+G781</f>
        <v>1351592.4446968569</v>
      </c>
    </row>
    <row r="783" spans="1:8" s="265" customFormat="1">
      <c r="A783" s="294" t="s">
        <v>706</v>
      </c>
      <c r="B783" s="1148" t="s">
        <v>709</v>
      </c>
      <c r="C783" s="1148"/>
      <c r="D783" s="1148"/>
      <c r="E783" s="1147" t="s">
        <v>4030</v>
      </c>
      <c r="F783" s="1147"/>
      <c r="G783" s="255">
        <f>G782*0.15</f>
        <v>202738.86670452854</v>
      </c>
    </row>
    <row r="784" spans="1:8" s="265" customFormat="1">
      <c r="A784" s="294" t="s">
        <v>708</v>
      </c>
      <c r="B784" s="1149" t="s">
        <v>3911</v>
      </c>
      <c r="C784" s="1149"/>
      <c r="D784" s="1149"/>
      <c r="E784" s="1149"/>
      <c r="F784" s="1149"/>
      <c r="G784" s="255">
        <f>ROUND(SUM(G782:G783),2)</f>
        <v>1554331.31</v>
      </c>
      <c r="H784" s="255">
        <f>SUM(G782:G783)</f>
        <v>1554331.3114013853</v>
      </c>
    </row>
    <row r="786" spans="1:7">
      <c r="A786" s="286" t="s">
        <v>4073</v>
      </c>
      <c r="B786" s="265" t="s">
        <v>2700</v>
      </c>
    </row>
    <row r="787" spans="1:7" s="292" customFormat="1" ht="24.95" customHeight="1">
      <c r="A787" s="290" t="s">
        <v>1003</v>
      </c>
      <c r="B787" s="290" t="s">
        <v>1004</v>
      </c>
      <c r="C787" s="290" t="s">
        <v>1005</v>
      </c>
      <c r="D787" s="290" t="s">
        <v>1006</v>
      </c>
      <c r="E787" s="373" t="s">
        <v>1007</v>
      </c>
      <c r="F787" s="363" t="s">
        <v>2637</v>
      </c>
      <c r="G787" s="291" t="s">
        <v>2638</v>
      </c>
    </row>
    <row r="788" spans="1:7">
      <c r="A788" s="294" t="s">
        <v>671</v>
      </c>
      <c r="B788" s="411" t="s">
        <v>672</v>
      </c>
      <c r="C788" s="247"/>
      <c r="D788" s="247"/>
      <c r="E788" s="372"/>
      <c r="F788" s="360"/>
      <c r="G788" s="248"/>
    </row>
    <row r="789" spans="1:7">
      <c r="A789" s="247"/>
      <c r="B789" s="410" t="s">
        <v>673</v>
      </c>
      <c r="C789" s="247" t="s">
        <v>674</v>
      </c>
      <c r="D789" s="247" t="s">
        <v>675</v>
      </c>
      <c r="E789" s="372">
        <v>1.65</v>
      </c>
      <c r="F789" s="360">
        <f>'UPAD-BAHAN-ALAT'!$I$12</f>
        <v>110000</v>
      </c>
      <c r="G789" s="248">
        <f>F789*E789</f>
        <v>181500</v>
      </c>
    </row>
    <row r="790" spans="1:7">
      <c r="A790" s="247"/>
      <c r="B790" s="410" t="s">
        <v>816</v>
      </c>
      <c r="C790" s="247" t="s">
        <v>678</v>
      </c>
      <c r="D790" s="247" t="s">
        <v>675</v>
      </c>
      <c r="E790" s="372">
        <v>0.27500000000000002</v>
      </c>
      <c r="F790" s="360">
        <f>'UPAD-BAHAN-ALAT'!$I$13</f>
        <v>140000</v>
      </c>
      <c r="G790" s="248">
        <f>F790*E790</f>
        <v>38500</v>
      </c>
    </row>
    <row r="791" spans="1:7">
      <c r="A791" s="247"/>
      <c r="B791" s="410" t="s">
        <v>680</v>
      </c>
      <c r="C791" s="247" t="s">
        <v>681</v>
      </c>
      <c r="D791" s="247" t="s">
        <v>675</v>
      </c>
      <c r="E791" s="372">
        <v>2.8000000000000001E-2</v>
      </c>
      <c r="F791" s="360">
        <f>'UPAD-BAHAN-ALAT'!$I$15</f>
        <v>150000</v>
      </c>
      <c r="G791" s="248">
        <f>F791*E791</f>
        <v>4200</v>
      </c>
    </row>
    <row r="792" spans="1:7">
      <c r="A792" s="247"/>
      <c r="B792" s="410" t="s">
        <v>683</v>
      </c>
      <c r="C792" s="247" t="s">
        <v>684</v>
      </c>
      <c r="D792" s="247" t="s">
        <v>675</v>
      </c>
      <c r="E792" s="372">
        <v>8.3000000000000004E-2</v>
      </c>
      <c r="F792" s="360">
        <f>'UPAD-BAHAN-ALAT'!$I$14</f>
        <v>140000</v>
      </c>
      <c r="G792" s="248">
        <f>F792*E792</f>
        <v>11620</v>
      </c>
    </row>
    <row r="793" spans="1:7">
      <c r="A793" s="247"/>
      <c r="B793" s="410"/>
      <c r="C793" s="247"/>
      <c r="D793" s="247"/>
      <c r="E793" s="1146" t="s">
        <v>685</v>
      </c>
      <c r="F793" s="1146"/>
      <c r="G793" s="248">
        <f>SUM(G789:G792)</f>
        <v>235820</v>
      </c>
    </row>
    <row r="794" spans="1:7">
      <c r="A794" s="294" t="s">
        <v>686</v>
      </c>
      <c r="B794" s="411" t="s">
        <v>687</v>
      </c>
      <c r="C794" s="247"/>
      <c r="D794" s="247"/>
      <c r="E794" s="372"/>
      <c r="F794" s="360"/>
      <c r="G794" s="248"/>
    </row>
    <row r="795" spans="1:7">
      <c r="A795" s="247"/>
      <c r="B795" s="410" t="s">
        <v>738</v>
      </c>
      <c r="C795" s="247"/>
      <c r="D795" s="247" t="s">
        <v>773</v>
      </c>
      <c r="E795" s="372">
        <v>413</v>
      </c>
      <c r="F795" s="360">
        <f>'UPAD-BAHAN-ALAT'!$I$77</f>
        <v>1625</v>
      </c>
      <c r="G795" s="248">
        <f>F795*E795</f>
        <v>671125</v>
      </c>
    </row>
    <row r="796" spans="1:7">
      <c r="A796" s="247"/>
      <c r="B796" s="410" t="s">
        <v>831</v>
      </c>
      <c r="C796" s="247"/>
      <c r="D796" s="247" t="s">
        <v>773</v>
      </c>
      <c r="E796" s="372">
        <v>681</v>
      </c>
      <c r="F796" s="360">
        <f>'UPAD-BAHAN-ALAT'!$I$72</f>
        <v>125.70979607871148</v>
      </c>
      <c r="G796" s="248">
        <f>F796*E796</f>
        <v>85608.371129602514</v>
      </c>
    </row>
    <row r="797" spans="1:7">
      <c r="A797" s="247"/>
      <c r="B797" s="410" t="s">
        <v>2946</v>
      </c>
      <c r="C797" s="247"/>
      <c r="D797" s="247" t="s">
        <v>773</v>
      </c>
      <c r="E797" s="372">
        <v>1021</v>
      </c>
      <c r="F797" s="360">
        <f>$F$779</f>
        <v>353.32548165596319</v>
      </c>
      <c r="G797" s="248">
        <f>F797*E797</f>
        <v>360745.3167707384</v>
      </c>
    </row>
    <row r="798" spans="1:7">
      <c r="A798" s="247"/>
      <c r="B798" s="410" t="s">
        <v>842</v>
      </c>
      <c r="C798" s="247"/>
      <c r="D798" s="247" t="s">
        <v>701</v>
      </c>
      <c r="E798" s="372">
        <v>215</v>
      </c>
      <c r="F798" s="360">
        <f>'UPAD-BAHAN-ALAT'!$I$46</f>
        <v>35</v>
      </c>
      <c r="G798" s="248">
        <f>F798*E798</f>
        <v>7525</v>
      </c>
    </row>
    <row r="799" spans="1:7">
      <c r="A799" s="247"/>
      <c r="B799" s="410"/>
      <c r="C799" s="247"/>
      <c r="D799" s="247"/>
      <c r="E799" s="1144" t="s">
        <v>702</v>
      </c>
      <c r="F799" s="1144"/>
      <c r="G799" s="248">
        <f>SUM(G795:G798)</f>
        <v>1125003.6879003409</v>
      </c>
    </row>
    <row r="800" spans="1:7" s="265" customFormat="1">
      <c r="A800" s="294" t="s">
        <v>703</v>
      </c>
      <c r="B800" s="1147" t="s">
        <v>3910</v>
      </c>
      <c r="C800" s="1147"/>
      <c r="D800" s="1147"/>
      <c r="E800" s="1147"/>
      <c r="F800" s="1147"/>
      <c r="G800" s="255">
        <f>G793+G799</f>
        <v>1360823.6879003409</v>
      </c>
    </row>
    <row r="801" spans="1:8" s="265" customFormat="1">
      <c r="A801" s="294" t="s">
        <v>706</v>
      </c>
      <c r="B801" s="1148" t="s">
        <v>709</v>
      </c>
      <c r="C801" s="1148"/>
      <c r="D801" s="1148"/>
      <c r="E801" s="1147" t="s">
        <v>4030</v>
      </c>
      <c r="F801" s="1147"/>
      <c r="G801" s="255">
        <f>G800*0.15</f>
        <v>204123.55318505113</v>
      </c>
    </row>
    <row r="802" spans="1:8" s="265" customFormat="1">
      <c r="A802" s="294" t="s">
        <v>708</v>
      </c>
      <c r="B802" s="1147" t="s">
        <v>3911</v>
      </c>
      <c r="C802" s="1147"/>
      <c r="D802" s="1147"/>
      <c r="E802" s="1147"/>
      <c r="F802" s="1147"/>
      <c r="G802" s="255">
        <f>ROUND(SUM(G800:G801),2)</f>
        <v>1564947.24</v>
      </c>
      <c r="H802" s="255">
        <f>SUM(G800:G801)</f>
        <v>1564947.241085392</v>
      </c>
    </row>
    <row r="804" spans="1:8">
      <c r="A804" s="286" t="s">
        <v>4074</v>
      </c>
      <c r="B804" s="265" t="s">
        <v>2701</v>
      </c>
    </row>
    <row r="805" spans="1:8" s="292" customFormat="1" ht="24.95" customHeight="1">
      <c r="A805" s="290" t="s">
        <v>1003</v>
      </c>
      <c r="B805" s="290" t="s">
        <v>1004</v>
      </c>
      <c r="C805" s="290" t="s">
        <v>1005</v>
      </c>
      <c r="D805" s="290" t="s">
        <v>1006</v>
      </c>
      <c r="E805" s="373" t="s">
        <v>1007</v>
      </c>
      <c r="F805" s="363" t="s">
        <v>2637</v>
      </c>
      <c r="G805" s="291" t="s">
        <v>2638</v>
      </c>
    </row>
    <row r="806" spans="1:8">
      <c r="A806" s="294" t="s">
        <v>671</v>
      </c>
      <c r="B806" s="411" t="s">
        <v>672</v>
      </c>
      <c r="C806" s="247"/>
      <c r="D806" s="247"/>
      <c r="E806" s="372"/>
      <c r="F806" s="360"/>
      <c r="G806" s="248"/>
    </row>
    <row r="807" spans="1:8">
      <c r="A807" s="247"/>
      <c r="B807" s="410" t="s">
        <v>673</v>
      </c>
      <c r="C807" s="247" t="s">
        <v>674</v>
      </c>
      <c r="D807" s="247" t="s">
        <v>675</v>
      </c>
      <c r="E807" s="372">
        <v>2.1</v>
      </c>
      <c r="F807" s="360">
        <f>'UPAD-BAHAN-ALAT'!$I$12</f>
        <v>110000</v>
      </c>
      <c r="G807" s="248">
        <f>F807*E807</f>
        <v>231000</v>
      </c>
    </row>
    <row r="808" spans="1:8">
      <c r="A808" s="247"/>
      <c r="B808" s="410" t="s">
        <v>816</v>
      </c>
      <c r="C808" s="247" t="s">
        <v>678</v>
      </c>
      <c r="D808" s="247" t="s">
        <v>675</v>
      </c>
      <c r="E808" s="372">
        <v>0.35</v>
      </c>
      <c r="F808" s="360">
        <f>'UPAD-BAHAN-ALAT'!$I$13</f>
        <v>140000</v>
      </c>
      <c r="G808" s="248">
        <f>F808*E808</f>
        <v>49000</v>
      </c>
    </row>
    <row r="809" spans="1:8">
      <c r="A809" s="247"/>
      <c r="B809" s="410" t="s">
        <v>680</v>
      </c>
      <c r="C809" s="247" t="s">
        <v>681</v>
      </c>
      <c r="D809" s="247" t="s">
        <v>675</v>
      </c>
      <c r="E809" s="372">
        <v>3.5000000000000003E-2</v>
      </c>
      <c r="F809" s="360">
        <f>'UPAD-BAHAN-ALAT'!$I$15</f>
        <v>150000</v>
      </c>
      <c r="G809" s="248">
        <f>F809*E809</f>
        <v>5250.0000000000009</v>
      </c>
    </row>
    <row r="810" spans="1:8">
      <c r="A810" s="247"/>
      <c r="B810" s="410" t="s">
        <v>683</v>
      </c>
      <c r="C810" s="247" t="s">
        <v>684</v>
      </c>
      <c r="D810" s="247" t="s">
        <v>675</v>
      </c>
      <c r="E810" s="372">
        <v>0.105</v>
      </c>
      <c r="F810" s="360">
        <f>'UPAD-BAHAN-ALAT'!$I$14</f>
        <v>140000</v>
      </c>
      <c r="G810" s="248">
        <f>F810*E810</f>
        <v>14700</v>
      </c>
    </row>
    <row r="811" spans="1:8">
      <c r="A811" s="247"/>
      <c r="B811" s="410"/>
      <c r="C811" s="247"/>
      <c r="D811" s="247"/>
      <c r="E811" s="1144" t="s">
        <v>685</v>
      </c>
      <c r="F811" s="1144"/>
      <c r="G811" s="248">
        <f>SUM(G807:G810)</f>
        <v>299950</v>
      </c>
    </row>
    <row r="812" spans="1:8">
      <c r="A812" s="294" t="s">
        <v>686</v>
      </c>
      <c r="B812" s="411" t="s">
        <v>687</v>
      </c>
      <c r="C812" s="247"/>
      <c r="D812" s="247"/>
      <c r="E812" s="372"/>
      <c r="F812" s="360"/>
      <c r="G812" s="248"/>
    </row>
    <row r="813" spans="1:8">
      <c r="A813" s="247"/>
      <c r="B813" s="410" t="s">
        <v>738</v>
      </c>
      <c r="C813" s="247"/>
      <c r="D813" s="247" t="s">
        <v>773</v>
      </c>
      <c r="E813" s="372">
        <v>439</v>
      </c>
      <c r="F813" s="360">
        <f>'UPAD-BAHAN-ALAT'!$I$77</f>
        <v>1625</v>
      </c>
      <c r="G813" s="248">
        <f>F813*E813</f>
        <v>713375</v>
      </c>
    </row>
    <row r="814" spans="1:8">
      <c r="A814" s="247"/>
      <c r="B814" s="410" t="s">
        <v>831</v>
      </c>
      <c r="C814" s="247"/>
      <c r="D814" s="247" t="s">
        <v>773</v>
      </c>
      <c r="E814" s="372">
        <v>670</v>
      </c>
      <c r="F814" s="360">
        <f>'UPAD-BAHAN-ALAT'!$I$72</f>
        <v>125.70979607871148</v>
      </c>
      <c r="G814" s="248">
        <f>F814*E814</f>
        <v>84225.563372736695</v>
      </c>
    </row>
    <row r="815" spans="1:8">
      <c r="A815" s="247"/>
      <c r="B815" s="410" t="s">
        <v>2946</v>
      </c>
      <c r="C815" s="247"/>
      <c r="D815" s="247" t="s">
        <v>773</v>
      </c>
      <c r="E815" s="372">
        <v>1006</v>
      </c>
      <c r="F815" s="360">
        <f>$F$797</f>
        <v>353.32548165596319</v>
      </c>
      <c r="G815" s="248">
        <f>F815*E815</f>
        <v>355445.43454589898</v>
      </c>
    </row>
    <row r="816" spans="1:8">
      <c r="A816" s="247"/>
      <c r="B816" s="410" t="s">
        <v>842</v>
      </c>
      <c r="C816" s="247"/>
      <c r="D816" s="247" t="s">
        <v>701</v>
      </c>
      <c r="E816" s="372">
        <v>215</v>
      </c>
      <c r="F816" s="360">
        <f>'UPAD-BAHAN-ALAT'!$I$46</f>
        <v>35</v>
      </c>
      <c r="G816" s="248">
        <f>F816*E816</f>
        <v>7525</v>
      </c>
    </row>
    <row r="817" spans="1:8">
      <c r="A817" s="247"/>
      <c r="B817" s="410"/>
      <c r="C817" s="247"/>
      <c r="D817" s="247"/>
      <c r="E817" s="1144" t="s">
        <v>702</v>
      </c>
      <c r="F817" s="1144"/>
      <c r="G817" s="248">
        <f>SUM(G813:G816)</f>
        <v>1160570.9979186356</v>
      </c>
    </row>
    <row r="818" spans="1:8" s="265" customFormat="1">
      <c r="A818" s="294" t="s">
        <v>703</v>
      </c>
      <c r="B818" s="1147" t="s">
        <v>3910</v>
      </c>
      <c r="C818" s="1147"/>
      <c r="D818" s="1147"/>
      <c r="E818" s="1147"/>
      <c r="F818" s="1147"/>
      <c r="G818" s="255">
        <f>G811+G817</f>
        <v>1460520.9979186356</v>
      </c>
    </row>
    <row r="819" spans="1:8" s="265" customFormat="1">
      <c r="A819" s="294" t="s">
        <v>706</v>
      </c>
      <c r="B819" s="1148" t="s">
        <v>709</v>
      </c>
      <c r="C819" s="1148"/>
      <c r="D819" s="1148"/>
      <c r="E819" s="1147" t="s">
        <v>4030</v>
      </c>
      <c r="F819" s="1147"/>
      <c r="G819" s="255">
        <f>G818*0.15</f>
        <v>219078.14968779535</v>
      </c>
    </row>
    <row r="820" spans="1:8" s="265" customFormat="1">
      <c r="A820" s="294" t="s">
        <v>708</v>
      </c>
      <c r="B820" s="1147" t="s">
        <v>3911</v>
      </c>
      <c r="C820" s="1147"/>
      <c r="D820" s="1147"/>
      <c r="E820" s="1147"/>
      <c r="F820" s="1147"/>
      <c r="G820" s="255">
        <f>ROUND(SUM(G818:G819),2)</f>
        <v>1679599.15</v>
      </c>
      <c r="H820" s="255">
        <f>SUM(G818:G819)</f>
        <v>1679599.147606431</v>
      </c>
    </row>
    <row r="822" spans="1:8">
      <c r="A822" s="286" t="s">
        <v>4075</v>
      </c>
      <c r="B822" s="265" t="s">
        <v>2702</v>
      </c>
    </row>
    <row r="823" spans="1:8" s="292" customFormat="1" ht="24.95" customHeight="1">
      <c r="A823" s="290" t="s">
        <v>1003</v>
      </c>
      <c r="B823" s="290" t="s">
        <v>1004</v>
      </c>
      <c r="C823" s="290" t="s">
        <v>1005</v>
      </c>
      <c r="D823" s="290" t="s">
        <v>1006</v>
      </c>
      <c r="E823" s="373" t="s">
        <v>1007</v>
      </c>
      <c r="F823" s="363" t="s">
        <v>2637</v>
      </c>
      <c r="G823" s="291" t="s">
        <v>2638</v>
      </c>
    </row>
    <row r="824" spans="1:8">
      <c r="A824" s="294" t="s">
        <v>671</v>
      </c>
      <c r="B824" s="411" t="s">
        <v>672</v>
      </c>
      <c r="C824" s="247"/>
      <c r="D824" s="247"/>
      <c r="E824" s="372"/>
      <c r="F824" s="360"/>
      <c r="G824" s="248"/>
    </row>
    <row r="825" spans="1:8">
      <c r="A825" s="247"/>
      <c r="B825" s="410" t="s">
        <v>673</v>
      </c>
      <c r="C825" s="247" t="s">
        <v>674</v>
      </c>
      <c r="D825" s="247" t="s">
        <v>675</v>
      </c>
      <c r="E825" s="372">
        <v>2.1</v>
      </c>
      <c r="F825" s="360">
        <f>'UPAD-BAHAN-ALAT'!$I$12</f>
        <v>110000</v>
      </c>
      <c r="G825" s="248">
        <f>F825*E825</f>
        <v>231000</v>
      </c>
    </row>
    <row r="826" spans="1:8">
      <c r="A826" s="247"/>
      <c r="B826" s="410" t="s">
        <v>816</v>
      </c>
      <c r="C826" s="247" t="s">
        <v>678</v>
      </c>
      <c r="D826" s="247" t="s">
        <v>675</v>
      </c>
      <c r="E826" s="372">
        <v>0.35</v>
      </c>
      <c r="F826" s="360">
        <f>'UPAD-BAHAN-ALAT'!$I$13</f>
        <v>140000</v>
      </c>
      <c r="G826" s="248">
        <f>F826*E826</f>
        <v>49000</v>
      </c>
    </row>
    <row r="827" spans="1:8">
      <c r="A827" s="247"/>
      <c r="B827" s="410" t="s">
        <v>680</v>
      </c>
      <c r="C827" s="247" t="s">
        <v>681</v>
      </c>
      <c r="D827" s="247" t="s">
        <v>675</v>
      </c>
      <c r="E827" s="372">
        <v>3.5000000000000003E-2</v>
      </c>
      <c r="F827" s="360">
        <f>'UPAD-BAHAN-ALAT'!$I$15</f>
        <v>150000</v>
      </c>
      <c r="G827" s="248">
        <f>F827*E827</f>
        <v>5250.0000000000009</v>
      </c>
    </row>
    <row r="828" spans="1:8">
      <c r="A828" s="247"/>
      <c r="B828" s="410" t="s">
        <v>683</v>
      </c>
      <c r="C828" s="247" t="s">
        <v>684</v>
      </c>
      <c r="D828" s="247" t="s">
        <v>675</v>
      </c>
      <c r="E828" s="372">
        <v>0.105</v>
      </c>
      <c r="F828" s="360">
        <f>'UPAD-BAHAN-ALAT'!$I$14</f>
        <v>140000</v>
      </c>
      <c r="G828" s="248">
        <f>F828*E828</f>
        <v>14700</v>
      </c>
    </row>
    <row r="829" spans="1:8">
      <c r="A829" s="247"/>
      <c r="B829" s="410"/>
      <c r="C829" s="247"/>
      <c r="D829" s="247"/>
      <c r="E829" s="1144" t="s">
        <v>685</v>
      </c>
      <c r="F829" s="1144"/>
      <c r="G829" s="248">
        <f>SUM(G825:G828)</f>
        <v>299950</v>
      </c>
    </row>
    <row r="830" spans="1:8">
      <c r="A830" s="294" t="s">
        <v>686</v>
      </c>
      <c r="B830" s="411" t="s">
        <v>687</v>
      </c>
      <c r="C830" s="247"/>
      <c r="D830" s="247"/>
      <c r="E830" s="372"/>
      <c r="F830" s="360"/>
      <c r="G830" s="248"/>
    </row>
    <row r="831" spans="1:8">
      <c r="A831" s="247"/>
      <c r="B831" s="410" t="s">
        <v>738</v>
      </c>
      <c r="C831" s="247"/>
      <c r="D831" s="247" t="s">
        <v>773</v>
      </c>
      <c r="E831" s="372">
        <v>448</v>
      </c>
      <c r="F831" s="360">
        <f>'UPAD-BAHAN-ALAT'!$I$77</f>
        <v>1625</v>
      </c>
      <c r="G831" s="248">
        <f>F831*E831</f>
        <v>728000</v>
      </c>
    </row>
    <row r="832" spans="1:8">
      <c r="A832" s="247"/>
      <c r="B832" s="410" t="s">
        <v>831</v>
      </c>
      <c r="C832" s="247"/>
      <c r="D832" s="247" t="s">
        <v>773</v>
      </c>
      <c r="E832" s="372">
        <v>667</v>
      </c>
      <c r="F832" s="360">
        <f>'UPAD-BAHAN-ALAT'!$I$72</f>
        <v>125.70979607871148</v>
      </c>
      <c r="G832" s="248">
        <f>F832*E832</f>
        <v>83848.43398450056</v>
      </c>
    </row>
    <row r="833" spans="1:8">
      <c r="A833" s="247"/>
      <c r="B833" s="410" t="s">
        <v>2946</v>
      </c>
      <c r="C833" s="247"/>
      <c r="D833" s="247" t="s">
        <v>773</v>
      </c>
      <c r="E833" s="372">
        <v>1000</v>
      </c>
      <c r="F833" s="360">
        <f>$F$815</f>
        <v>353.32548165596319</v>
      </c>
      <c r="G833" s="248">
        <f>F833*E833</f>
        <v>353325.48165596317</v>
      </c>
    </row>
    <row r="834" spans="1:8">
      <c r="A834" s="247"/>
      <c r="B834" s="410" t="s">
        <v>842</v>
      </c>
      <c r="C834" s="247"/>
      <c r="D834" s="247" t="s">
        <v>701</v>
      </c>
      <c r="E834" s="372">
        <v>215</v>
      </c>
      <c r="F834" s="360">
        <f>'UPAD-BAHAN-ALAT'!$I$46</f>
        <v>35</v>
      </c>
      <c r="G834" s="248">
        <f>F834*E834</f>
        <v>7525</v>
      </c>
    </row>
    <row r="835" spans="1:8">
      <c r="A835" s="247"/>
      <c r="B835" s="410"/>
      <c r="C835" s="247"/>
      <c r="D835" s="247"/>
      <c r="E835" s="1144" t="s">
        <v>702</v>
      </c>
      <c r="F835" s="1144"/>
      <c r="G835" s="248">
        <f>SUM(G831:G834)</f>
        <v>1172698.9156404638</v>
      </c>
    </row>
    <row r="836" spans="1:8" s="265" customFormat="1">
      <c r="A836" s="294" t="s">
        <v>703</v>
      </c>
      <c r="B836" s="1147" t="s">
        <v>3910</v>
      </c>
      <c r="C836" s="1147"/>
      <c r="D836" s="1147"/>
      <c r="E836" s="1147"/>
      <c r="F836" s="1147"/>
      <c r="G836" s="255">
        <f>G829+G835</f>
        <v>1472648.9156404638</v>
      </c>
    </row>
    <row r="837" spans="1:8" s="265" customFormat="1">
      <c r="A837" s="294" t="s">
        <v>706</v>
      </c>
      <c r="B837" s="1148" t="s">
        <v>709</v>
      </c>
      <c r="C837" s="1148"/>
      <c r="D837" s="1148"/>
      <c r="E837" s="1147" t="s">
        <v>4030</v>
      </c>
      <c r="F837" s="1147"/>
      <c r="G837" s="255">
        <f>G836*0.15</f>
        <v>220897.33734606957</v>
      </c>
    </row>
    <row r="838" spans="1:8" s="265" customFormat="1">
      <c r="A838" s="294" t="s">
        <v>708</v>
      </c>
      <c r="B838" s="1147" t="s">
        <v>3911</v>
      </c>
      <c r="C838" s="1147"/>
      <c r="D838" s="1147"/>
      <c r="E838" s="1147"/>
      <c r="F838" s="1147"/>
      <c r="G838" s="255">
        <f>ROUND(SUM(G836:G837),2)</f>
        <v>1693546.25</v>
      </c>
      <c r="H838" s="255">
        <f>SUM(G836:G837)</f>
        <v>1693546.2529865333</v>
      </c>
    </row>
    <row r="840" spans="1:8">
      <c r="A840" s="286" t="s">
        <v>4076</v>
      </c>
      <c r="B840" s="265" t="s">
        <v>2703</v>
      </c>
    </row>
    <row r="841" spans="1:8" s="292" customFormat="1" ht="24.95" customHeight="1">
      <c r="A841" s="290" t="s">
        <v>1003</v>
      </c>
      <c r="B841" s="290" t="s">
        <v>1004</v>
      </c>
      <c r="C841" s="293" t="s">
        <v>1005</v>
      </c>
      <c r="D841" s="293" t="s">
        <v>1006</v>
      </c>
      <c r="E841" s="379" t="s">
        <v>1007</v>
      </c>
      <c r="F841" s="389" t="s">
        <v>2637</v>
      </c>
      <c r="G841" s="291" t="s">
        <v>2638</v>
      </c>
    </row>
    <row r="842" spans="1:8">
      <c r="A842" s="294" t="s">
        <v>671</v>
      </c>
      <c r="B842" s="411" t="s">
        <v>672</v>
      </c>
      <c r="C842" s="283"/>
      <c r="D842" s="283"/>
      <c r="E842" s="428"/>
      <c r="F842" s="429"/>
      <c r="G842" s="248"/>
    </row>
    <row r="843" spans="1:8">
      <c r="A843" s="247"/>
      <c r="B843" s="410" t="s">
        <v>673</v>
      </c>
      <c r="C843" s="283" t="s">
        <v>674</v>
      </c>
      <c r="D843" s="283" t="s">
        <v>675</v>
      </c>
      <c r="E843" s="428">
        <v>2.1</v>
      </c>
      <c r="F843" s="360">
        <f>'UPAD-BAHAN-ALAT'!$I$12</f>
        <v>110000</v>
      </c>
      <c r="G843" s="248">
        <f>F843*E843</f>
        <v>231000</v>
      </c>
    </row>
    <row r="844" spans="1:8">
      <c r="A844" s="247"/>
      <c r="B844" s="410" t="s">
        <v>816</v>
      </c>
      <c r="C844" s="283" t="s">
        <v>678</v>
      </c>
      <c r="D844" s="283" t="s">
        <v>675</v>
      </c>
      <c r="E844" s="428">
        <v>0.35</v>
      </c>
      <c r="F844" s="360">
        <f>'UPAD-BAHAN-ALAT'!$I$13</f>
        <v>140000</v>
      </c>
      <c r="G844" s="248">
        <f>F844*E844</f>
        <v>49000</v>
      </c>
    </row>
    <row r="845" spans="1:8">
      <c r="A845" s="247"/>
      <c r="B845" s="410" t="s">
        <v>680</v>
      </c>
      <c r="C845" s="283" t="s">
        <v>681</v>
      </c>
      <c r="D845" s="283" t="s">
        <v>675</v>
      </c>
      <c r="E845" s="428">
        <v>3.5000000000000003E-2</v>
      </c>
      <c r="F845" s="360">
        <f>'UPAD-BAHAN-ALAT'!$I$15</f>
        <v>150000</v>
      </c>
      <c r="G845" s="248">
        <f>F845*E845</f>
        <v>5250.0000000000009</v>
      </c>
    </row>
    <row r="846" spans="1:8">
      <c r="A846" s="247"/>
      <c r="B846" s="410" t="s">
        <v>683</v>
      </c>
      <c r="C846" s="283" t="s">
        <v>684</v>
      </c>
      <c r="D846" s="283" t="s">
        <v>675</v>
      </c>
      <c r="E846" s="428">
        <v>0.105</v>
      </c>
      <c r="F846" s="360">
        <f>'UPAD-BAHAN-ALAT'!$I$14</f>
        <v>140000</v>
      </c>
      <c r="G846" s="248">
        <f>F846*E846</f>
        <v>14700</v>
      </c>
    </row>
    <row r="847" spans="1:8">
      <c r="A847" s="247"/>
      <c r="B847" s="410"/>
      <c r="C847" s="247"/>
      <c r="D847" s="283"/>
      <c r="E847" s="428" t="s">
        <v>685</v>
      </c>
      <c r="F847" s="429"/>
      <c r="G847" s="248">
        <f>SUM(G843:G846)</f>
        <v>299950</v>
      </c>
    </row>
    <row r="848" spans="1:8">
      <c r="A848" s="294" t="s">
        <v>686</v>
      </c>
      <c r="B848" s="411" t="s">
        <v>687</v>
      </c>
      <c r="C848" s="247"/>
      <c r="D848" s="283"/>
      <c r="E848" s="428"/>
      <c r="F848" s="429"/>
      <c r="G848" s="248"/>
    </row>
    <row r="849" spans="1:8">
      <c r="A849" s="247"/>
      <c r="B849" s="410" t="s">
        <v>738</v>
      </c>
      <c r="C849" s="247"/>
      <c r="D849" s="283" t="s">
        <v>773</v>
      </c>
      <c r="E849" s="428">
        <v>400</v>
      </c>
      <c r="F849" s="360">
        <f>'UPAD-BAHAN-ALAT'!$I$77</f>
        <v>1625</v>
      </c>
      <c r="G849" s="248">
        <f>F849*E849</f>
        <v>650000</v>
      </c>
    </row>
    <row r="850" spans="1:8">
      <c r="A850" s="247"/>
      <c r="B850" s="410" t="s">
        <v>831</v>
      </c>
      <c r="C850" s="247"/>
      <c r="D850" s="283" t="s">
        <v>2646</v>
      </c>
      <c r="E850" s="428">
        <v>0.48</v>
      </c>
      <c r="F850" s="360">
        <f>'UPAD-BAHAN-ALAT'!$I$71</f>
        <v>176000</v>
      </c>
      <c r="G850" s="248">
        <f>F850*E850</f>
        <v>84480</v>
      </c>
    </row>
    <row r="851" spans="1:8">
      <c r="A851" s="247"/>
      <c r="B851" s="410" t="s">
        <v>848</v>
      </c>
      <c r="C851" s="247"/>
      <c r="D851" s="283" t="s">
        <v>2646</v>
      </c>
      <c r="E851" s="428">
        <v>0.8</v>
      </c>
      <c r="F851" s="360">
        <f>'UPAD-BAHAN-ALAT'!$I$69</f>
        <v>298200</v>
      </c>
      <c r="G851" s="248">
        <f>F851*E851</f>
        <v>238560</v>
      </c>
    </row>
    <row r="852" spans="1:8">
      <c r="A852" s="247"/>
      <c r="B852" s="410" t="s">
        <v>849</v>
      </c>
      <c r="C852" s="247"/>
      <c r="D852" s="283" t="s">
        <v>773</v>
      </c>
      <c r="E852" s="428">
        <v>1.2</v>
      </c>
      <c r="F852" s="429">
        <v>100000</v>
      </c>
      <c r="G852" s="248">
        <f>F852*E852</f>
        <v>120000</v>
      </c>
    </row>
    <row r="853" spans="1:8">
      <c r="A853" s="247"/>
      <c r="B853" s="410"/>
      <c r="C853" s="247"/>
      <c r="D853" s="288"/>
      <c r="E853" s="428" t="s">
        <v>702</v>
      </c>
      <c r="F853" s="429"/>
      <c r="G853" s="248">
        <f>SUM(G849:G852)</f>
        <v>1093040</v>
      </c>
    </row>
    <row r="854" spans="1:8" s="265" customFormat="1">
      <c r="A854" s="294" t="s">
        <v>703</v>
      </c>
      <c r="B854" s="357" t="s">
        <v>3910</v>
      </c>
      <c r="C854" s="610"/>
      <c r="D854" s="610"/>
      <c r="E854" s="611"/>
      <c r="F854" s="639"/>
      <c r="G854" s="255">
        <f>G847+G853</f>
        <v>1392990</v>
      </c>
    </row>
    <row r="855" spans="1:8" s="265" customFormat="1">
      <c r="A855" s="294" t="s">
        <v>706</v>
      </c>
      <c r="B855" s="617" t="s">
        <v>709</v>
      </c>
      <c r="C855" s="618"/>
      <c r="D855" s="633"/>
      <c r="E855" s="613" t="s">
        <v>4030</v>
      </c>
      <c r="F855" s="639"/>
      <c r="G855" s="255">
        <f>G854*0.15</f>
        <v>208948.5</v>
      </c>
    </row>
    <row r="856" spans="1:8" s="265" customFormat="1">
      <c r="A856" s="294" t="s">
        <v>708</v>
      </c>
      <c r="B856" s="1147" t="s">
        <v>3911</v>
      </c>
      <c r="C856" s="1147"/>
      <c r="D856" s="1147"/>
      <c r="E856" s="1147"/>
      <c r="F856" s="1147"/>
      <c r="G856" s="255">
        <f>ROUND(SUM(G854:G855),2)</f>
        <v>1601938.5</v>
      </c>
      <c r="H856" s="255">
        <f>SUM(G854:G855)</f>
        <v>1601938.5</v>
      </c>
    </row>
    <row r="857" spans="1:8">
      <c r="A857" s="268"/>
      <c r="B857" s="269"/>
      <c r="C857" s="268"/>
      <c r="D857" s="268"/>
      <c r="E857" s="380"/>
      <c r="F857" s="365"/>
      <c r="G857" s="270"/>
    </row>
    <row r="858" spans="1:8">
      <c r="A858" s="285" t="s">
        <v>4077</v>
      </c>
      <c r="B858" s="250" t="s">
        <v>2704</v>
      </c>
      <c r="C858" s="252"/>
      <c r="D858" s="252"/>
      <c r="E858" s="374"/>
      <c r="F858" s="361"/>
      <c r="G858" s="253"/>
    </row>
    <row r="859" spans="1:8" s="292" customFormat="1" ht="24.95" customHeight="1">
      <c r="A859" s="290" t="s">
        <v>1003</v>
      </c>
      <c r="B859" s="290" t="s">
        <v>1004</v>
      </c>
      <c r="C859" s="293" t="s">
        <v>1005</v>
      </c>
      <c r="D859" s="290" t="s">
        <v>1006</v>
      </c>
      <c r="E859" s="373" t="s">
        <v>1007</v>
      </c>
      <c r="F859" s="363" t="s">
        <v>2637</v>
      </c>
      <c r="G859" s="291" t="s">
        <v>2638</v>
      </c>
    </row>
    <row r="860" spans="1:8">
      <c r="A860" s="640" t="s">
        <v>671</v>
      </c>
      <c r="B860" s="641" t="s">
        <v>672</v>
      </c>
      <c r="C860" s="642"/>
      <c r="D860" s="643"/>
      <c r="E860" s="644"/>
      <c r="F860" s="645"/>
      <c r="G860" s="646"/>
    </row>
    <row r="861" spans="1:8">
      <c r="A861" s="643"/>
      <c r="B861" s="647" t="s">
        <v>673</v>
      </c>
      <c r="C861" s="642" t="s">
        <v>674</v>
      </c>
      <c r="D861" s="643" t="s">
        <v>675</v>
      </c>
      <c r="E861" s="644">
        <v>0.06</v>
      </c>
      <c r="F861" s="645">
        <f>'UPAD-BAHAN-ALAT'!$I$12</f>
        <v>110000</v>
      </c>
      <c r="G861" s="646">
        <f>F861*E861</f>
        <v>6600</v>
      </c>
    </row>
    <row r="862" spans="1:8">
      <c r="A862" s="643"/>
      <c r="B862" s="647" t="s">
        <v>850</v>
      </c>
      <c r="C862" s="642" t="s">
        <v>678</v>
      </c>
      <c r="D862" s="643" t="s">
        <v>675</v>
      </c>
      <c r="E862" s="644">
        <v>0.03</v>
      </c>
      <c r="F862" s="645">
        <f>'UPAD-BAHAN-ALAT'!$I$13</f>
        <v>140000</v>
      </c>
      <c r="G862" s="646">
        <f>F862*E862</f>
        <v>4200</v>
      </c>
    </row>
    <row r="863" spans="1:8">
      <c r="A863" s="643"/>
      <c r="B863" s="647" t="s">
        <v>680</v>
      </c>
      <c r="C863" s="642" t="s">
        <v>681</v>
      </c>
      <c r="D863" s="643" t="s">
        <v>675</v>
      </c>
      <c r="E863" s="644">
        <v>3.0000000000000001E-3</v>
      </c>
      <c r="F863" s="645">
        <f>'UPAD-BAHAN-ALAT'!$I$15</f>
        <v>150000</v>
      </c>
      <c r="G863" s="646">
        <f>F863*E863</f>
        <v>450</v>
      </c>
    </row>
    <row r="864" spans="1:8">
      <c r="A864" s="643"/>
      <c r="B864" s="647" t="s">
        <v>683</v>
      </c>
      <c r="C864" s="642" t="s">
        <v>684</v>
      </c>
      <c r="D864" s="643" t="s">
        <v>675</v>
      </c>
      <c r="E864" s="644">
        <v>3.0000000000000001E-3</v>
      </c>
      <c r="F864" s="645">
        <f>'UPAD-BAHAN-ALAT'!$I$14</f>
        <v>140000</v>
      </c>
      <c r="G864" s="646">
        <f>F864*E864</f>
        <v>420</v>
      </c>
    </row>
    <row r="865" spans="1:7">
      <c r="A865" s="643"/>
      <c r="B865" s="647"/>
      <c r="C865" s="642"/>
      <c r="D865" s="643"/>
      <c r="E865" s="1176" t="s">
        <v>685</v>
      </c>
      <c r="F865" s="1176"/>
      <c r="G865" s="646">
        <f>SUM(G861:G864)</f>
        <v>11670</v>
      </c>
    </row>
    <row r="866" spans="1:7">
      <c r="A866" s="640" t="s">
        <v>686</v>
      </c>
      <c r="B866" s="641" t="s">
        <v>687</v>
      </c>
      <c r="C866" s="642"/>
      <c r="D866" s="643"/>
      <c r="E866" s="644"/>
      <c r="F866" s="645"/>
      <c r="G866" s="646"/>
    </row>
    <row r="867" spans="1:7">
      <c r="A867" s="643"/>
      <c r="B867" s="648" t="s">
        <v>3438</v>
      </c>
      <c r="C867" s="642"/>
      <c r="D867" s="643" t="s">
        <v>853</v>
      </c>
      <c r="E867" s="644">
        <v>1.05</v>
      </c>
      <c r="F867" s="645">
        <f>'UPAD-BAHAN-ALAT'!$I$557</f>
        <v>60000</v>
      </c>
      <c r="G867" s="646">
        <f>F867*E867</f>
        <v>63000</v>
      </c>
    </row>
    <row r="868" spans="1:7">
      <c r="A868" s="643"/>
      <c r="B868" s="647"/>
      <c r="C868" s="642"/>
      <c r="D868" s="643"/>
      <c r="E868" s="1177" t="s">
        <v>702</v>
      </c>
      <c r="F868" s="1177"/>
      <c r="G868" s="646">
        <f>SUM(G867)</f>
        <v>63000</v>
      </c>
    </row>
    <row r="869" spans="1:7" s="265" customFormat="1">
      <c r="A869" s="640" t="s">
        <v>703</v>
      </c>
      <c r="B869" s="1178" t="s">
        <v>3910</v>
      </c>
      <c r="C869" s="1178"/>
      <c r="D869" s="1178"/>
      <c r="E869" s="1178"/>
      <c r="F869" s="1178"/>
      <c r="G869" s="626">
        <f>G865+G868</f>
        <v>74670</v>
      </c>
    </row>
    <row r="870" spans="1:7" s="265" customFormat="1">
      <c r="A870" s="640" t="s">
        <v>706</v>
      </c>
      <c r="B870" s="1180" t="s">
        <v>709</v>
      </c>
      <c r="C870" s="1180"/>
      <c r="D870" s="1180"/>
      <c r="E870" s="1178" t="s">
        <v>4030</v>
      </c>
      <c r="F870" s="1178"/>
      <c r="G870" s="626">
        <f>G869*0.15</f>
        <v>11200.5</v>
      </c>
    </row>
    <row r="871" spans="1:7" s="265" customFormat="1">
      <c r="A871" s="640" t="s">
        <v>708</v>
      </c>
      <c r="B871" s="1178" t="s">
        <v>3911</v>
      </c>
      <c r="C871" s="1178"/>
      <c r="D871" s="1178"/>
      <c r="E871" s="1178"/>
      <c r="F871" s="1178"/>
      <c r="G871" s="255">
        <f>ROUND(SUM(G869:G870),2)</f>
        <v>85870.5</v>
      </c>
    </row>
    <row r="872" spans="1:7">
      <c r="B872" s="649"/>
    </row>
    <row r="873" spans="1:7">
      <c r="A873" s="286" t="s">
        <v>4078</v>
      </c>
      <c r="B873" s="621" t="s">
        <v>2705</v>
      </c>
    </row>
    <row r="874" spans="1:7" s="292" customFormat="1" ht="24.95" customHeight="1">
      <c r="A874" s="290" t="s">
        <v>1003</v>
      </c>
      <c r="B874" s="290" t="s">
        <v>1004</v>
      </c>
      <c r="C874" s="290" t="s">
        <v>1005</v>
      </c>
      <c r="D874" s="290" t="s">
        <v>1006</v>
      </c>
      <c r="E874" s="373" t="s">
        <v>1007</v>
      </c>
      <c r="F874" s="363" t="s">
        <v>2637</v>
      </c>
      <c r="G874" s="291" t="s">
        <v>2638</v>
      </c>
    </row>
    <row r="875" spans="1:7">
      <c r="A875" s="640" t="s">
        <v>671</v>
      </c>
      <c r="B875" s="641" t="s">
        <v>672</v>
      </c>
      <c r="C875" s="643"/>
      <c r="D875" s="643"/>
      <c r="E875" s="644"/>
      <c r="F875" s="645"/>
      <c r="G875" s="646"/>
    </row>
    <row r="876" spans="1:7">
      <c r="A876" s="643"/>
      <c r="B876" s="647" t="s">
        <v>673</v>
      </c>
      <c r="C876" s="643" t="s">
        <v>674</v>
      </c>
      <c r="D876" s="643" t="s">
        <v>675</v>
      </c>
      <c r="E876" s="644">
        <v>7.0000000000000007E-2</v>
      </c>
      <c r="F876" s="645">
        <f>'UPAD-BAHAN-ALAT'!$I$12</f>
        <v>110000</v>
      </c>
      <c r="G876" s="646">
        <f>F876*E876</f>
        <v>7700.0000000000009</v>
      </c>
    </row>
    <row r="877" spans="1:7">
      <c r="A877" s="643"/>
      <c r="B877" s="647" t="s">
        <v>850</v>
      </c>
      <c r="C877" s="643" t="s">
        <v>678</v>
      </c>
      <c r="D877" s="643" t="s">
        <v>675</v>
      </c>
      <c r="E877" s="644">
        <v>3.5000000000000003E-2</v>
      </c>
      <c r="F877" s="645">
        <f>'UPAD-BAHAN-ALAT'!$I$13</f>
        <v>140000</v>
      </c>
      <c r="G877" s="646">
        <f>F877*E877</f>
        <v>4900.0000000000009</v>
      </c>
    </row>
    <row r="878" spans="1:7">
      <c r="A878" s="643"/>
      <c r="B878" s="647" t="s">
        <v>680</v>
      </c>
      <c r="C878" s="643" t="s">
        <v>681</v>
      </c>
      <c r="D878" s="643" t="s">
        <v>675</v>
      </c>
      <c r="E878" s="644">
        <v>4.0000000000000001E-3</v>
      </c>
      <c r="F878" s="645">
        <f>'UPAD-BAHAN-ALAT'!$I$15</f>
        <v>150000</v>
      </c>
      <c r="G878" s="646">
        <f>F878*E878</f>
        <v>600</v>
      </c>
    </row>
    <row r="879" spans="1:7">
      <c r="A879" s="643"/>
      <c r="B879" s="647" t="s">
        <v>683</v>
      </c>
      <c r="C879" s="643" t="s">
        <v>684</v>
      </c>
      <c r="D879" s="643" t="s">
        <v>675</v>
      </c>
      <c r="E879" s="644">
        <v>7.0000000000000001E-3</v>
      </c>
      <c r="F879" s="645">
        <f>'UPAD-BAHAN-ALAT'!$I$14</f>
        <v>140000</v>
      </c>
      <c r="G879" s="646">
        <f>F879*E879</f>
        <v>980</v>
      </c>
    </row>
    <row r="880" spans="1:7">
      <c r="A880" s="643"/>
      <c r="B880" s="647"/>
      <c r="C880" s="643"/>
      <c r="D880" s="643"/>
      <c r="E880" s="1176" t="s">
        <v>685</v>
      </c>
      <c r="F880" s="1176"/>
      <c r="G880" s="646">
        <f>SUM(G876:G879)</f>
        <v>14180.000000000002</v>
      </c>
    </row>
    <row r="881" spans="1:8">
      <c r="A881" s="640" t="s">
        <v>686</v>
      </c>
      <c r="B881" s="641" t="s">
        <v>687</v>
      </c>
      <c r="C881" s="643"/>
      <c r="D881" s="643"/>
      <c r="E881" s="644"/>
      <c r="F881" s="645"/>
      <c r="G881" s="646"/>
    </row>
    <row r="882" spans="1:8">
      <c r="A882" s="643"/>
      <c r="B882" s="648" t="s">
        <v>3439</v>
      </c>
      <c r="C882" s="643"/>
      <c r="D882" s="643" t="s">
        <v>853</v>
      </c>
      <c r="E882" s="644">
        <v>1.05</v>
      </c>
      <c r="F882" s="645">
        <f>'UPAD-BAHAN-ALAT'!$I$558</f>
        <v>80000</v>
      </c>
      <c r="G882" s="646">
        <f>F882*E882</f>
        <v>84000</v>
      </c>
    </row>
    <row r="883" spans="1:8">
      <c r="A883" s="643"/>
      <c r="B883" s="647"/>
      <c r="C883" s="643"/>
      <c r="D883" s="643"/>
      <c r="E883" s="1181" t="s">
        <v>702</v>
      </c>
      <c r="F883" s="1181"/>
      <c r="G883" s="646">
        <f>SUM(G882)</f>
        <v>84000</v>
      </c>
    </row>
    <row r="884" spans="1:8" s="265" customFormat="1">
      <c r="A884" s="640" t="s">
        <v>703</v>
      </c>
      <c r="B884" s="1182" t="s">
        <v>3910</v>
      </c>
      <c r="C884" s="1182"/>
      <c r="D884" s="1182"/>
      <c r="E884" s="1182"/>
      <c r="F884" s="1182"/>
      <c r="G884" s="626">
        <f>G880+G883</f>
        <v>98180</v>
      </c>
    </row>
    <row r="885" spans="1:8" s="265" customFormat="1">
      <c r="A885" s="640" t="s">
        <v>706</v>
      </c>
      <c r="B885" s="1180" t="s">
        <v>709</v>
      </c>
      <c r="C885" s="1180"/>
      <c r="D885" s="1180"/>
      <c r="E885" s="1178" t="s">
        <v>4030</v>
      </c>
      <c r="F885" s="1178"/>
      <c r="G885" s="626">
        <f>G884*0.15</f>
        <v>14727</v>
      </c>
    </row>
    <row r="886" spans="1:8" s="265" customFormat="1">
      <c r="A886" s="640" t="s">
        <v>708</v>
      </c>
      <c r="B886" s="1179" t="s">
        <v>3911</v>
      </c>
      <c r="C886" s="1179"/>
      <c r="D886" s="1179"/>
      <c r="E886" s="1179"/>
      <c r="F886" s="1179"/>
      <c r="G886" s="255">
        <f>ROUND(SUM(G884:G885),2)</f>
        <v>112907</v>
      </c>
      <c r="H886" s="626">
        <f>SUM(G884:G885)</f>
        <v>112907</v>
      </c>
    </row>
    <row r="887" spans="1:8">
      <c r="A887" s="650"/>
      <c r="B887" s="651"/>
      <c r="C887" s="650"/>
      <c r="D887" s="650"/>
      <c r="E887" s="652"/>
      <c r="F887" s="653"/>
      <c r="G887" s="654"/>
    </row>
    <row r="888" spans="1:8">
      <c r="A888" s="285" t="s">
        <v>2838</v>
      </c>
      <c r="B888" s="655" t="s">
        <v>3436</v>
      </c>
      <c r="C888" s="276"/>
      <c r="D888" s="276"/>
      <c r="E888" s="383"/>
      <c r="F888" s="656"/>
      <c r="G888" s="264"/>
    </row>
    <row r="889" spans="1:8" s="292" customFormat="1" ht="24.95" customHeight="1">
      <c r="A889" s="290" t="s">
        <v>1003</v>
      </c>
      <c r="B889" s="290" t="s">
        <v>1004</v>
      </c>
      <c r="C889" s="290" t="s">
        <v>1005</v>
      </c>
      <c r="D889" s="290" t="s">
        <v>1006</v>
      </c>
      <c r="E889" s="373" t="s">
        <v>1007</v>
      </c>
      <c r="F889" s="363" t="s">
        <v>2637</v>
      </c>
      <c r="G889" s="291" t="s">
        <v>2638</v>
      </c>
    </row>
    <row r="890" spans="1:8">
      <c r="A890" s="640" t="s">
        <v>671</v>
      </c>
      <c r="B890" s="641" t="s">
        <v>672</v>
      </c>
      <c r="C890" s="643"/>
      <c r="D890" s="643"/>
      <c r="E890" s="644"/>
      <c r="F890" s="645"/>
      <c r="G890" s="646"/>
    </row>
    <row r="891" spans="1:8">
      <c r="A891" s="643"/>
      <c r="B891" s="647" t="s">
        <v>673</v>
      </c>
      <c r="C891" s="643" t="s">
        <v>674</v>
      </c>
      <c r="D891" s="643" t="s">
        <v>675</v>
      </c>
      <c r="E891" s="644">
        <v>0.08</v>
      </c>
      <c r="F891" s="645">
        <f>'UPAD-BAHAN-ALAT'!$I$12</f>
        <v>110000</v>
      </c>
      <c r="G891" s="646">
        <f>F891*E891</f>
        <v>8800</v>
      </c>
    </row>
    <row r="892" spans="1:8">
      <c r="A892" s="643"/>
      <c r="B892" s="647" t="s">
        <v>816</v>
      </c>
      <c r="C892" s="643" t="s">
        <v>678</v>
      </c>
      <c r="D892" s="643" t="s">
        <v>675</v>
      </c>
      <c r="E892" s="644">
        <v>0.04</v>
      </c>
      <c r="F892" s="645">
        <f>'UPAD-BAHAN-ALAT'!$I$13</f>
        <v>140000</v>
      </c>
      <c r="G892" s="646">
        <f>F892*E892</f>
        <v>5600</v>
      </c>
    </row>
    <row r="893" spans="1:8">
      <c r="A893" s="643"/>
      <c r="B893" s="647" t="s">
        <v>680</v>
      </c>
      <c r="C893" s="643" t="s">
        <v>681</v>
      </c>
      <c r="D893" s="643" t="s">
        <v>675</v>
      </c>
      <c r="E893" s="644">
        <v>4.0000000000000001E-3</v>
      </c>
      <c r="F893" s="645">
        <f>'UPAD-BAHAN-ALAT'!$I$15</f>
        <v>150000</v>
      </c>
      <c r="G893" s="646">
        <f>F893*E893</f>
        <v>600</v>
      </c>
    </row>
    <row r="894" spans="1:8">
      <c r="A894" s="643"/>
      <c r="B894" s="647" t="s">
        <v>683</v>
      </c>
      <c r="C894" s="643" t="s">
        <v>684</v>
      </c>
      <c r="D894" s="643" t="s">
        <v>675</v>
      </c>
      <c r="E894" s="644">
        <v>4.0000000000000001E-3</v>
      </c>
      <c r="F894" s="645">
        <f>'UPAD-BAHAN-ALAT'!$I$14</f>
        <v>140000</v>
      </c>
      <c r="G894" s="646">
        <f>F894*E894</f>
        <v>560</v>
      </c>
    </row>
    <row r="895" spans="1:8">
      <c r="A895" s="643"/>
      <c r="B895" s="647"/>
      <c r="C895" s="643"/>
      <c r="D895" s="643"/>
      <c r="E895" s="1176" t="s">
        <v>685</v>
      </c>
      <c r="F895" s="1176"/>
      <c r="G895" s="646">
        <f>SUM(G891:G894)</f>
        <v>15560</v>
      </c>
    </row>
    <row r="896" spans="1:8">
      <c r="A896" s="640" t="s">
        <v>686</v>
      </c>
      <c r="B896" s="641" t="s">
        <v>687</v>
      </c>
      <c r="C896" s="643"/>
      <c r="D896" s="643"/>
      <c r="E896" s="644"/>
      <c r="F896" s="645"/>
      <c r="G896" s="646"/>
    </row>
    <row r="897" spans="1:8">
      <c r="A897" s="643"/>
      <c r="B897" s="648" t="s">
        <v>3437</v>
      </c>
      <c r="C897" s="643"/>
      <c r="D897" s="643" t="s">
        <v>853</v>
      </c>
      <c r="E897" s="644">
        <v>1.05</v>
      </c>
      <c r="F897" s="645">
        <f>'UPAD-BAHAN-ALAT'!$I$559</f>
        <v>145000</v>
      </c>
      <c r="G897" s="646">
        <f>F897*E897</f>
        <v>152250</v>
      </c>
    </row>
    <row r="898" spans="1:8">
      <c r="A898" s="643"/>
      <c r="B898" s="647"/>
      <c r="C898" s="643"/>
      <c r="D898" s="643"/>
      <c r="E898" s="1177" t="s">
        <v>702</v>
      </c>
      <c r="F898" s="1177"/>
      <c r="G898" s="646">
        <f>SUM(G897)</f>
        <v>152250</v>
      </c>
    </row>
    <row r="899" spans="1:8" s="265" customFormat="1">
      <c r="A899" s="640" t="s">
        <v>703</v>
      </c>
      <c r="B899" s="1178" t="s">
        <v>3910</v>
      </c>
      <c r="C899" s="1178"/>
      <c r="D899" s="1178"/>
      <c r="E899" s="1178"/>
      <c r="F899" s="1178"/>
      <c r="G899" s="626">
        <f>G895+G898</f>
        <v>167810</v>
      </c>
    </row>
    <row r="900" spans="1:8" s="265" customFormat="1">
      <c r="A900" s="640" t="s">
        <v>706</v>
      </c>
      <c r="B900" s="1180" t="s">
        <v>709</v>
      </c>
      <c r="C900" s="1180"/>
      <c r="D900" s="1180"/>
      <c r="E900" s="1178" t="s">
        <v>4030</v>
      </c>
      <c r="F900" s="1178"/>
      <c r="G900" s="626">
        <f>G899*0.15</f>
        <v>25171.5</v>
      </c>
    </row>
    <row r="901" spans="1:8" s="265" customFormat="1">
      <c r="A901" s="640" t="s">
        <v>708</v>
      </c>
      <c r="B901" s="1178" t="s">
        <v>3911</v>
      </c>
      <c r="C901" s="1178"/>
      <c r="D901" s="1178"/>
      <c r="E901" s="1178"/>
      <c r="F901" s="1178"/>
      <c r="G901" s="255">
        <f>ROUND(SUM(G899:G900),2)</f>
        <v>192981.5</v>
      </c>
      <c r="H901" s="626">
        <f>SUM(G899:G900)</f>
        <v>192981.5</v>
      </c>
    </row>
    <row r="902" spans="1:8">
      <c r="B902" s="649"/>
    </row>
    <row r="903" spans="1:8">
      <c r="A903" s="286" t="s">
        <v>4079</v>
      </c>
      <c r="B903" s="621" t="s">
        <v>3653</v>
      </c>
    </row>
    <row r="904" spans="1:8" s="292" customFormat="1" ht="24.95" customHeight="1">
      <c r="A904" s="290" t="s">
        <v>1003</v>
      </c>
      <c r="B904" s="290" t="s">
        <v>1004</v>
      </c>
      <c r="C904" s="290" t="s">
        <v>1005</v>
      </c>
      <c r="D904" s="290" t="s">
        <v>1006</v>
      </c>
      <c r="E904" s="373" t="s">
        <v>1007</v>
      </c>
      <c r="F904" s="363" t="s">
        <v>2637</v>
      </c>
      <c r="G904" s="291" t="s">
        <v>2638</v>
      </c>
    </row>
    <row r="905" spans="1:8">
      <c r="A905" s="640" t="s">
        <v>671</v>
      </c>
      <c r="B905" s="641" t="s">
        <v>672</v>
      </c>
      <c r="C905" s="643"/>
      <c r="D905" s="643"/>
      <c r="E905" s="644"/>
      <c r="F905" s="645"/>
      <c r="G905" s="646"/>
    </row>
    <row r="906" spans="1:8">
      <c r="A906" s="643"/>
      <c r="B906" s="647" t="s">
        <v>673</v>
      </c>
      <c r="C906" s="643" t="s">
        <v>674</v>
      </c>
      <c r="D906" s="643" t="s">
        <v>675</v>
      </c>
      <c r="E906" s="644">
        <v>7.0000000000000007E-2</v>
      </c>
      <c r="F906" s="645">
        <f>'UPAD-BAHAN-ALAT'!$I$12</f>
        <v>110000</v>
      </c>
      <c r="G906" s="646">
        <f>F906*E906</f>
        <v>7700.0000000000009</v>
      </c>
    </row>
    <row r="907" spans="1:8">
      <c r="A907" s="643"/>
      <c r="B907" s="647" t="s">
        <v>855</v>
      </c>
      <c r="C907" s="643" t="s">
        <v>678</v>
      </c>
      <c r="D907" s="643" t="s">
        <v>675</v>
      </c>
      <c r="E907" s="644">
        <v>7.0000000000000007E-2</v>
      </c>
      <c r="F907" s="645">
        <f>'UPAD-BAHAN-ALAT'!$I$13</f>
        <v>140000</v>
      </c>
      <c r="G907" s="646">
        <f>F907*E907</f>
        <v>9800.0000000000018</v>
      </c>
    </row>
    <row r="908" spans="1:8">
      <c r="A908" s="643"/>
      <c r="B908" s="647" t="s">
        <v>680</v>
      </c>
      <c r="C908" s="643" t="s">
        <v>681</v>
      </c>
      <c r="D908" s="643" t="s">
        <v>675</v>
      </c>
      <c r="E908" s="644">
        <v>7.0000000000000001E-3</v>
      </c>
      <c r="F908" s="645">
        <f>'UPAD-BAHAN-ALAT'!$I$15</f>
        <v>150000</v>
      </c>
      <c r="G908" s="646">
        <f>F908*E908</f>
        <v>1050</v>
      </c>
    </row>
    <row r="909" spans="1:8">
      <c r="A909" s="643"/>
      <c r="B909" s="647" t="s">
        <v>683</v>
      </c>
      <c r="C909" s="643" t="s">
        <v>684</v>
      </c>
      <c r="D909" s="643" t="s">
        <v>675</v>
      </c>
      <c r="E909" s="644">
        <v>4.0000000000000001E-3</v>
      </c>
      <c r="F909" s="645">
        <f>'UPAD-BAHAN-ALAT'!$I$14</f>
        <v>140000</v>
      </c>
      <c r="G909" s="646">
        <f>F909*E909</f>
        <v>560</v>
      </c>
    </row>
    <row r="910" spans="1:8">
      <c r="A910" s="643"/>
      <c r="B910" s="647"/>
      <c r="C910" s="643"/>
      <c r="D910" s="643"/>
      <c r="E910" s="1176" t="s">
        <v>685</v>
      </c>
      <c r="F910" s="1176"/>
      <c r="G910" s="646">
        <f>SUM(G906:G909)</f>
        <v>19110.000000000004</v>
      </c>
    </row>
    <row r="911" spans="1:8">
      <c r="A911" s="640" t="s">
        <v>686</v>
      </c>
      <c r="B911" s="641" t="s">
        <v>687</v>
      </c>
      <c r="C911" s="643"/>
      <c r="D911" s="643"/>
      <c r="E911" s="644"/>
      <c r="F911" s="645"/>
      <c r="G911" s="646"/>
    </row>
    <row r="912" spans="1:8">
      <c r="A912" s="643"/>
      <c r="B912" s="648" t="s">
        <v>3654</v>
      </c>
      <c r="C912" s="643"/>
      <c r="D912" s="643" t="s">
        <v>773</v>
      </c>
      <c r="E912" s="644">
        <v>10.5</v>
      </c>
      <c r="F912" s="645">
        <f>'UPAD-BAHAN-ALAT'!$I$112</f>
        <v>13200</v>
      </c>
      <c r="G912" s="646">
        <f>F912*E912</f>
        <v>138600</v>
      </c>
    </row>
    <row r="913" spans="1:8">
      <c r="A913" s="643"/>
      <c r="B913" s="647" t="s">
        <v>835</v>
      </c>
      <c r="C913" s="643"/>
      <c r="D913" s="643" t="s">
        <v>773</v>
      </c>
      <c r="E913" s="644">
        <v>0.15</v>
      </c>
      <c r="F913" s="645">
        <f>'UPAD-BAHAN-ALAT'!$I$119</f>
        <v>24200</v>
      </c>
      <c r="G913" s="646">
        <f>F913*E913</f>
        <v>3630</v>
      </c>
    </row>
    <row r="914" spans="1:8">
      <c r="A914" s="643"/>
      <c r="B914" s="647"/>
      <c r="C914" s="643"/>
      <c r="D914" s="643"/>
      <c r="E914" s="1181" t="s">
        <v>702</v>
      </c>
      <c r="F914" s="1181"/>
      <c r="G914" s="646">
        <f>SUM(G912:G913)</f>
        <v>142230</v>
      </c>
    </row>
    <row r="915" spans="1:8" s="265" customFormat="1">
      <c r="A915" s="640" t="s">
        <v>703</v>
      </c>
      <c r="B915" s="1182" t="s">
        <v>3910</v>
      </c>
      <c r="C915" s="1182"/>
      <c r="D915" s="1182"/>
      <c r="E915" s="1182"/>
      <c r="F915" s="1182"/>
      <c r="G915" s="626">
        <f>G910+G914</f>
        <v>161340</v>
      </c>
    </row>
    <row r="916" spans="1:8" s="265" customFormat="1">
      <c r="A916" s="640" t="s">
        <v>706</v>
      </c>
      <c r="B916" s="1180" t="s">
        <v>709</v>
      </c>
      <c r="C916" s="1180"/>
      <c r="D916" s="1180"/>
      <c r="E916" s="1178" t="s">
        <v>4030</v>
      </c>
      <c r="F916" s="1178"/>
      <c r="G916" s="626">
        <f>G915*0.15</f>
        <v>24201</v>
      </c>
    </row>
    <row r="917" spans="1:8" s="265" customFormat="1">
      <c r="A917" s="640" t="s">
        <v>708</v>
      </c>
      <c r="B917" s="1179" t="s">
        <v>3911</v>
      </c>
      <c r="C917" s="1179"/>
      <c r="D917" s="1179"/>
      <c r="E917" s="1179"/>
      <c r="F917" s="1179"/>
      <c r="G917" s="626">
        <f>SUM(G915:G916)</f>
        <v>185541</v>
      </c>
    </row>
    <row r="918" spans="1:8" s="265" customFormat="1">
      <c r="A918" s="640" t="s">
        <v>711</v>
      </c>
      <c r="B918" s="1179" t="s">
        <v>3533</v>
      </c>
      <c r="C918" s="1179"/>
      <c r="D918" s="1179"/>
      <c r="E918" s="1179"/>
      <c r="F918" s="1179"/>
      <c r="G918" s="255">
        <f>ROUND((G917/10),2)</f>
        <v>18554.099999999999</v>
      </c>
      <c r="H918" s="626">
        <f>G917/10</f>
        <v>18554.099999999999</v>
      </c>
    </row>
    <row r="919" spans="1:8" s="265" customFormat="1">
      <c r="A919" s="285"/>
      <c r="B919" s="655"/>
      <c r="C919" s="655"/>
      <c r="D919" s="655"/>
      <c r="E919" s="657"/>
      <c r="F919" s="658"/>
      <c r="G919" s="352"/>
      <c r="H919" s="659"/>
    </row>
    <row r="920" spans="1:8">
      <c r="A920" s="286" t="s">
        <v>3697</v>
      </c>
      <c r="B920" s="621" t="s">
        <v>3656</v>
      </c>
    </row>
    <row r="921" spans="1:8" s="292" customFormat="1" ht="24.95" customHeight="1">
      <c r="A921" s="290" t="s">
        <v>1003</v>
      </c>
      <c r="B921" s="290" t="s">
        <v>1004</v>
      </c>
      <c r="C921" s="290" t="s">
        <v>1005</v>
      </c>
      <c r="D921" s="290" t="s">
        <v>1006</v>
      </c>
      <c r="E921" s="373" t="s">
        <v>1007</v>
      </c>
      <c r="F921" s="363" t="s">
        <v>2637</v>
      </c>
      <c r="G921" s="291" t="s">
        <v>2638</v>
      </c>
    </row>
    <row r="922" spans="1:8">
      <c r="A922" s="640" t="s">
        <v>671</v>
      </c>
      <c r="B922" s="641" t="s">
        <v>672</v>
      </c>
      <c r="C922" s="643"/>
      <c r="D922" s="643"/>
      <c r="E922" s="644"/>
      <c r="F922" s="645"/>
      <c r="G922" s="646"/>
    </row>
    <row r="923" spans="1:8">
      <c r="A923" s="643"/>
      <c r="B923" s="647" t="s">
        <v>673</v>
      </c>
      <c r="C923" s="643" t="s">
        <v>674</v>
      </c>
      <c r="D923" s="643" t="s">
        <v>675</v>
      </c>
      <c r="E923" s="644">
        <v>7.0000000000000007E-2</v>
      </c>
      <c r="F923" s="645">
        <f>'UPAD-BAHAN-ALAT'!$I$12</f>
        <v>110000</v>
      </c>
      <c r="G923" s="646">
        <f>F923*E923</f>
        <v>7700.0000000000009</v>
      </c>
    </row>
    <row r="924" spans="1:8">
      <c r="A924" s="643"/>
      <c r="B924" s="647" t="s">
        <v>855</v>
      </c>
      <c r="C924" s="643" t="s">
        <v>678</v>
      </c>
      <c r="D924" s="643" t="s">
        <v>675</v>
      </c>
      <c r="E924" s="644">
        <v>7.0000000000000007E-2</v>
      </c>
      <c r="F924" s="645">
        <f>'UPAD-BAHAN-ALAT'!$I$13</f>
        <v>140000</v>
      </c>
      <c r="G924" s="646">
        <f>F924*E924</f>
        <v>9800.0000000000018</v>
      </c>
    </row>
    <row r="925" spans="1:8">
      <c r="A925" s="643"/>
      <c r="B925" s="647" t="s">
        <v>680</v>
      </c>
      <c r="C925" s="643" t="s">
        <v>681</v>
      </c>
      <c r="D925" s="643" t="s">
        <v>675</v>
      </c>
      <c r="E925" s="644">
        <v>7.0000000000000001E-3</v>
      </c>
      <c r="F925" s="645">
        <f>'UPAD-BAHAN-ALAT'!$I$15</f>
        <v>150000</v>
      </c>
      <c r="G925" s="646">
        <f>F925*E925</f>
        <v>1050</v>
      </c>
    </row>
    <row r="926" spans="1:8">
      <c r="A926" s="643"/>
      <c r="B926" s="647" t="s">
        <v>683</v>
      </c>
      <c r="C926" s="643" t="s">
        <v>684</v>
      </c>
      <c r="D926" s="643" t="s">
        <v>675</v>
      </c>
      <c r="E926" s="644">
        <v>4.0000000000000001E-3</v>
      </c>
      <c r="F926" s="645">
        <f>'UPAD-BAHAN-ALAT'!$I$14</f>
        <v>140000</v>
      </c>
      <c r="G926" s="646">
        <f>F926*E926</f>
        <v>560</v>
      </c>
    </row>
    <row r="927" spans="1:8">
      <c r="A927" s="643"/>
      <c r="B927" s="647"/>
      <c r="C927" s="643"/>
      <c r="D927" s="643"/>
      <c r="E927" s="1176" t="s">
        <v>685</v>
      </c>
      <c r="F927" s="1176"/>
      <c r="G927" s="646">
        <f>SUM(G923:G926)</f>
        <v>19110.000000000004</v>
      </c>
    </row>
    <row r="928" spans="1:8">
      <c r="A928" s="640" t="s">
        <v>686</v>
      </c>
      <c r="B928" s="641" t="s">
        <v>687</v>
      </c>
      <c r="C928" s="643"/>
      <c r="D928" s="643"/>
      <c r="E928" s="644"/>
      <c r="F928" s="645"/>
      <c r="G928" s="646"/>
    </row>
    <row r="929" spans="1:8">
      <c r="A929" s="643"/>
      <c r="B929" s="648" t="s">
        <v>3657</v>
      </c>
      <c r="C929" s="643"/>
      <c r="D929" s="643" t="s">
        <v>773</v>
      </c>
      <c r="E929" s="644">
        <v>10.5</v>
      </c>
      <c r="F929" s="645">
        <f>'UPAD-BAHAN-ALAT'!I113</f>
        <v>13700</v>
      </c>
      <c r="G929" s="646">
        <f>F929*E929</f>
        <v>143850</v>
      </c>
    </row>
    <row r="930" spans="1:8">
      <c r="A930" s="643"/>
      <c r="B930" s="647" t="s">
        <v>835</v>
      </c>
      <c r="C930" s="643"/>
      <c r="D930" s="643" t="s">
        <v>773</v>
      </c>
      <c r="E930" s="644">
        <v>0.15</v>
      </c>
      <c r="F930" s="645">
        <f>'UPAD-BAHAN-ALAT'!$I$119</f>
        <v>24200</v>
      </c>
      <c r="G930" s="646">
        <f>F930*E930</f>
        <v>3630</v>
      </c>
    </row>
    <row r="931" spans="1:8">
      <c r="A931" s="643"/>
      <c r="B931" s="647"/>
      <c r="C931" s="643"/>
      <c r="D931" s="643"/>
      <c r="E931" s="1181" t="s">
        <v>702</v>
      </c>
      <c r="F931" s="1181"/>
      <c r="G931" s="646">
        <f>SUM(G929:G930)</f>
        <v>147480</v>
      </c>
    </row>
    <row r="932" spans="1:8" s="265" customFormat="1">
      <c r="A932" s="640" t="s">
        <v>703</v>
      </c>
      <c r="B932" s="1182" t="s">
        <v>3910</v>
      </c>
      <c r="C932" s="1182"/>
      <c r="D932" s="1182"/>
      <c r="E932" s="1182"/>
      <c r="F932" s="1182"/>
      <c r="G932" s="626">
        <f>G927+G931</f>
        <v>166590</v>
      </c>
    </row>
    <row r="933" spans="1:8" s="265" customFormat="1">
      <c r="A933" s="640" t="s">
        <v>706</v>
      </c>
      <c r="B933" s="1180" t="s">
        <v>709</v>
      </c>
      <c r="C933" s="1180"/>
      <c r="D933" s="1180"/>
      <c r="E933" s="1178" t="s">
        <v>4030</v>
      </c>
      <c r="F933" s="1178"/>
      <c r="G933" s="626">
        <f>G932*0.15</f>
        <v>24988.5</v>
      </c>
    </row>
    <row r="934" spans="1:8" s="265" customFormat="1">
      <c r="A934" s="640" t="s">
        <v>708</v>
      </c>
      <c r="B934" s="1179" t="s">
        <v>3911</v>
      </c>
      <c r="C934" s="1179"/>
      <c r="D934" s="1179"/>
      <c r="E934" s="1179"/>
      <c r="F934" s="1179"/>
      <c r="G934" s="626">
        <f>SUM(G932:G933)</f>
        <v>191578.5</v>
      </c>
    </row>
    <row r="935" spans="1:8" s="265" customFormat="1">
      <c r="A935" s="640" t="s">
        <v>711</v>
      </c>
      <c r="B935" s="1179" t="s">
        <v>3533</v>
      </c>
      <c r="C935" s="1179"/>
      <c r="D935" s="1179"/>
      <c r="E935" s="1179"/>
      <c r="F935" s="1179"/>
      <c r="G935" s="255">
        <f>ROUND((G934/10),2)</f>
        <v>19157.849999999999</v>
      </c>
      <c r="H935" s="626">
        <f>G934/10</f>
        <v>19157.849999999999</v>
      </c>
    </row>
    <row r="936" spans="1:8">
      <c r="A936" s="276"/>
      <c r="B936" s="660"/>
      <c r="C936" s="276"/>
      <c r="D936" s="276"/>
      <c r="E936" s="383"/>
      <c r="F936" s="656"/>
      <c r="G936" s="264"/>
    </row>
    <row r="937" spans="1:8">
      <c r="A937" s="286" t="s">
        <v>4083</v>
      </c>
      <c r="B937" s="265" t="s">
        <v>2839</v>
      </c>
    </row>
    <row r="938" spans="1:8" s="292" customFormat="1" ht="24.95" customHeight="1">
      <c r="A938" s="290" t="s">
        <v>1003</v>
      </c>
      <c r="B938" s="290" t="s">
        <v>1004</v>
      </c>
      <c r="C938" s="290" t="s">
        <v>1005</v>
      </c>
      <c r="D938" s="290" t="s">
        <v>1006</v>
      </c>
      <c r="E938" s="373" t="s">
        <v>1007</v>
      </c>
      <c r="F938" s="363" t="s">
        <v>2637</v>
      </c>
      <c r="G938" s="291" t="s">
        <v>2638</v>
      </c>
    </row>
    <row r="939" spans="1:8">
      <c r="A939" s="294" t="s">
        <v>671</v>
      </c>
      <c r="B939" s="411" t="s">
        <v>672</v>
      </c>
      <c r="C939" s="247"/>
      <c r="D939" s="247"/>
      <c r="E939" s="372"/>
      <c r="F939" s="360"/>
      <c r="G939" s="248"/>
    </row>
    <row r="940" spans="1:8">
      <c r="A940" s="247"/>
      <c r="B940" s="410" t="s">
        <v>673</v>
      </c>
      <c r="C940" s="247" t="s">
        <v>674</v>
      </c>
      <c r="D940" s="247" t="s">
        <v>675</v>
      </c>
      <c r="E940" s="372">
        <v>2.5000000000000001E-2</v>
      </c>
      <c r="F940" s="360">
        <f>'UPAD-BAHAN-ALAT'!$I$12</f>
        <v>110000</v>
      </c>
      <c r="G940" s="248">
        <f>F940*E940</f>
        <v>2750</v>
      </c>
    </row>
    <row r="941" spans="1:8">
      <c r="A941" s="247"/>
      <c r="B941" s="410" t="s">
        <v>855</v>
      </c>
      <c r="C941" s="247" t="s">
        <v>678</v>
      </c>
      <c r="D941" s="247" t="s">
        <v>675</v>
      </c>
      <c r="E941" s="372">
        <v>2.5000000000000001E-2</v>
      </c>
      <c r="F941" s="360">
        <f>'UPAD-BAHAN-ALAT'!$I$13</f>
        <v>140000</v>
      </c>
      <c r="G941" s="248">
        <f>F941*E941</f>
        <v>3500</v>
      </c>
    </row>
    <row r="942" spans="1:8">
      <c r="A942" s="247"/>
      <c r="B942" s="410" t="s">
        <v>680</v>
      </c>
      <c r="C942" s="247" t="s">
        <v>681</v>
      </c>
      <c r="D942" s="247" t="s">
        <v>675</v>
      </c>
      <c r="E942" s="372">
        <v>2.5000000000000001E-2</v>
      </c>
      <c r="F942" s="360">
        <f>'UPAD-BAHAN-ALAT'!$I$15</f>
        <v>150000</v>
      </c>
      <c r="G942" s="248">
        <f>F942*E942</f>
        <v>3750</v>
      </c>
    </row>
    <row r="943" spans="1:8">
      <c r="A943" s="247"/>
      <c r="B943" s="410" t="s">
        <v>683</v>
      </c>
      <c r="C943" s="247" t="s">
        <v>684</v>
      </c>
      <c r="D943" s="247" t="s">
        <v>675</v>
      </c>
      <c r="E943" s="372">
        <v>1E-3</v>
      </c>
      <c r="F943" s="360">
        <f>'UPAD-BAHAN-ALAT'!$I$14</f>
        <v>140000</v>
      </c>
      <c r="G943" s="248">
        <f>F943*E943</f>
        <v>140</v>
      </c>
    </row>
    <row r="944" spans="1:8">
      <c r="A944" s="247"/>
      <c r="B944" s="410"/>
      <c r="C944" s="247"/>
      <c r="D944" s="247"/>
      <c r="E944" s="1146" t="s">
        <v>685</v>
      </c>
      <c r="F944" s="1146"/>
      <c r="G944" s="248">
        <f>SUM(G940:G943)</f>
        <v>10140</v>
      </c>
    </row>
    <row r="945" spans="1:8">
      <c r="A945" s="294" t="s">
        <v>686</v>
      </c>
      <c r="B945" s="411" t="s">
        <v>687</v>
      </c>
      <c r="C945" s="247"/>
      <c r="D945" s="247"/>
      <c r="E945" s="372"/>
      <c r="F945" s="360"/>
      <c r="G945" s="248"/>
    </row>
    <row r="946" spans="1:8">
      <c r="A946" s="247"/>
      <c r="B946" s="256" t="s">
        <v>3658</v>
      </c>
      <c r="C946" s="247"/>
      <c r="D946" s="247" t="s">
        <v>773</v>
      </c>
      <c r="E946" s="372">
        <v>10.199999999999999</v>
      </c>
      <c r="F946" s="360">
        <f>'UPAD-BAHAN-ALAT'!$I$113</f>
        <v>13700</v>
      </c>
      <c r="G946" s="248">
        <f>F946*E946</f>
        <v>139740</v>
      </c>
    </row>
    <row r="947" spans="1:8">
      <c r="A947" s="247"/>
      <c r="B947" s="410" t="s">
        <v>835</v>
      </c>
      <c r="C947" s="247"/>
      <c r="D947" s="247" t="s">
        <v>773</v>
      </c>
      <c r="E947" s="372">
        <v>0.05</v>
      </c>
      <c r="F947" s="360">
        <f>'UPAD-BAHAN-ALAT'!$I$119</f>
        <v>24200</v>
      </c>
      <c r="G947" s="248">
        <f>F947*E947</f>
        <v>1210</v>
      </c>
    </row>
    <row r="948" spans="1:8">
      <c r="A948" s="247"/>
      <c r="B948" s="410"/>
      <c r="C948" s="247"/>
      <c r="D948" s="247"/>
      <c r="E948" s="1155" t="s">
        <v>702</v>
      </c>
      <c r="F948" s="1155"/>
      <c r="G948" s="248">
        <f>SUM(G946:G947)</f>
        <v>140950</v>
      </c>
    </row>
    <row r="949" spans="1:8" s="265" customFormat="1">
      <c r="A949" s="294" t="s">
        <v>703</v>
      </c>
      <c r="B949" s="1151" t="s">
        <v>3910</v>
      </c>
      <c r="C949" s="1151"/>
      <c r="D949" s="1151"/>
      <c r="E949" s="1151"/>
      <c r="F949" s="1151"/>
      <c r="G949" s="255">
        <f>G944+G948</f>
        <v>151090</v>
      </c>
    </row>
    <row r="950" spans="1:8" s="265" customFormat="1">
      <c r="A950" s="294" t="s">
        <v>706</v>
      </c>
      <c r="B950" s="1148" t="s">
        <v>709</v>
      </c>
      <c r="C950" s="1148"/>
      <c r="D950" s="1148"/>
      <c r="E950" s="1147" t="s">
        <v>4030</v>
      </c>
      <c r="F950" s="1147"/>
      <c r="G950" s="255">
        <f>G949*0.15</f>
        <v>22663.5</v>
      </c>
    </row>
    <row r="951" spans="1:8" s="265" customFormat="1">
      <c r="A951" s="294" t="s">
        <v>708</v>
      </c>
      <c r="B951" s="1149" t="s">
        <v>3911</v>
      </c>
      <c r="C951" s="1149"/>
      <c r="D951" s="1149"/>
      <c r="E951" s="1149"/>
      <c r="F951" s="1149"/>
      <c r="G951" s="255">
        <f>SUM(G949:G950)</f>
        <v>173753.5</v>
      </c>
    </row>
    <row r="952" spans="1:8" s="265" customFormat="1">
      <c r="A952" s="294" t="s">
        <v>711</v>
      </c>
      <c r="B952" s="1149" t="s">
        <v>3534</v>
      </c>
      <c r="C952" s="1149"/>
      <c r="D952" s="1149"/>
      <c r="E952" s="1149"/>
      <c r="F952" s="1149"/>
      <c r="G952" s="255">
        <f>ROUND((G951/10),2)</f>
        <v>17375.349999999999</v>
      </c>
      <c r="H952" s="255">
        <f>G951/10</f>
        <v>17375.349999999999</v>
      </c>
    </row>
    <row r="953" spans="1:8">
      <c r="A953" s="252"/>
      <c r="B953" s="251"/>
      <c r="C953" s="252"/>
      <c r="D953" s="251"/>
      <c r="E953" s="378"/>
      <c r="F953" s="364"/>
      <c r="G953" s="253"/>
    </row>
    <row r="954" spans="1:8">
      <c r="A954" s="285" t="s">
        <v>4082</v>
      </c>
      <c r="B954" s="250" t="s">
        <v>2840</v>
      </c>
      <c r="C954" s="252"/>
      <c r="D954" s="252"/>
      <c r="E954" s="374"/>
      <c r="F954" s="361"/>
      <c r="G954" s="253"/>
    </row>
    <row r="955" spans="1:8" s="292" customFormat="1" ht="24.95" customHeight="1">
      <c r="A955" s="290" t="s">
        <v>1003</v>
      </c>
      <c r="B955" s="290" t="s">
        <v>1004</v>
      </c>
      <c r="C955" s="290" t="s">
        <v>1005</v>
      </c>
      <c r="D955" s="290" t="s">
        <v>1006</v>
      </c>
      <c r="E955" s="373" t="s">
        <v>1007</v>
      </c>
      <c r="F955" s="363" t="s">
        <v>2637</v>
      </c>
      <c r="G955" s="291" t="s">
        <v>2638</v>
      </c>
    </row>
    <row r="956" spans="1:8">
      <c r="A956" s="294" t="s">
        <v>671</v>
      </c>
      <c r="B956" s="411" t="s">
        <v>672</v>
      </c>
      <c r="C956" s="247"/>
      <c r="D956" s="247"/>
      <c r="E956" s="372"/>
      <c r="F956" s="360"/>
      <c r="G956" s="248"/>
    </row>
    <row r="957" spans="1:8">
      <c r="A957" s="247"/>
      <c r="B957" s="410" t="s">
        <v>673</v>
      </c>
      <c r="C957" s="247" t="s">
        <v>674</v>
      </c>
      <c r="D957" s="247" t="s">
        <v>675</v>
      </c>
      <c r="E957" s="372">
        <v>0.52</v>
      </c>
      <c r="F957" s="360">
        <f>'UPAD-BAHAN-ALAT'!$I$12</f>
        <v>110000</v>
      </c>
      <c r="G957" s="248">
        <f>F957*E957</f>
        <v>57200</v>
      </c>
    </row>
    <row r="958" spans="1:8">
      <c r="A958" s="247"/>
      <c r="B958" s="410" t="s">
        <v>677</v>
      </c>
      <c r="C958" s="247" t="s">
        <v>678</v>
      </c>
      <c r="D958" s="247" t="s">
        <v>675</v>
      </c>
      <c r="E958" s="372">
        <v>0.26</v>
      </c>
      <c r="F958" s="360">
        <f>'UPAD-BAHAN-ALAT'!$I$13</f>
        <v>140000</v>
      </c>
      <c r="G958" s="248">
        <f>F958*E958</f>
        <v>36400</v>
      </c>
    </row>
    <row r="959" spans="1:8">
      <c r="A959" s="247"/>
      <c r="B959" s="410" t="s">
        <v>680</v>
      </c>
      <c r="C959" s="247" t="s">
        <v>681</v>
      </c>
      <c r="D959" s="247" t="s">
        <v>675</v>
      </c>
      <c r="E959" s="372">
        <v>2.5999999999999999E-2</v>
      </c>
      <c r="F959" s="360">
        <f>'UPAD-BAHAN-ALAT'!$I$15</f>
        <v>150000</v>
      </c>
      <c r="G959" s="248">
        <f>F959*E959</f>
        <v>3900</v>
      </c>
    </row>
    <row r="960" spans="1:8">
      <c r="A960" s="247"/>
      <c r="B960" s="410" t="s">
        <v>683</v>
      </c>
      <c r="C960" s="247" t="s">
        <v>684</v>
      </c>
      <c r="D960" s="247" t="s">
        <v>675</v>
      </c>
      <c r="E960" s="372">
        <v>2.5999999999999999E-2</v>
      </c>
      <c r="F960" s="360">
        <f>'UPAD-BAHAN-ALAT'!$I$14</f>
        <v>140000</v>
      </c>
      <c r="G960" s="248">
        <f>F960*E960</f>
        <v>3640</v>
      </c>
    </row>
    <row r="961" spans="1:8">
      <c r="A961" s="247"/>
      <c r="B961" s="410"/>
      <c r="C961" s="247"/>
      <c r="D961" s="247"/>
      <c r="E961" s="1146" t="s">
        <v>685</v>
      </c>
      <c r="F961" s="1146"/>
      <c r="G961" s="248">
        <f>SUM(G957:G960)</f>
        <v>101140</v>
      </c>
    </row>
    <row r="962" spans="1:8">
      <c r="A962" s="294" t="s">
        <v>686</v>
      </c>
      <c r="B962" s="411" t="s">
        <v>687</v>
      </c>
      <c r="C962" s="247"/>
      <c r="D962" s="247"/>
      <c r="E962" s="372"/>
      <c r="F962" s="360"/>
      <c r="G962" s="248"/>
    </row>
    <row r="963" spans="1:8">
      <c r="A963" s="247"/>
      <c r="B963" s="410" t="s">
        <v>859</v>
      </c>
      <c r="C963" s="247"/>
      <c r="D963" s="247" t="s">
        <v>2646</v>
      </c>
      <c r="E963" s="372">
        <v>0.04</v>
      </c>
      <c r="F963" s="360">
        <f>'UPAD-BAHAN-ALAT'!$I$96</f>
        <v>3465000</v>
      </c>
      <c r="G963" s="248">
        <f>F963*E963</f>
        <v>138600</v>
      </c>
    </row>
    <row r="964" spans="1:8">
      <c r="A964" s="247"/>
      <c r="B964" s="410" t="s">
        <v>860</v>
      </c>
      <c r="C964" s="247"/>
      <c r="D964" s="247" t="s">
        <v>773</v>
      </c>
      <c r="E964" s="372">
        <v>0.3</v>
      </c>
      <c r="F964" s="360">
        <f>'UPAD-BAHAN-ALAT'!$I$139</f>
        <v>21000</v>
      </c>
      <c r="G964" s="248">
        <f>F964*E964</f>
        <v>6300</v>
      </c>
    </row>
    <row r="965" spans="1:8">
      <c r="A965" s="247"/>
      <c r="B965" s="410" t="s">
        <v>861</v>
      </c>
      <c r="C965" s="247"/>
      <c r="D965" s="247" t="s">
        <v>701</v>
      </c>
      <c r="E965" s="372">
        <v>0.1</v>
      </c>
      <c r="F965" s="360">
        <f>'UPAD-BAHAN-ALAT'!$I$518</f>
        <v>29000</v>
      </c>
      <c r="G965" s="248">
        <f>F965*E965</f>
        <v>2900</v>
      </c>
    </row>
    <row r="966" spans="1:8">
      <c r="A966" s="247"/>
      <c r="B966" s="410"/>
      <c r="C966" s="247"/>
      <c r="D966" s="247"/>
      <c r="E966" s="1155" t="s">
        <v>702</v>
      </c>
      <c r="F966" s="1155"/>
      <c r="G966" s="248">
        <f>SUM(G963:G965)</f>
        <v>147800</v>
      </c>
    </row>
    <row r="967" spans="1:8" s="265" customFormat="1">
      <c r="A967" s="294" t="s">
        <v>703</v>
      </c>
      <c r="B967" s="1151" t="s">
        <v>3910</v>
      </c>
      <c r="C967" s="1151"/>
      <c r="D967" s="1151"/>
      <c r="E967" s="1151"/>
      <c r="F967" s="1151"/>
      <c r="G967" s="255">
        <f>G961+G966</f>
        <v>248940</v>
      </c>
    </row>
    <row r="968" spans="1:8" s="265" customFormat="1">
      <c r="A968" s="294" t="s">
        <v>706</v>
      </c>
      <c r="B968" s="1148" t="s">
        <v>709</v>
      </c>
      <c r="C968" s="1148"/>
      <c r="D968" s="1148"/>
      <c r="E968" s="1147" t="s">
        <v>4030</v>
      </c>
      <c r="F968" s="1147"/>
      <c r="G968" s="255">
        <f>G967*0.15</f>
        <v>37341</v>
      </c>
    </row>
    <row r="969" spans="1:8" s="265" customFormat="1">
      <c r="A969" s="294" t="s">
        <v>708</v>
      </c>
      <c r="B969" s="1149" t="s">
        <v>3911</v>
      </c>
      <c r="C969" s="1149"/>
      <c r="D969" s="1149"/>
      <c r="E969" s="1149"/>
      <c r="F969" s="1149"/>
      <c r="G969" s="255">
        <f>ROUND(SUM(G967:G968),2)</f>
        <v>286281</v>
      </c>
      <c r="H969" s="255">
        <f>SUM(G967:G968)</f>
        <v>286281</v>
      </c>
    </row>
    <row r="971" spans="1:8">
      <c r="A971" s="285" t="s">
        <v>4713</v>
      </c>
      <c r="B971" s="250" t="s">
        <v>4714</v>
      </c>
      <c r="C971" s="252"/>
      <c r="D971" s="252"/>
      <c r="E971" s="374"/>
      <c r="F971" s="361"/>
      <c r="G971" s="253"/>
    </row>
    <row r="972" spans="1:8" ht="24.95" customHeight="1">
      <c r="A972" s="290" t="s">
        <v>1003</v>
      </c>
      <c r="B972" s="290" t="s">
        <v>1004</v>
      </c>
      <c r="C972" s="290" t="s">
        <v>1005</v>
      </c>
      <c r="D972" s="290" t="s">
        <v>1006</v>
      </c>
      <c r="E972" s="373" t="s">
        <v>1007</v>
      </c>
      <c r="F972" s="363" t="s">
        <v>2637</v>
      </c>
      <c r="G972" s="291" t="s">
        <v>2638</v>
      </c>
    </row>
    <row r="973" spans="1:8">
      <c r="A973" s="294" t="s">
        <v>671</v>
      </c>
      <c r="B973" s="411" t="s">
        <v>672</v>
      </c>
      <c r="C973" s="247"/>
      <c r="D973" s="247"/>
      <c r="E973" s="372"/>
      <c r="F973" s="360"/>
      <c r="G973" s="248"/>
    </row>
    <row r="974" spans="1:8">
      <c r="A974" s="247"/>
      <c r="B974" s="410" t="s">
        <v>673</v>
      </c>
      <c r="C974" s="247" t="s">
        <v>674</v>
      </c>
      <c r="D974" s="247" t="s">
        <v>675</v>
      </c>
      <c r="E974" s="372">
        <v>0.52</v>
      </c>
      <c r="F974" s="360">
        <f>'UPAD-BAHAN-ALAT'!$I$12</f>
        <v>110000</v>
      </c>
      <c r="G974" s="248">
        <f>F974*E974</f>
        <v>57200</v>
      </c>
    </row>
    <row r="975" spans="1:8">
      <c r="A975" s="247"/>
      <c r="B975" s="410" t="s">
        <v>677</v>
      </c>
      <c r="C975" s="247" t="s">
        <v>678</v>
      </c>
      <c r="D975" s="247" t="s">
        <v>675</v>
      </c>
      <c r="E975" s="372">
        <v>0.26</v>
      </c>
      <c r="F975" s="360">
        <f>'UPAD-BAHAN-ALAT'!$I$13</f>
        <v>140000</v>
      </c>
      <c r="G975" s="248">
        <f>F975*E975</f>
        <v>36400</v>
      </c>
    </row>
    <row r="976" spans="1:8">
      <c r="A976" s="247"/>
      <c r="B976" s="410" t="s">
        <v>680</v>
      </c>
      <c r="C976" s="247" t="s">
        <v>681</v>
      </c>
      <c r="D976" s="247" t="s">
        <v>675</v>
      </c>
      <c r="E976" s="372">
        <v>2.5999999999999999E-2</v>
      </c>
      <c r="F976" s="360">
        <f>'UPAD-BAHAN-ALAT'!$I$15</f>
        <v>150000</v>
      </c>
      <c r="G976" s="248">
        <f>F976*E976</f>
        <v>3900</v>
      </c>
    </row>
    <row r="977" spans="1:7">
      <c r="A977" s="247"/>
      <c r="B977" s="410" t="s">
        <v>683</v>
      </c>
      <c r="C977" s="247" t="s">
        <v>684</v>
      </c>
      <c r="D977" s="247" t="s">
        <v>675</v>
      </c>
      <c r="E977" s="372">
        <v>2.5999999999999999E-2</v>
      </c>
      <c r="F977" s="360">
        <f>'UPAD-BAHAN-ALAT'!$I$14</f>
        <v>140000</v>
      </c>
      <c r="G977" s="248">
        <f>F977*E977</f>
        <v>3640</v>
      </c>
    </row>
    <row r="978" spans="1:7">
      <c r="A978" s="247"/>
      <c r="B978" s="410"/>
      <c r="C978" s="247"/>
      <c r="D978" s="247"/>
      <c r="E978" s="1146" t="s">
        <v>685</v>
      </c>
      <c r="F978" s="1146"/>
      <c r="G978" s="248">
        <f>SUM(G974:G977)</f>
        <v>101140</v>
      </c>
    </row>
    <row r="979" spans="1:7">
      <c r="A979" s="294" t="s">
        <v>686</v>
      </c>
      <c r="B979" s="411" t="s">
        <v>687</v>
      </c>
      <c r="C979" s="247"/>
      <c r="D979" s="247"/>
      <c r="E979" s="372"/>
      <c r="F979" s="360"/>
      <c r="G979" s="248"/>
    </row>
    <row r="980" spans="1:7">
      <c r="A980" s="247"/>
      <c r="B980" s="410" t="s">
        <v>859</v>
      </c>
      <c r="C980" s="247"/>
      <c r="D980" s="247" t="s">
        <v>2646</v>
      </c>
      <c r="E980" s="372">
        <v>0.04</v>
      </c>
      <c r="F980" s="360">
        <f>'UPAD-BAHAN-ALAT'!$I$96</f>
        <v>3465000</v>
      </c>
      <c r="G980" s="248">
        <f>F980*E980</f>
        <v>138600</v>
      </c>
    </row>
    <row r="981" spans="1:7">
      <c r="A981" s="247"/>
      <c r="B981" s="410" t="s">
        <v>860</v>
      </c>
      <c r="C981" s="247"/>
      <c r="D981" s="247" t="s">
        <v>773</v>
      </c>
      <c r="E981" s="372">
        <v>0.3</v>
      </c>
      <c r="F981" s="360">
        <f>'UPAD-BAHAN-ALAT'!$I$139</f>
        <v>21000</v>
      </c>
      <c r="G981" s="248">
        <f>F981*E981</f>
        <v>6300</v>
      </c>
    </row>
    <row r="982" spans="1:7">
      <c r="A982" s="247"/>
      <c r="B982" s="410" t="s">
        <v>861</v>
      </c>
      <c r="C982" s="247"/>
      <c r="D982" s="247" t="s">
        <v>701</v>
      </c>
      <c r="E982" s="372">
        <v>0.1</v>
      </c>
      <c r="F982" s="360">
        <f>'UPAD-BAHAN-ALAT'!$I$518</f>
        <v>29000</v>
      </c>
      <c r="G982" s="248">
        <f>F982*E982</f>
        <v>2900</v>
      </c>
    </row>
    <row r="983" spans="1:7">
      <c r="A983" s="247"/>
      <c r="B983" s="410"/>
      <c r="C983" s="247"/>
      <c r="D983" s="247"/>
      <c r="E983" s="1144" t="s">
        <v>702</v>
      </c>
      <c r="F983" s="1144"/>
      <c r="G983" s="248">
        <f>SUM(G980:G982)</f>
        <v>147800</v>
      </c>
    </row>
    <row r="984" spans="1:7">
      <c r="A984" s="247"/>
      <c r="B984" s="410"/>
      <c r="C984" s="247"/>
      <c r="D984" s="247"/>
      <c r="E984" s="410" t="s">
        <v>4719</v>
      </c>
      <c r="F984" s="410"/>
      <c r="G984" s="248">
        <f>G983*0.5</f>
        <v>73900</v>
      </c>
    </row>
    <row r="985" spans="1:7">
      <c r="A985" s="294" t="s">
        <v>703</v>
      </c>
      <c r="B985" s="1147" t="s">
        <v>3910</v>
      </c>
      <c r="C985" s="1147"/>
      <c r="D985" s="1147"/>
      <c r="E985" s="1147"/>
      <c r="F985" s="1147"/>
      <c r="G985" s="255">
        <f>G978+G984</f>
        <v>175040</v>
      </c>
    </row>
    <row r="986" spans="1:7">
      <c r="A986" s="294" t="s">
        <v>706</v>
      </c>
      <c r="B986" s="1148" t="s">
        <v>709</v>
      </c>
      <c r="C986" s="1148"/>
      <c r="D986" s="1148"/>
      <c r="E986" s="1147" t="s">
        <v>4030</v>
      </c>
      <c r="F986" s="1147"/>
      <c r="G986" s="255">
        <f>G985*0.15</f>
        <v>26256</v>
      </c>
    </row>
    <row r="987" spans="1:7">
      <c r="A987" s="294" t="s">
        <v>708</v>
      </c>
      <c r="B987" s="1147" t="s">
        <v>3911</v>
      </c>
      <c r="C987" s="1147"/>
      <c r="D987" s="1147"/>
      <c r="E987" s="1147"/>
      <c r="F987" s="1147"/>
      <c r="G987" s="255">
        <f>ROUND(SUM(G985:G986),2)</f>
        <v>201296</v>
      </c>
    </row>
    <row r="989" spans="1:7">
      <c r="A989" s="600" t="s">
        <v>4081</v>
      </c>
      <c r="B989" s="265" t="s">
        <v>2841</v>
      </c>
    </row>
    <row r="990" spans="1:7" s="292" customFormat="1" ht="24.95" customHeight="1">
      <c r="A990" s="290" t="s">
        <v>1003</v>
      </c>
      <c r="B990" s="290" t="s">
        <v>1004</v>
      </c>
      <c r="C990" s="290" t="s">
        <v>1005</v>
      </c>
      <c r="D990" s="290" t="s">
        <v>1006</v>
      </c>
      <c r="E990" s="373" t="s">
        <v>1007</v>
      </c>
      <c r="F990" s="363" t="s">
        <v>2637</v>
      </c>
      <c r="G990" s="291" t="s">
        <v>2638</v>
      </c>
    </row>
    <row r="991" spans="1:7">
      <c r="A991" s="294" t="s">
        <v>671</v>
      </c>
      <c r="B991" s="411" t="s">
        <v>672</v>
      </c>
      <c r="C991" s="247"/>
      <c r="D991" s="247"/>
      <c r="E991" s="372"/>
      <c r="F991" s="360"/>
      <c r="G991" s="248"/>
    </row>
    <row r="992" spans="1:7">
      <c r="A992" s="247"/>
      <c r="B992" s="410" t="s">
        <v>673</v>
      </c>
      <c r="C992" s="247" t="s">
        <v>674</v>
      </c>
      <c r="D992" s="247" t="s">
        <v>675</v>
      </c>
      <c r="E992" s="372">
        <v>0.52</v>
      </c>
      <c r="F992" s="360">
        <f>'UPAD-BAHAN-ALAT'!$I$12</f>
        <v>110000</v>
      </c>
      <c r="G992" s="248">
        <f>F992*E992</f>
        <v>57200</v>
      </c>
    </row>
    <row r="993" spans="1:8">
      <c r="A993" s="247"/>
      <c r="B993" s="410" t="s">
        <v>677</v>
      </c>
      <c r="C993" s="247" t="s">
        <v>678</v>
      </c>
      <c r="D993" s="247" t="s">
        <v>675</v>
      </c>
      <c r="E993" s="372">
        <v>0.26</v>
      </c>
      <c r="F993" s="360">
        <f>'UPAD-BAHAN-ALAT'!$I$13</f>
        <v>140000</v>
      </c>
      <c r="G993" s="248">
        <f>F993*E993</f>
        <v>36400</v>
      </c>
    </row>
    <row r="994" spans="1:8">
      <c r="A994" s="247"/>
      <c r="B994" s="410" t="s">
        <v>680</v>
      </c>
      <c r="C994" s="247" t="s">
        <v>681</v>
      </c>
      <c r="D994" s="247" t="s">
        <v>675</v>
      </c>
      <c r="E994" s="372">
        <v>2.5999999999999999E-2</v>
      </c>
      <c r="F994" s="360">
        <f>'UPAD-BAHAN-ALAT'!$I$15</f>
        <v>150000</v>
      </c>
      <c r="G994" s="248">
        <f>F994*E994</f>
        <v>3900</v>
      </c>
    </row>
    <row r="995" spans="1:8">
      <c r="A995" s="247"/>
      <c r="B995" s="410" t="s">
        <v>683</v>
      </c>
      <c r="C995" s="247" t="s">
        <v>684</v>
      </c>
      <c r="D995" s="247" t="s">
        <v>675</v>
      </c>
      <c r="E995" s="372">
        <v>2.5999999999999999E-2</v>
      </c>
      <c r="F995" s="360">
        <f>'UPAD-BAHAN-ALAT'!$I$14</f>
        <v>140000</v>
      </c>
      <c r="G995" s="248">
        <f>F995*E995</f>
        <v>3640</v>
      </c>
    </row>
    <row r="996" spans="1:8">
      <c r="A996" s="247"/>
      <c r="B996" s="410"/>
      <c r="C996" s="247"/>
      <c r="D996" s="247"/>
      <c r="E996" s="1146" t="s">
        <v>685</v>
      </c>
      <c r="F996" s="1146"/>
      <c r="G996" s="248">
        <f>SUM(G992:G995)</f>
        <v>101140</v>
      </c>
    </row>
    <row r="997" spans="1:8">
      <c r="A997" s="294" t="s">
        <v>686</v>
      </c>
      <c r="B997" s="411" t="s">
        <v>687</v>
      </c>
      <c r="C997" s="247"/>
      <c r="D997" s="247"/>
      <c r="E997" s="372"/>
      <c r="F997" s="360"/>
      <c r="G997" s="248"/>
    </row>
    <row r="998" spans="1:8">
      <c r="A998" s="247"/>
      <c r="B998" s="410" t="s">
        <v>859</v>
      </c>
      <c r="C998" s="247"/>
      <c r="D998" s="294" t="s">
        <v>2646</v>
      </c>
      <c r="E998" s="372">
        <v>4.4999999999999998E-2</v>
      </c>
      <c r="F998" s="360">
        <f>'UPAD-BAHAN-ALAT'!$I$96</f>
        <v>3465000</v>
      </c>
      <c r="G998" s="248">
        <f>F998*E998</f>
        <v>155925</v>
      </c>
    </row>
    <row r="999" spans="1:8">
      <c r="A999" s="247"/>
      <c r="B999" s="410" t="s">
        <v>862</v>
      </c>
      <c r="C999" s="247"/>
      <c r="D999" s="247" t="s">
        <v>773</v>
      </c>
      <c r="E999" s="372">
        <v>0.3</v>
      </c>
      <c r="F999" s="360">
        <f>'UPAD-BAHAN-ALAT'!$I$139</f>
        <v>21000</v>
      </c>
      <c r="G999" s="248">
        <f>F999*E999</f>
        <v>6300</v>
      </c>
    </row>
    <row r="1000" spans="1:8">
      <c r="A1000" s="247"/>
      <c r="B1000" s="410" t="s">
        <v>861</v>
      </c>
      <c r="C1000" s="247"/>
      <c r="D1000" s="247" t="s">
        <v>701</v>
      </c>
      <c r="E1000" s="372">
        <v>0.1</v>
      </c>
      <c r="F1000" s="360">
        <f>'UPAD-BAHAN-ALAT'!$I$518</f>
        <v>29000</v>
      </c>
      <c r="G1000" s="248">
        <f>F1000*E1000</f>
        <v>2900</v>
      </c>
    </row>
    <row r="1001" spans="1:8">
      <c r="A1001" s="247"/>
      <c r="B1001" s="410"/>
      <c r="C1001" s="247"/>
      <c r="D1001" s="247"/>
      <c r="E1001" s="1155" t="s">
        <v>702</v>
      </c>
      <c r="F1001" s="1155"/>
      <c r="G1001" s="248">
        <f>SUM(G998:G1000)</f>
        <v>165125</v>
      </c>
    </row>
    <row r="1002" spans="1:8" s="265" customFormat="1">
      <c r="A1002" s="294" t="s">
        <v>703</v>
      </c>
      <c r="B1002" s="1151" t="s">
        <v>3910</v>
      </c>
      <c r="C1002" s="1151"/>
      <c r="D1002" s="1151"/>
      <c r="E1002" s="1151"/>
      <c r="F1002" s="1151"/>
      <c r="G1002" s="255">
        <f>G996+G1001</f>
        <v>266265</v>
      </c>
    </row>
    <row r="1003" spans="1:8" s="265" customFormat="1">
      <c r="A1003" s="294" t="s">
        <v>706</v>
      </c>
      <c r="B1003" s="1148" t="s">
        <v>709</v>
      </c>
      <c r="C1003" s="1148"/>
      <c r="D1003" s="1148"/>
      <c r="E1003" s="1147" t="s">
        <v>4030</v>
      </c>
      <c r="F1003" s="1147"/>
      <c r="G1003" s="255">
        <f>G1002*0.15</f>
        <v>39939.75</v>
      </c>
    </row>
    <row r="1004" spans="1:8" s="265" customFormat="1">
      <c r="A1004" s="294" t="s">
        <v>708</v>
      </c>
      <c r="B1004" s="1149" t="s">
        <v>3911</v>
      </c>
      <c r="C1004" s="1149"/>
      <c r="D1004" s="1149"/>
      <c r="E1004" s="1149"/>
      <c r="F1004" s="1149"/>
      <c r="G1004" s="255">
        <f>ROUND(SUM(G1002:G1003),2)</f>
        <v>306204.75</v>
      </c>
      <c r="H1004" s="255">
        <f>SUM(G1002:G1003)</f>
        <v>306204.75</v>
      </c>
    </row>
    <row r="1005" spans="1:8">
      <c r="A1005" s="268"/>
      <c r="B1005" s="269"/>
      <c r="C1005" s="268"/>
      <c r="D1005" s="268"/>
      <c r="E1005" s="380"/>
      <c r="F1005" s="365"/>
      <c r="G1005" s="270"/>
    </row>
    <row r="1006" spans="1:8">
      <c r="A1006" s="600" t="s">
        <v>4715</v>
      </c>
      <c r="B1006" s="265" t="s">
        <v>4716</v>
      </c>
    </row>
    <row r="1007" spans="1:8" ht="24.95" customHeight="1">
      <c r="A1007" s="290" t="s">
        <v>1003</v>
      </c>
      <c r="B1007" s="290" t="s">
        <v>1004</v>
      </c>
      <c r="C1007" s="290" t="s">
        <v>1005</v>
      </c>
      <c r="D1007" s="290" t="s">
        <v>1006</v>
      </c>
      <c r="E1007" s="373" t="s">
        <v>1007</v>
      </c>
      <c r="F1007" s="363" t="s">
        <v>2637</v>
      </c>
      <c r="G1007" s="291" t="s">
        <v>2638</v>
      </c>
    </row>
    <row r="1008" spans="1:8">
      <c r="A1008" s="294" t="s">
        <v>671</v>
      </c>
      <c r="B1008" s="411" t="s">
        <v>672</v>
      </c>
      <c r="C1008" s="247"/>
      <c r="D1008" s="247"/>
      <c r="E1008" s="372"/>
      <c r="F1008" s="360"/>
      <c r="G1008" s="248"/>
    </row>
    <row r="1009" spans="1:7">
      <c r="A1009" s="247"/>
      <c r="B1009" s="410" t="s">
        <v>673</v>
      </c>
      <c r="C1009" s="247" t="s">
        <v>674</v>
      </c>
      <c r="D1009" s="247" t="s">
        <v>675</v>
      </c>
      <c r="E1009" s="372">
        <v>0.52</v>
      </c>
      <c r="F1009" s="360">
        <f>'UPAD-BAHAN-ALAT'!$I$12</f>
        <v>110000</v>
      </c>
      <c r="G1009" s="248">
        <f>F1009*E1009</f>
        <v>57200</v>
      </c>
    </row>
    <row r="1010" spans="1:7">
      <c r="A1010" s="247"/>
      <c r="B1010" s="410" t="s">
        <v>677</v>
      </c>
      <c r="C1010" s="247" t="s">
        <v>678</v>
      </c>
      <c r="D1010" s="247" t="s">
        <v>675</v>
      </c>
      <c r="E1010" s="372">
        <v>0.26</v>
      </c>
      <c r="F1010" s="360">
        <f>'UPAD-BAHAN-ALAT'!$I$13</f>
        <v>140000</v>
      </c>
      <c r="G1010" s="248">
        <f>F1010*E1010</f>
        <v>36400</v>
      </c>
    </row>
    <row r="1011" spans="1:7">
      <c r="A1011" s="247"/>
      <c r="B1011" s="410" t="s">
        <v>680</v>
      </c>
      <c r="C1011" s="247" t="s">
        <v>681</v>
      </c>
      <c r="D1011" s="247" t="s">
        <v>675</v>
      </c>
      <c r="E1011" s="372">
        <v>2.5999999999999999E-2</v>
      </c>
      <c r="F1011" s="360">
        <f>'UPAD-BAHAN-ALAT'!$I$15</f>
        <v>150000</v>
      </c>
      <c r="G1011" s="248">
        <f>F1011*E1011</f>
        <v>3900</v>
      </c>
    </row>
    <row r="1012" spans="1:7">
      <c r="A1012" s="247"/>
      <c r="B1012" s="410" t="s">
        <v>683</v>
      </c>
      <c r="C1012" s="247" t="s">
        <v>684</v>
      </c>
      <c r="D1012" s="247" t="s">
        <v>675</v>
      </c>
      <c r="E1012" s="372">
        <v>2.5999999999999999E-2</v>
      </c>
      <c r="F1012" s="360">
        <f>'UPAD-BAHAN-ALAT'!$I$14</f>
        <v>140000</v>
      </c>
      <c r="G1012" s="248">
        <f>F1012*E1012</f>
        <v>3640</v>
      </c>
    </row>
    <row r="1013" spans="1:7">
      <c r="A1013" s="247"/>
      <c r="B1013" s="410"/>
      <c r="C1013" s="247"/>
      <c r="D1013" s="247"/>
      <c r="E1013" s="1146" t="s">
        <v>685</v>
      </c>
      <c r="F1013" s="1146"/>
      <c r="G1013" s="248">
        <f>SUM(G1009:G1012)</f>
        <v>101140</v>
      </c>
    </row>
    <row r="1014" spans="1:7">
      <c r="A1014" s="294" t="s">
        <v>686</v>
      </c>
      <c r="B1014" s="411" t="s">
        <v>687</v>
      </c>
      <c r="C1014" s="247"/>
      <c r="D1014" s="247"/>
      <c r="E1014" s="372"/>
      <c r="F1014" s="360"/>
      <c r="G1014" s="248"/>
    </row>
    <row r="1015" spans="1:7">
      <c r="A1015" s="247"/>
      <c r="B1015" s="410" t="s">
        <v>859</v>
      </c>
      <c r="C1015" s="247"/>
      <c r="D1015" s="247" t="s">
        <v>2646</v>
      </c>
      <c r="E1015" s="372">
        <v>4.4999999999999998E-2</v>
      </c>
      <c r="F1015" s="360">
        <f>'UPAD-BAHAN-ALAT'!$I$96</f>
        <v>3465000</v>
      </c>
      <c r="G1015" s="248">
        <f>F1015*E1015</f>
        <v>155925</v>
      </c>
    </row>
    <row r="1016" spans="1:7">
      <c r="A1016" s="247"/>
      <c r="B1016" s="410" t="s">
        <v>862</v>
      </c>
      <c r="C1016" s="247"/>
      <c r="D1016" s="247" t="s">
        <v>773</v>
      </c>
      <c r="E1016" s="372">
        <v>0.3</v>
      </c>
      <c r="F1016" s="360">
        <f>'UPAD-BAHAN-ALAT'!$I$139</f>
        <v>21000</v>
      </c>
      <c r="G1016" s="248">
        <f>F1016*E1016</f>
        <v>6300</v>
      </c>
    </row>
    <row r="1017" spans="1:7">
      <c r="A1017" s="247"/>
      <c r="B1017" s="410" t="s">
        <v>861</v>
      </c>
      <c r="C1017" s="247"/>
      <c r="D1017" s="247" t="s">
        <v>701</v>
      </c>
      <c r="E1017" s="372">
        <v>0.1</v>
      </c>
      <c r="F1017" s="360">
        <f>'UPAD-BAHAN-ALAT'!$I$518</f>
        <v>29000</v>
      </c>
      <c r="G1017" s="248">
        <f>F1017*E1017</f>
        <v>2900</v>
      </c>
    </row>
    <row r="1018" spans="1:7">
      <c r="A1018" s="296"/>
      <c r="B1018" s="295"/>
      <c r="C1018" s="296"/>
      <c r="D1018" s="296"/>
      <c r="E1018" s="1183" t="s">
        <v>702</v>
      </c>
      <c r="F1018" s="1183"/>
      <c r="G1018" s="771">
        <f>SUM(G1015:G1017)</f>
        <v>165125</v>
      </c>
    </row>
    <row r="1019" spans="1:7">
      <c r="A1019" s="247"/>
      <c r="B1019" s="410"/>
      <c r="C1019" s="247"/>
      <c r="D1019" s="247"/>
      <c r="E1019" s="410" t="s">
        <v>4719</v>
      </c>
      <c r="F1019" s="410"/>
      <c r="G1019" s="248">
        <f>G1018*0.5</f>
        <v>82562.5</v>
      </c>
    </row>
    <row r="1020" spans="1:7">
      <c r="A1020" s="294" t="s">
        <v>703</v>
      </c>
      <c r="B1020" s="1147" t="s">
        <v>3910</v>
      </c>
      <c r="C1020" s="1147"/>
      <c r="D1020" s="1147"/>
      <c r="E1020" s="1147"/>
      <c r="F1020" s="1147"/>
      <c r="G1020" s="255">
        <f>G1013+G1019</f>
        <v>183702.5</v>
      </c>
    </row>
    <row r="1021" spans="1:7">
      <c r="A1021" s="294" t="s">
        <v>706</v>
      </c>
      <c r="B1021" s="1148" t="s">
        <v>709</v>
      </c>
      <c r="C1021" s="1148"/>
      <c r="D1021" s="1148"/>
      <c r="E1021" s="1147" t="s">
        <v>4030</v>
      </c>
      <c r="F1021" s="1147"/>
      <c r="G1021" s="255">
        <f>G1020*0.15</f>
        <v>27555.375</v>
      </c>
    </row>
    <row r="1022" spans="1:7">
      <c r="A1022" s="294" t="s">
        <v>708</v>
      </c>
      <c r="B1022" s="1147" t="s">
        <v>3911</v>
      </c>
      <c r="C1022" s="1147"/>
      <c r="D1022" s="1147"/>
      <c r="E1022" s="1147"/>
      <c r="F1022" s="1147"/>
      <c r="G1022" s="255">
        <f>ROUND(SUM(G1020:G1021),2)</f>
        <v>211257.88</v>
      </c>
    </row>
    <row r="1023" spans="1:7">
      <c r="A1023" s="252"/>
      <c r="B1023" s="251"/>
      <c r="C1023" s="252"/>
      <c r="D1023" s="252"/>
      <c r="E1023" s="374"/>
      <c r="F1023" s="361"/>
      <c r="G1023" s="253"/>
    </row>
    <row r="1024" spans="1:7">
      <c r="A1024" s="285" t="s">
        <v>4080</v>
      </c>
      <c r="B1024" s="250" t="s">
        <v>2842</v>
      </c>
      <c r="C1024" s="252"/>
      <c r="D1024" s="252"/>
      <c r="E1024" s="374"/>
      <c r="F1024" s="361"/>
      <c r="G1024" s="253"/>
    </row>
    <row r="1025" spans="1:7" s="292" customFormat="1" ht="24.95" customHeight="1">
      <c r="A1025" s="290" t="s">
        <v>1003</v>
      </c>
      <c r="B1025" s="290" t="s">
        <v>1004</v>
      </c>
      <c r="C1025" s="290" t="s">
        <v>1005</v>
      </c>
      <c r="D1025" s="290" t="s">
        <v>1006</v>
      </c>
      <c r="E1025" s="373" t="s">
        <v>1007</v>
      </c>
      <c r="F1025" s="363" t="s">
        <v>2637</v>
      </c>
      <c r="G1025" s="291" t="s">
        <v>2638</v>
      </c>
    </row>
    <row r="1026" spans="1:7">
      <c r="A1026" s="294" t="s">
        <v>671</v>
      </c>
      <c r="B1026" s="411" t="s">
        <v>672</v>
      </c>
      <c r="C1026" s="247"/>
      <c r="D1026" s="247"/>
      <c r="E1026" s="372"/>
      <c r="F1026" s="360"/>
      <c r="G1026" s="248"/>
    </row>
    <row r="1027" spans="1:7">
      <c r="A1027" s="247"/>
      <c r="B1027" s="410" t="s">
        <v>673</v>
      </c>
      <c r="C1027" s="247" t="s">
        <v>674</v>
      </c>
      <c r="D1027" s="247" t="s">
        <v>675</v>
      </c>
      <c r="E1027" s="372">
        <v>0.66</v>
      </c>
      <c r="F1027" s="360">
        <f>'UPAD-BAHAN-ALAT'!$I$12</f>
        <v>110000</v>
      </c>
      <c r="G1027" s="248">
        <f>F1027*E1027</f>
        <v>72600</v>
      </c>
    </row>
    <row r="1028" spans="1:7">
      <c r="A1028" s="247"/>
      <c r="B1028" s="410" t="s">
        <v>677</v>
      </c>
      <c r="C1028" s="247" t="s">
        <v>678</v>
      </c>
      <c r="D1028" s="247" t="s">
        <v>675</v>
      </c>
      <c r="E1028" s="372">
        <v>0.33</v>
      </c>
      <c r="F1028" s="360">
        <f>'UPAD-BAHAN-ALAT'!$I$13</f>
        <v>140000</v>
      </c>
      <c r="G1028" s="248">
        <f>F1028*E1028</f>
        <v>46200</v>
      </c>
    </row>
    <row r="1029" spans="1:7">
      <c r="A1029" s="247"/>
      <c r="B1029" s="410" t="s">
        <v>680</v>
      </c>
      <c r="C1029" s="247" t="s">
        <v>681</v>
      </c>
      <c r="D1029" s="247" t="s">
        <v>675</v>
      </c>
      <c r="E1029" s="372">
        <v>3.3000000000000002E-2</v>
      </c>
      <c r="F1029" s="360">
        <f>'UPAD-BAHAN-ALAT'!$I$15</f>
        <v>150000</v>
      </c>
      <c r="G1029" s="248">
        <f>F1029*E1029</f>
        <v>4950</v>
      </c>
    </row>
    <row r="1030" spans="1:7">
      <c r="A1030" s="247"/>
      <c r="B1030" s="410" t="s">
        <v>683</v>
      </c>
      <c r="C1030" s="247" t="s">
        <v>684</v>
      </c>
      <c r="D1030" s="247" t="s">
        <v>675</v>
      </c>
      <c r="E1030" s="372">
        <v>3.3000000000000002E-2</v>
      </c>
      <c r="F1030" s="360">
        <f>'UPAD-BAHAN-ALAT'!$I$14</f>
        <v>140000</v>
      </c>
      <c r="G1030" s="248">
        <f>F1030*E1030</f>
        <v>4620</v>
      </c>
    </row>
    <row r="1031" spans="1:7">
      <c r="A1031" s="247"/>
      <c r="B1031" s="410"/>
      <c r="C1031" s="247"/>
      <c r="D1031" s="247"/>
      <c r="E1031" s="1146" t="s">
        <v>685</v>
      </c>
      <c r="F1031" s="1146"/>
      <c r="G1031" s="248">
        <f>SUM(G1027:G1030)</f>
        <v>128370</v>
      </c>
    </row>
    <row r="1032" spans="1:7">
      <c r="A1032" s="294" t="s">
        <v>686</v>
      </c>
      <c r="B1032" s="411" t="s">
        <v>687</v>
      </c>
      <c r="C1032" s="247"/>
      <c r="D1032" s="247"/>
      <c r="E1032" s="372"/>
      <c r="F1032" s="360"/>
      <c r="G1032" s="248"/>
    </row>
    <row r="1033" spans="1:7">
      <c r="A1033" s="247"/>
      <c r="B1033" s="410" t="s">
        <v>859</v>
      </c>
      <c r="C1033" s="247"/>
      <c r="D1033" s="247" t="s">
        <v>2646</v>
      </c>
      <c r="E1033" s="372">
        <v>0.04</v>
      </c>
      <c r="F1033" s="360">
        <f>'UPAD-BAHAN-ALAT'!$I$96</f>
        <v>3465000</v>
      </c>
      <c r="G1033" s="248">
        <f t="shared" ref="G1033:G1038" si="6">F1033*E1033</f>
        <v>138600</v>
      </c>
    </row>
    <row r="1034" spans="1:7">
      <c r="A1034" s="247"/>
      <c r="B1034" s="410" t="s">
        <v>864</v>
      </c>
      <c r="C1034" s="247"/>
      <c r="D1034" s="247" t="s">
        <v>773</v>
      </c>
      <c r="E1034" s="372">
        <v>0.4</v>
      </c>
      <c r="F1034" s="360">
        <f>'UPAD-BAHAN-ALAT'!$I$139</f>
        <v>21000</v>
      </c>
      <c r="G1034" s="248">
        <f t="shared" si="6"/>
        <v>8400</v>
      </c>
    </row>
    <row r="1035" spans="1:7">
      <c r="A1035" s="247"/>
      <c r="B1035" s="410" t="s">
        <v>861</v>
      </c>
      <c r="C1035" s="247"/>
      <c r="D1035" s="247" t="s">
        <v>701</v>
      </c>
      <c r="E1035" s="372">
        <v>0.2</v>
      </c>
      <c r="F1035" s="360">
        <f>'UPAD-BAHAN-ALAT'!$I$518</f>
        <v>29000</v>
      </c>
      <c r="G1035" s="248">
        <f t="shared" si="6"/>
        <v>5800</v>
      </c>
    </row>
    <row r="1036" spans="1:7">
      <c r="A1036" s="247"/>
      <c r="B1036" s="410" t="s">
        <v>3535</v>
      </c>
      <c r="C1036" s="247"/>
      <c r="D1036" s="247" t="s">
        <v>2646</v>
      </c>
      <c r="E1036" s="372">
        <v>1.4999999999999999E-2</v>
      </c>
      <c r="F1036" s="360">
        <f>$F$1033</f>
        <v>3465000</v>
      </c>
      <c r="G1036" s="248">
        <f t="shared" si="6"/>
        <v>51975</v>
      </c>
    </row>
    <row r="1037" spans="1:7">
      <c r="A1037" s="247"/>
      <c r="B1037" s="410" t="s">
        <v>4588</v>
      </c>
      <c r="C1037" s="247"/>
      <c r="D1037" s="247" t="s">
        <v>715</v>
      </c>
      <c r="E1037" s="372">
        <v>0.35</v>
      </c>
      <c r="F1037" s="360">
        <f>'UPAD-BAHAN-ALAT'!$I$104</f>
        <v>159500</v>
      </c>
      <c r="G1037" s="248">
        <f t="shared" si="6"/>
        <v>55825</v>
      </c>
    </row>
    <row r="1038" spans="1:7">
      <c r="A1038" s="247"/>
      <c r="B1038" s="256" t="s">
        <v>3440</v>
      </c>
      <c r="C1038" s="247"/>
      <c r="D1038" s="247" t="s">
        <v>688</v>
      </c>
      <c r="E1038" s="375">
        <v>2</v>
      </c>
      <c r="F1038" s="360">
        <f>'UPAD-BAHAN-ALAT'!$I$91</f>
        <v>21000</v>
      </c>
      <c r="G1038" s="248">
        <f t="shared" si="6"/>
        <v>42000</v>
      </c>
    </row>
    <row r="1039" spans="1:7">
      <c r="A1039" s="247"/>
      <c r="B1039" s="410"/>
      <c r="C1039" s="247"/>
      <c r="D1039" s="247"/>
      <c r="E1039" s="1155" t="s">
        <v>702</v>
      </c>
      <c r="F1039" s="1155"/>
      <c r="G1039" s="248">
        <f>SUM(G1033:G1038)</f>
        <v>302600</v>
      </c>
    </row>
    <row r="1040" spans="1:7" s="265" customFormat="1">
      <c r="A1040" s="294" t="s">
        <v>703</v>
      </c>
      <c r="B1040" s="1151" t="s">
        <v>3910</v>
      </c>
      <c r="C1040" s="1151"/>
      <c r="D1040" s="1151"/>
      <c r="E1040" s="1151"/>
      <c r="F1040" s="1151"/>
      <c r="G1040" s="255">
        <f>G1031+G1039</f>
        <v>430970</v>
      </c>
    </row>
    <row r="1041" spans="1:8" s="265" customFormat="1">
      <c r="A1041" s="294" t="s">
        <v>706</v>
      </c>
      <c r="B1041" s="1148" t="s">
        <v>709</v>
      </c>
      <c r="C1041" s="1148"/>
      <c r="D1041" s="1148"/>
      <c r="E1041" s="1147" t="s">
        <v>4030</v>
      </c>
      <c r="F1041" s="1147"/>
      <c r="G1041" s="255">
        <f>G1040*0.15</f>
        <v>64645.5</v>
      </c>
    </row>
    <row r="1042" spans="1:8" s="265" customFormat="1">
      <c r="A1042" s="294" t="s">
        <v>708</v>
      </c>
      <c r="B1042" s="1149" t="s">
        <v>3911</v>
      </c>
      <c r="C1042" s="1149"/>
      <c r="D1042" s="1149"/>
      <c r="E1042" s="1149"/>
      <c r="F1042" s="1149"/>
      <c r="G1042" s="255">
        <f>ROUND(SUM(G1040:G1041),2)</f>
        <v>495615.5</v>
      </c>
      <c r="H1042" s="255">
        <f>SUM(G1040:G1041)</f>
        <v>495615.5</v>
      </c>
    </row>
    <row r="1044" spans="1:8">
      <c r="A1044" s="285" t="s">
        <v>4717</v>
      </c>
      <c r="B1044" s="250" t="s">
        <v>4718</v>
      </c>
      <c r="C1044" s="252"/>
      <c r="D1044" s="252"/>
      <c r="E1044" s="374"/>
      <c r="F1044" s="361"/>
      <c r="G1044" s="253"/>
    </row>
    <row r="1045" spans="1:8" ht="24.95" customHeight="1">
      <c r="A1045" s="290" t="s">
        <v>1003</v>
      </c>
      <c r="B1045" s="290" t="s">
        <v>1004</v>
      </c>
      <c r="C1045" s="290" t="s">
        <v>1005</v>
      </c>
      <c r="D1045" s="290" t="s">
        <v>1006</v>
      </c>
      <c r="E1045" s="373" t="s">
        <v>1007</v>
      </c>
      <c r="F1045" s="363" t="s">
        <v>2637</v>
      </c>
      <c r="G1045" s="291" t="s">
        <v>2638</v>
      </c>
    </row>
    <row r="1046" spans="1:8">
      <c r="A1046" s="294" t="s">
        <v>671</v>
      </c>
      <c r="B1046" s="411" t="s">
        <v>672</v>
      </c>
      <c r="C1046" s="247"/>
      <c r="D1046" s="247"/>
      <c r="E1046" s="372"/>
      <c r="F1046" s="360"/>
      <c r="G1046" s="248"/>
    </row>
    <row r="1047" spans="1:8">
      <c r="A1047" s="247"/>
      <c r="B1047" s="410" t="s">
        <v>673</v>
      </c>
      <c r="C1047" s="247" t="s">
        <v>674</v>
      </c>
      <c r="D1047" s="247" t="s">
        <v>675</v>
      </c>
      <c r="E1047" s="372">
        <v>0.66</v>
      </c>
      <c r="F1047" s="360">
        <f>'UPAD-BAHAN-ALAT'!$I$12</f>
        <v>110000</v>
      </c>
      <c r="G1047" s="248">
        <f>F1047*E1047</f>
        <v>72600</v>
      </c>
    </row>
    <row r="1048" spans="1:8">
      <c r="A1048" s="247"/>
      <c r="B1048" s="410" t="s">
        <v>677</v>
      </c>
      <c r="C1048" s="247" t="s">
        <v>678</v>
      </c>
      <c r="D1048" s="247" t="s">
        <v>675</v>
      </c>
      <c r="E1048" s="372">
        <v>0.33</v>
      </c>
      <c r="F1048" s="360">
        <f>'UPAD-BAHAN-ALAT'!$I$13</f>
        <v>140000</v>
      </c>
      <c r="G1048" s="248">
        <f>F1048*E1048</f>
        <v>46200</v>
      </c>
    </row>
    <row r="1049" spans="1:8">
      <c r="A1049" s="247"/>
      <c r="B1049" s="410" t="s">
        <v>680</v>
      </c>
      <c r="C1049" s="247" t="s">
        <v>681</v>
      </c>
      <c r="D1049" s="247" t="s">
        <v>675</v>
      </c>
      <c r="E1049" s="372">
        <v>3.3000000000000002E-2</v>
      </c>
      <c r="F1049" s="360">
        <f>'UPAD-BAHAN-ALAT'!$I$15</f>
        <v>150000</v>
      </c>
      <c r="G1049" s="248">
        <f>F1049*E1049</f>
        <v>4950</v>
      </c>
    </row>
    <row r="1050" spans="1:8">
      <c r="A1050" s="247"/>
      <c r="B1050" s="410" t="s">
        <v>683</v>
      </c>
      <c r="C1050" s="247" t="s">
        <v>684</v>
      </c>
      <c r="D1050" s="247" t="s">
        <v>675</v>
      </c>
      <c r="E1050" s="372">
        <v>3.3000000000000002E-2</v>
      </c>
      <c r="F1050" s="360">
        <f>'UPAD-BAHAN-ALAT'!$I$14</f>
        <v>140000</v>
      </c>
      <c r="G1050" s="248">
        <f>F1050*E1050</f>
        <v>4620</v>
      </c>
    </row>
    <row r="1051" spans="1:8">
      <c r="A1051" s="247"/>
      <c r="B1051" s="410"/>
      <c r="C1051" s="247"/>
      <c r="D1051" s="247"/>
      <c r="E1051" s="1146" t="s">
        <v>685</v>
      </c>
      <c r="F1051" s="1146"/>
      <c r="G1051" s="248">
        <f>SUM(G1047:G1050)</f>
        <v>128370</v>
      </c>
    </row>
    <row r="1052" spans="1:8">
      <c r="A1052" s="294" t="s">
        <v>686</v>
      </c>
      <c r="B1052" s="411" t="s">
        <v>687</v>
      </c>
      <c r="C1052" s="247"/>
      <c r="D1052" s="247"/>
      <c r="E1052" s="372"/>
      <c r="F1052" s="360"/>
      <c r="G1052" s="248"/>
    </row>
    <row r="1053" spans="1:8">
      <c r="A1053" s="247"/>
      <c r="B1053" s="410" t="s">
        <v>859</v>
      </c>
      <c r="C1053" s="247"/>
      <c r="D1053" s="247" t="s">
        <v>2646</v>
      </c>
      <c r="E1053" s="372">
        <v>0.04</v>
      </c>
      <c r="F1053" s="360">
        <f>'UPAD-BAHAN-ALAT'!$I$96</f>
        <v>3465000</v>
      </c>
      <c r="G1053" s="248">
        <f t="shared" ref="G1053:G1058" si="7">F1053*E1053</f>
        <v>138600</v>
      </c>
    </row>
    <row r="1054" spans="1:8">
      <c r="A1054" s="247"/>
      <c r="B1054" s="410" t="s">
        <v>864</v>
      </c>
      <c r="C1054" s="247"/>
      <c r="D1054" s="247" t="s">
        <v>773</v>
      </c>
      <c r="E1054" s="372">
        <v>0.4</v>
      </c>
      <c r="F1054" s="360">
        <f>'UPAD-BAHAN-ALAT'!$I$139</f>
        <v>21000</v>
      </c>
      <c r="G1054" s="248">
        <f t="shared" si="7"/>
        <v>8400</v>
      </c>
    </row>
    <row r="1055" spans="1:8">
      <c r="A1055" s="247"/>
      <c r="B1055" s="410" t="s">
        <v>861</v>
      </c>
      <c r="C1055" s="247"/>
      <c r="D1055" s="247" t="s">
        <v>701</v>
      </c>
      <c r="E1055" s="372">
        <v>0.2</v>
      </c>
      <c r="F1055" s="360">
        <f>'UPAD-BAHAN-ALAT'!$I$518</f>
        <v>29000</v>
      </c>
      <c r="G1055" s="248">
        <f t="shared" si="7"/>
        <v>5800</v>
      </c>
    </row>
    <row r="1056" spans="1:8">
      <c r="A1056" s="247"/>
      <c r="B1056" s="410" t="s">
        <v>3535</v>
      </c>
      <c r="C1056" s="247"/>
      <c r="D1056" s="247" t="s">
        <v>2646</v>
      </c>
      <c r="E1056" s="372">
        <v>1.4999999999999999E-2</v>
      </c>
      <c r="F1056" s="360">
        <f>$F$1033</f>
        <v>3465000</v>
      </c>
      <c r="G1056" s="248">
        <f t="shared" si="7"/>
        <v>51975</v>
      </c>
    </row>
    <row r="1057" spans="1:7">
      <c r="A1057" s="247"/>
      <c r="B1057" s="410" t="s">
        <v>4588</v>
      </c>
      <c r="C1057" s="247"/>
      <c r="D1057" s="247" t="s">
        <v>715</v>
      </c>
      <c r="E1057" s="372">
        <v>0.35</v>
      </c>
      <c r="F1057" s="360">
        <f>'UPAD-BAHAN-ALAT'!$I$104</f>
        <v>159500</v>
      </c>
      <c r="G1057" s="248">
        <f t="shared" si="7"/>
        <v>55825</v>
      </c>
    </row>
    <row r="1058" spans="1:7">
      <c r="A1058" s="247"/>
      <c r="B1058" s="256" t="s">
        <v>3440</v>
      </c>
      <c r="C1058" s="247"/>
      <c r="D1058" s="247" t="s">
        <v>688</v>
      </c>
      <c r="E1058" s="375">
        <v>2</v>
      </c>
      <c r="F1058" s="360">
        <f>'UPAD-BAHAN-ALAT'!$I$91</f>
        <v>21000</v>
      </c>
      <c r="G1058" s="248">
        <f t="shared" si="7"/>
        <v>42000</v>
      </c>
    </row>
    <row r="1059" spans="1:7">
      <c r="A1059" s="296"/>
      <c r="B1059" s="295"/>
      <c r="C1059" s="296"/>
      <c r="D1059" s="296"/>
      <c r="E1059" s="1183" t="s">
        <v>702</v>
      </c>
      <c r="F1059" s="1183"/>
      <c r="G1059" s="771">
        <f>SUM(G1053:G1058)</f>
        <v>302600</v>
      </c>
    </row>
    <row r="1060" spans="1:7">
      <c r="A1060" s="247"/>
      <c r="B1060" s="410"/>
      <c r="C1060" s="247"/>
      <c r="D1060" s="247"/>
      <c r="E1060" s="410" t="s">
        <v>4719</v>
      </c>
      <c r="F1060" s="410"/>
      <c r="G1060" s="248">
        <f>G1059*0.5</f>
        <v>151300</v>
      </c>
    </row>
    <row r="1061" spans="1:7">
      <c r="A1061" s="294" t="s">
        <v>703</v>
      </c>
      <c r="B1061" s="1147" t="s">
        <v>3910</v>
      </c>
      <c r="C1061" s="1147"/>
      <c r="D1061" s="1147"/>
      <c r="E1061" s="1147"/>
      <c r="F1061" s="1147"/>
      <c r="G1061" s="255">
        <f>G1051+G1060</f>
        <v>279670</v>
      </c>
    </row>
    <row r="1062" spans="1:7">
      <c r="A1062" s="294" t="s">
        <v>706</v>
      </c>
      <c r="B1062" s="1148" t="s">
        <v>709</v>
      </c>
      <c r="C1062" s="1148"/>
      <c r="D1062" s="1148"/>
      <c r="E1062" s="1147" t="s">
        <v>4030</v>
      </c>
      <c r="F1062" s="1147"/>
      <c r="G1062" s="255">
        <f>G1061*0.15</f>
        <v>41950.5</v>
      </c>
    </row>
    <row r="1063" spans="1:7">
      <c r="A1063" s="294" t="s">
        <v>708</v>
      </c>
      <c r="B1063" s="1149" t="s">
        <v>3911</v>
      </c>
      <c r="C1063" s="1149"/>
      <c r="D1063" s="1149"/>
      <c r="E1063" s="1149"/>
      <c r="F1063" s="1149"/>
      <c r="G1063" s="255">
        <f>ROUND(SUM(G1061:G1062),2)</f>
        <v>321620.5</v>
      </c>
    </row>
    <row r="1065" spans="1:7">
      <c r="A1065" s="286" t="s">
        <v>4084</v>
      </c>
      <c r="B1065" s="265" t="s">
        <v>2843</v>
      </c>
    </row>
    <row r="1066" spans="1:7" s="292" customFormat="1" ht="24.95" customHeight="1">
      <c r="A1066" s="290" t="s">
        <v>1003</v>
      </c>
      <c r="B1066" s="290" t="s">
        <v>1004</v>
      </c>
      <c r="C1066" s="290" t="s">
        <v>1005</v>
      </c>
      <c r="D1066" s="290" t="s">
        <v>1006</v>
      </c>
      <c r="E1066" s="373" t="s">
        <v>1007</v>
      </c>
      <c r="F1066" s="363" t="s">
        <v>2637</v>
      </c>
      <c r="G1066" s="291" t="s">
        <v>2638</v>
      </c>
    </row>
    <row r="1067" spans="1:7">
      <c r="A1067" s="294" t="s">
        <v>671</v>
      </c>
      <c r="B1067" s="411" t="s">
        <v>672</v>
      </c>
      <c r="C1067" s="247"/>
      <c r="D1067" s="247"/>
      <c r="E1067" s="372"/>
      <c r="F1067" s="360"/>
      <c r="G1067" s="248"/>
    </row>
    <row r="1068" spans="1:7">
      <c r="A1068" s="247"/>
      <c r="B1068" s="410" t="s">
        <v>673</v>
      </c>
      <c r="C1068" s="247" t="s">
        <v>674</v>
      </c>
      <c r="D1068" s="247" t="s">
        <v>675</v>
      </c>
      <c r="E1068" s="372">
        <v>0.66</v>
      </c>
      <c r="F1068" s="360">
        <f>'UPAD-BAHAN-ALAT'!$I$12</f>
        <v>110000</v>
      </c>
      <c r="G1068" s="248">
        <f>F1068*E1068</f>
        <v>72600</v>
      </c>
    </row>
    <row r="1069" spans="1:7">
      <c r="A1069" s="247"/>
      <c r="B1069" s="410" t="s">
        <v>677</v>
      </c>
      <c r="C1069" s="247" t="s">
        <v>678</v>
      </c>
      <c r="D1069" s="247" t="s">
        <v>675</v>
      </c>
      <c r="E1069" s="372">
        <v>0.33</v>
      </c>
      <c r="F1069" s="360">
        <f>'UPAD-BAHAN-ALAT'!$I$13</f>
        <v>140000</v>
      </c>
      <c r="G1069" s="248">
        <f>F1069*E1069</f>
        <v>46200</v>
      </c>
    </row>
    <row r="1070" spans="1:7">
      <c r="A1070" s="247"/>
      <c r="B1070" s="410" t="s">
        <v>680</v>
      </c>
      <c r="C1070" s="247" t="s">
        <v>681</v>
      </c>
      <c r="D1070" s="247" t="s">
        <v>675</v>
      </c>
      <c r="E1070" s="372">
        <v>3.3000000000000002E-2</v>
      </c>
      <c r="F1070" s="360">
        <f>'UPAD-BAHAN-ALAT'!$I$15</f>
        <v>150000</v>
      </c>
      <c r="G1070" s="248">
        <f>F1070*E1070</f>
        <v>4950</v>
      </c>
    </row>
    <row r="1071" spans="1:7">
      <c r="A1071" s="247"/>
      <c r="B1071" s="410" t="s">
        <v>683</v>
      </c>
      <c r="C1071" s="247" t="s">
        <v>684</v>
      </c>
      <c r="D1071" s="247" t="s">
        <v>675</v>
      </c>
      <c r="E1071" s="372">
        <v>3.3000000000000002E-2</v>
      </c>
      <c r="F1071" s="360">
        <f>'UPAD-BAHAN-ALAT'!$I$14</f>
        <v>140000</v>
      </c>
      <c r="G1071" s="248">
        <f>F1071*E1071</f>
        <v>4620</v>
      </c>
    </row>
    <row r="1072" spans="1:7">
      <c r="A1072" s="247"/>
      <c r="B1072" s="410"/>
      <c r="C1072" s="247"/>
      <c r="D1072" s="247"/>
      <c r="E1072" s="1146" t="s">
        <v>685</v>
      </c>
      <c r="F1072" s="1146"/>
      <c r="G1072" s="248">
        <f>SUM(G1068:G1071)</f>
        <v>128370</v>
      </c>
    </row>
    <row r="1073" spans="1:8">
      <c r="A1073" s="294" t="s">
        <v>686</v>
      </c>
      <c r="B1073" s="411" t="s">
        <v>687</v>
      </c>
      <c r="C1073" s="247"/>
      <c r="D1073" s="247"/>
      <c r="E1073" s="372"/>
      <c r="F1073" s="360"/>
      <c r="G1073" s="248"/>
    </row>
    <row r="1074" spans="1:8">
      <c r="A1074" s="247"/>
      <c r="B1074" s="410" t="s">
        <v>859</v>
      </c>
      <c r="C1074" s="247"/>
      <c r="D1074" s="247" t="s">
        <v>2646</v>
      </c>
      <c r="E1074" s="372">
        <v>0.04</v>
      </c>
      <c r="F1074" s="360">
        <f>'UPAD-BAHAN-ALAT'!$I$96</f>
        <v>3465000</v>
      </c>
      <c r="G1074" s="248">
        <f t="shared" ref="G1074:G1079" si="8">F1074*E1074</f>
        <v>138600</v>
      </c>
    </row>
    <row r="1075" spans="1:8">
      <c r="A1075" s="247"/>
      <c r="B1075" s="410" t="s">
        <v>864</v>
      </c>
      <c r="C1075" s="247"/>
      <c r="D1075" s="247" t="s">
        <v>773</v>
      </c>
      <c r="E1075" s="372">
        <v>0.4</v>
      </c>
      <c r="F1075" s="360">
        <f>'UPAD-BAHAN-ALAT'!$I$139</f>
        <v>21000</v>
      </c>
      <c r="G1075" s="248">
        <f t="shared" si="8"/>
        <v>8400</v>
      </c>
    </row>
    <row r="1076" spans="1:8">
      <c r="A1076" s="247"/>
      <c r="B1076" s="410" t="s">
        <v>861</v>
      </c>
      <c r="C1076" s="247"/>
      <c r="D1076" s="247" t="s">
        <v>701</v>
      </c>
      <c r="E1076" s="372">
        <v>0.2</v>
      </c>
      <c r="F1076" s="360">
        <f>'UPAD-BAHAN-ALAT'!$I$518</f>
        <v>29000</v>
      </c>
      <c r="G1076" s="248">
        <f t="shared" si="8"/>
        <v>5800</v>
      </c>
    </row>
    <row r="1077" spans="1:8">
      <c r="A1077" s="247"/>
      <c r="B1077" s="410" t="s">
        <v>3535</v>
      </c>
      <c r="C1077" s="247"/>
      <c r="D1077" s="247" t="s">
        <v>2646</v>
      </c>
      <c r="E1077" s="372">
        <v>1.7999999999999999E-2</v>
      </c>
      <c r="F1077" s="360">
        <f>$F$1074</f>
        <v>3465000</v>
      </c>
      <c r="G1077" s="248">
        <f t="shared" si="8"/>
        <v>62369.999999999993</v>
      </c>
    </row>
    <row r="1078" spans="1:8">
      <c r="A1078" s="247"/>
      <c r="B1078" s="297" t="s">
        <v>4012</v>
      </c>
      <c r="C1078" s="247"/>
      <c r="D1078" s="247" t="s">
        <v>715</v>
      </c>
      <c r="E1078" s="372">
        <v>0.35</v>
      </c>
      <c r="F1078" s="360">
        <f>'UPAD-BAHAN-ALAT'!$I$104</f>
        <v>159500</v>
      </c>
      <c r="G1078" s="248">
        <f t="shared" si="8"/>
        <v>55825</v>
      </c>
    </row>
    <row r="1079" spans="1:8">
      <c r="A1079" s="247"/>
      <c r="B1079" s="256" t="s">
        <v>3441</v>
      </c>
      <c r="C1079" s="247"/>
      <c r="D1079" s="247" t="s">
        <v>688</v>
      </c>
      <c r="E1079" s="375">
        <v>2</v>
      </c>
      <c r="F1079" s="360">
        <f>'UPAD-BAHAN-ALAT'!$I$91</f>
        <v>21000</v>
      </c>
      <c r="G1079" s="248">
        <f t="shared" si="8"/>
        <v>42000</v>
      </c>
    </row>
    <row r="1080" spans="1:8">
      <c r="A1080" s="247"/>
      <c r="B1080" s="410"/>
      <c r="C1080" s="247"/>
      <c r="D1080" s="247"/>
      <c r="E1080" s="1155" t="s">
        <v>702</v>
      </c>
      <c r="F1080" s="1155"/>
      <c r="G1080" s="248">
        <f>SUM(G1074:G1079)</f>
        <v>312995</v>
      </c>
    </row>
    <row r="1081" spans="1:8" s="265" customFormat="1">
      <c r="A1081" s="294" t="s">
        <v>703</v>
      </c>
      <c r="B1081" s="1151" t="s">
        <v>3910</v>
      </c>
      <c r="C1081" s="1151"/>
      <c r="D1081" s="1151"/>
      <c r="E1081" s="1151"/>
      <c r="F1081" s="1151"/>
      <c r="G1081" s="255">
        <f>G1072+G1080</f>
        <v>441365</v>
      </c>
    </row>
    <row r="1082" spans="1:8" s="265" customFormat="1">
      <c r="A1082" s="294" t="s">
        <v>706</v>
      </c>
      <c r="B1082" s="1148" t="s">
        <v>709</v>
      </c>
      <c r="C1082" s="1148"/>
      <c r="D1082" s="1148"/>
      <c r="E1082" s="1147" t="s">
        <v>4030</v>
      </c>
      <c r="F1082" s="1147"/>
      <c r="G1082" s="255">
        <f>G1081*0.15</f>
        <v>66204.75</v>
      </c>
    </row>
    <row r="1083" spans="1:8" s="265" customFormat="1">
      <c r="A1083" s="294" t="s">
        <v>708</v>
      </c>
      <c r="B1083" s="1149" t="s">
        <v>3911</v>
      </c>
      <c r="C1083" s="1149"/>
      <c r="D1083" s="1149"/>
      <c r="E1083" s="1149"/>
      <c r="F1083" s="1149"/>
      <c r="G1083" s="255">
        <f>ROUND(SUM(G1081:G1082),2)</f>
        <v>507569.75</v>
      </c>
      <c r="H1083" s="255">
        <f>SUM(G1081:G1082)</f>
        <v>507569.75</v>
      </c>
    </row>
    <row r="1084" spans="1:8">
      <c r="A1084" s="268"/>
      <c r="B1084" s="269"/>
      <c r="C1084" s="268"/>
      <c r="D1084" s="268"/>
      <c r="E1084" s="380"/>
      <c r="F1084" s="365"/>
      <c r="G1084" s="270"/>
    </row>
    <row r="1085" spans="1:8">
      <c r="A1085" s="286" t="s">
        <v>4728</v>
      </c>
      <c r="B1085" s="265" t="s">
        <v>4729</v>
      </c>
    </row>
    <row r="1086" spans="1:8" ht="24.95" customHeight="1">
      <c r="A1086" s="290" t="s">
        <v>1003</v>
      </c>
      <c r="B1086" s="290" t="s">
        <v>1004</v>
      </c>
      <c r="C1086" s="290" t="s">
        <v>1005</v>
      </c>
      <c r="D1086" s="290" t="s">
        <v>1006</v>
      </c>
      <c r="E1086" s="373" t="s">
        <v>1007</v>
      </c>
      <c r="F1086" s="363" t="s">
        <v>2637</v>
      </c>
      <c r="G1086" s="291" t="s">
        <v>2638</v>
      </c>
    </row>
    <row r="1087" spans="1:8">
      <c r="A1087" s="294" t="s">
        <v>671</v>
      </c>
      <c r="B1087" s="772" t="s">
        <v>672</v>
      </c>
      <c r="C1087" s="247"/>
      <c r="D1087" s="247"/>
      <c r="E1087" s="372"/>
      <c r="F1087" s="360"/>
      <c r="G1087" s="248"/>
    </row>
    <row r="1088" spans="1:8">
      <c r="A1088" s="247"/>
      <c r="B1088" s="773" t="s">
        <v>673</v>
      </c>
      <c r="C1088" s="247" t="s">
        <v>674</v>
      </c>
      <c r="D1088" s="247" t="s">
        <v>675</v>
      </c>
      <c r="E1088" s="372">
        <v>0.66</v>
      </c>
      <c r="F1088" s="360">
        <f>'UPAD-BAHAN-ALAT'!$I$12</f>
        <v>110000</v>
      </c>
      <c r="G1088" s="248">
        <f>F1088*E1088</f>
        <v>72600</v>
      </c>
    </row>
    <row r="1089" spans="1:7">
      <c r="A1089" s="247"/>
      <c r="B1089" s="773" t="s">
        <v>677</v>
      </c>
      <c r="C1089" s="247" t="s">
        <v>678</v>
      </c>
      <c r="D1089" s="247" t="s">
        <v>675</v>
      </c>
      <c r="E1089" s="372">
        <v>0.33</v>
      </c>
      <c r="F1089" s="360">
        <f>'UPAD-BAHAN-ALAT'!$I$13</f>
        <v>140000</v>
      </c>
      <c r="G1089" s="248">
        <f>F1089*E1089</f>
        <v>46200</v>
      </c>
    </row>
    <row r="1090" spans="1:7">
      <c r="A1090" s="247"/>
      <c r="B1090" s="773" t="s">
        <v>680</v>
      </c>
      <c r="C1090" s="247" t="s">
        <v>681</v>
      </c>
      <c r="D1090" s="247" t="s">
        <v>675</v>
      </c>
      <c r="E1090" s="372">
        <v>3.3000000000000002E-2</v>
      </c>
      <c r="F1090" s="360">
        <f>'UPAD-BAHAN-ALAT'!$I$15</f>
        <v>150000</v>
      </c>
      <c r="G1090" s="248">
        <f>F1090*E1090</f>
        <v>4950</v>
      </c>
    </row>
    <row r="1091" spans="1:7">
      <c r="A1091" s="247"/>
      <c r="B1091" s="773" t="s">
        <v>683</v>
      </c>
      <c r="C1091" s="247" t="s">
        <v>684</v>
      </c>
      <c r="D1091" s="247" t="s">
        <v>675</v>
      </c>
      <c r="E1091" s="372">
        <v>3.3000000000000002E-2</v>
      </c>
      <c r="F1091" s="360">
        <f>'UPAD-BAHAN-ALAT'!$I$14</f>
        <v>140000</v>
      </c>
      <c r="G1091" s="248">
        <f>F1091*E1091</f>
        <v>4620</v>
      </c>
    </row>
    <row r="1092" spans="1:7">
      <c r="A1092" s="247"/>
      <c r="B1092" s="773"/>
      <c r="C1092" s="247"/>
      <c r="D1092" s="247"/>
      <c r="E1092" s="1146" t="s">
        <v>685</v>
      </c>
      <c r="F1092" s="1146"/>
      <c r="G1092" s="248">
        <f>SUM(G1088:G1091)</f>
        <v>128370</v>
      </c>
    </row>
    <row r="1093" spans="1:7">
      <c r="A1093" s="294" t="s">
        <v>686</v>
      </c>
      <c r="B1093" s="772" t="s">
        <v>687</v>
      </c>
      <c r="C1093" s="247"/>
      <c r="D1093" s="247"/>
      <c r="E1093" s="372"/>
      <c r="F1093" s="360"/>
      <c r="G1093" s="248"/>
    </row>
    <row r="1094" spans="1:7">
      <c r="A1094" s="247"/>
      <c r="B1094" s="773" t="s">
        <v>859</v>
      </c>
      <c r="C1094" s="247"/>
      <c r="D1094" s="247" t="s">
        <v>2646</v>
      </c>
      <c r="E1094" s="372">
        <v>0.04</v>
      </c>
      <c r="F1094" s="360">
        <f>'UPAD-BAHAN-ALAT'!$I$96</f>
        <v>3465000</v>
      </c>
      <c r="G1094" s="248">
        <f t="shared" ref="G1094:G1099" si="9">F1094*E1094</f>
        <v>138600</v>
      </c>
    </row>
    <row r="1095" spans="1:7">
      <c r="A1095" s="247"/>
      <c r="B1095" s="773" t="s">
        <v>864</v>
      </c>
      <c r="C1095" s="247"/>
      <c r="D1095" s="247" t="s">
        <v>773</v>
      </c>
      <c r="E1095" s="372">
        <v>0.4</v>
      </c>
      <c r="F1095" s="360">
        <f>'UPAD-BAHAN-ALAT'!$I$139</f>
        <v>21000</v>
      </c>
      <c r="G1095" s="248">
        <f t="shared" si="9"/>
        <v>8400</v>
      </c>
    </row>
    <row r="1096" spans="1:7">
      <c r="A1096" s="247"/>
      <c r="B1096" s="773" t="s">
        <v>861</v>
      </c>
      <c r="C1096" s="247"/>
      <c r="D1096" s="247" t="s">
        <v>701</v>
      </c>
      <c r="E1096" s="372">
        <v>0.2</v>
      </c>
      <c r="F1096" s="360">
        <f>'UPAD-BAHAN-ALAT'!$I$518</f>
        <v>29000</v>
      </c>
      <c r="G1096" s="248">
        <f t="shared" si="9"/>
        <v>5800</v>
      </c>
    </row>
    <row r="1097" spans="1:7">
      <c r="A1097" s="247"/>
      <c r="B1097" s="773" t="s">
        <v>3535</v>
      </c>
      <c r="C1097" s="247"/>
      <c r="D1097" s="247" t="s">
        <v>2646</v>
      </c>
      <c r="E1097" s="372">
        <v>1.7999999999999999E-2</v>
      </c>
      <c r="F1097" s="360">
        <f>$F$1074</f>
        <v>3465000</v>
      </c>
      <c r="G1097" s="248">
        <f t="shared" si="9"/>
        <v>62369.999999999993</v>
      </c>
    </row>
    <row r="1098" spans="1:7">
      <c r="A1098" s="247"/>
      <c r="B1098" s="774" t="s">
        <v>4012</v>
      </c>
      <c r="C1098" s="247"/>
      <c r="D1098" s="247" t="s">
        <v>715</v>
      </c>
      <c r="E1098" s="372">
        <v>0.35</v>
      </c>
      <c r="F1098" s="360">
        <f>'UPAD-BAHAN-ALAT'!$I$104</f>
        <v>159500</v>
      </c>
      <c r="G1098" s="248">
        <f t="shared" si="9"/>
        <v>55825</v>
      </c>
    </row>
    <row r="1099" spans="1:7">
      <c r="A1099" s="247"/>
      <c r="B1099" s="256" t="s">
        <v>3441</v>
      </c>
      <c r="C1099" s="247"/>
      <c r="D1099" s="247" t="s">
        <v>688</v>
      </c>
      <c r="E1099" s="375">
        <v>2</v>
      </c>
      <c r="F1099" s="360">
        <f>'UPAD-BAHAN-ALAT'!$I$91</f>
        <v>21000</v>
      </c>
      <c r="G1099" s="248">
        <f t="shared" si="9"/>
        <v>42000</v>
      </c>
    </row>
    <row r="1100" spans="1:7">
      <c r="A1100" s="296"/>
      <c r="B1100" s="775"/>
      <c r="C1100" s="296"/>
      <c r="D1100" s="296"/>
      <c r="E1100" s="1183" t="s">
        <v>702</v>
      </c>
      <c r="F1100" s="1183"/>
      <c r="G1100" s="771">
        <f>SUM(G1094:G1099)</f>
        <v>312995</v>
      </c>
    </row>
    <row r="1101" spans="1:7">
      <c r="A1101" s="247"/>
      <c r="B1101" s="773"/>
      <c r="C1101" s="247"/>
      <c r="D1101" s="247"/>
      <c r="E1101" s="773" t="s">
        <v>4719</v>
      </c>
      <c r="F1101" s="773"/>
      <c r="G1101" s="248">
        <f>G1100*0.5</f>
        <v>156497.5</v>
      </c>
    </row>
    <row r="1102" spans="1:7">
      <c r="A1102" s="294" t="s">
        <v>703</v>
      </c>
      <c r="B1102" s="1147" t="s">
        <v>3910</v>
      </c>
      <c r="C1102" s="1147"/>
      <c r="D1102" s="1147"/>
      <c r="E1102" s="1147"/>
      <c r="F1102" s="1147"/>
      <c r="G1102" s="255">
        <f>G1092+G1101</f>
        <v>284867.5</v>
      </c>
    </row>
    <row r="1103" spans="1:7">
      <c r="A1103" s="294" t="s">
        <v>706</v>
      </c>
      <c r="B1103" s="1148" t="s">
        <v>709</v>
      </c>
      <c r="C1103" s="1148"/>
      <c r="D1103" s="1148"/>
      <c r="E1103" s="1147" t="s">
        <v>4030</v>
      </c>
      <c r="F1103" s="1147"/>
      <c r="G1103" s="255">
        <f>G1102*0.15</f>
        <v>42730.125</v>
      </c>
    </row>
    <row r="1104" spans="1:7">
      <c r="A1104" s="294" t="s">
        <v>708</v>
      </c>
      <c r="B1104" s="1149" t="s">
        <v>3911</v>
      </c>
      <c r="C1104" s="1149"/>
      <c r="D1104" s="1149"/>
      <c r="E1104" s="1149"/>
      <c r="F1104" s="1149"/>
      <c r="G1104" s="255">
        <f>ROUND(SUM(G1102:G1103),2)</f>
        <v>327597.63</v>
      </c>
    </row>
    <row r="1105" spans="1:7">
      <c r="A1105" s="252"/>
      <c r="B1105" s="251"/>
      <c r="C1105" s="252"/>
      <c r="D1105" s="252"/>
      <c r="E1105" s="374"/>
      <c r="F1105" s="361"/>
      <c r="G1105" s="253"/>
    </row>
    <row r="1106" spans="1:7">
      <c r="A1106" s="285" t="s">
        <v>4730</v>
      </c>
      <c r="B1106" s="250" t="s">
        <v>2844</v>
      </c>
      <c r="C1106" s="252"/>
      <c r="D1106" s="252"/>
      <c r="E1106" s="374"/>
      <c r="F1106" s="361"/>
      <c r="G1106" s="253"/>
    </row>
    <row r="1107" spans="1:7" s="292" customFormat="1" ht="24.95" customHeight="1">
      <c r="A1107" s="290" t="s">
        <v>1003</v>
      </c>
      <c r="B1107" s="290" t="s">
        <v>1004</v>
      </c>
      <c r="C1107" s="290" t="s">
        <v>1005</v>
      </c>
      <c r="D1107" s="290" t="s">
        <v>1006</v>
      </c>
      <c r="E1107" s="373" t="s">
        <v>1007</v>
      </c>
      <c r="F1107" s="363" t="s">
        <v>2637</v>
      </c>
      <c r="G1107" s="291" t="s">
        <v>2638</v>
      </c>
    </row>
    <row r="1108" spans="1:7">
      <c r="A1108" s="294" t="s">
        <v>671</v>
      </c>
      <c r="B1108" s="411" t="s">
        <v>672</v>
      </c>
      <c r="C1108" s="247"/>
      <c r="D1108" s="247"/>
      <c r="E1108" s="372"/>
      <c r="F1108" s="360"/>
      <c r="G1108" s="248"/>
    </row>
    <row r="1109" spans="1:7">
      <c r="A1109" s="247"/>
      <c r="B1109" s="410" t="s">
        <v>673</v>
      </c>
      <c r="C1109" s="247" t="s">
        <v>674</v>
      </c>
      <c r="D1109" s="247" t="s">
        <v>675</v>
      </c>
      <c r="E1109" s="372">
        <v>0.66</v>
      </c>
      <c r="F1109" s="360">
        <f>'UPAD-BAHAN-ALAT'!$I$12</f>
        <v>110000</v>
      </c>
      <c r="G1109" s="248">
        <f>F1109*E1109</f>
        <v>72600</v>
      </c>
    </row>
    <row r="1110" spans="1:7">
      <c r="A1110" s="247"/>
      <c r="B1110" s="410" t="s">
        <v>677</v>
      </c>
      <c r="C1110" s="247" t="s">
        <v>678</v>
      </c>
      <c r="D1110" s="247" t="s">
        <v>675</v>
      </c>
      <c r="E1110" s="372">
        <v>0.33</v>
      </c>
      <c r="F1110" s="360">
        <f>'UPAD-BAHAN-ALAT'!$I$13</f>
        <v>140000</v>
      </c>
      <c r="G1110" s="248">
        <f>F1110*E1110</f>
        <v>46200</v>
      </c>
    </row>
    <row r="1111" spans="1:7">
      <c r="A1111" s="247"/>
      <c r="B1111" s="410" t="s">
        <v>680</v>
      </c>
      <c r="C1111" s="247" t="s">
        <v>681</v>
      </c>
      <c r="D1111" s="247" t="s">
        <v>675</v>
      </c>
      <c r="E1111" s="372">
        <v>3.3000000000000002E-2</v>
      </c>
      <c r="F1111" s="360">
        <f>'UPAD-BAHAN-ALAT'!$I$15</f>
        <v>150000</v>
      </c>
      <c r="G1111" s="248">
        <f>F1111*E1111</f>
        <v>4950</v>
      </c>
    </row>
    <row r="1112" spans="1:7">
      <c r="A1112" s="247"/>
      <c r="B1112" s="410" t="s">
        <v>683</v>
      </c>
      <c r="C1112" s="247" t="s">
        <v>684</v>
      </c>
      <c r="D1112" s="247" t="s">
        <v>675</v>
      </c>
      <c r="E1112" s="372">
        <v>3.3000000000000002E-2</v>
      </c>
      <c r="F1112" s="360">
        <f>'UPAD-BAHAN-ALAT'!$I$14</f>
        <v>140000</v>
      </c>
      <c r="G1112" s="248">
        <f>F1112*E1112</f>
        <v>4620</v>
      </c>
    </row>
    <row r="1113" spans="1:7">
      <c r="A1113" s="247"/>
      <c r="B1113" s="410"/>
      <c r="C1113" s="247"/>
      <c r="D1113" s="247"/>
      <c r="E1113" s="1146" t="s">
        <v>685</v>
      </c>
      <c r="F1113" s="1146"/>
      <c r="G1113" s="248">
        <f>SUM(G1109:G1112)</f>
        <v>128370</v>
      </c>
    </row>
    <row r="1114" spans="1:7">
      <c r="A1114" s="294" t="s">
        <v>686</v>
      </c>
      <c r="B1114" s="411" t="s">
        <v>687</v>
      </c>
      <c r="C1114" s="247"/>
      <c r="D1114" s="247"/>
      <c r="E1114" s="372"/>
      <c r="F1114" s="360"/>
      <c r="G1114" s="248"/>
    </row>
    <row r="1115" spans="1:7">
      <c r="A1115" s="247"/>
      <c r="B1115" s="410" t="s">
        <v>859</v>
      </c>
      <c r="C1115" s="247"/>
      <c r="D1115" s="247" t="s">
        <v>2646</v>
      </c>
      <c r="E1115" s="372">
        <v>0.04</v>
      </c>
      <c r="F1115" s="360">
        <f>'UPAD-BAHAN-ALAT'!$I$96</f>
        <v>3465000</v>
      </c>
      <c r="G1115" s="248">
        <f t="shared" ref="G1115:G1120" si="10">F1115*E1115</f>
        <v>138600</v>
      </c>
    </row>
    <row r="1116" spans="1:7">
      <c r="A1116" s="247"/>
      <c r="B1116" s="410" t="s">
        <v>864</v>
      </c>
      <c r="C1116" s="247"/>
      <c r="D1116" s="247" t="s">
        <v>773</v>
      </c>
      <c r="E1116" s="372">
        <v>0.4</v>
      </c>
      <c r="F1116" s="360">
        <f>'UPAD-BAHAN-ALAT'!$I$139</f>
        <v>21000</v>
      </c>
      <c r="G1116" s="248">
        <f t="shared" si="10"/>
        <v>8400</v>
      </c>
    </row>
    <row r="1117" spans="1:7">
      <c r="A1117" s="247"/>
      <c r="B1117" s="410" t="s">
        <v>861</v>
      </c>
      <c r="C1117" s="247"/>
      <c r="D1117" s="247" t="s">
        <v>701</v>
      </c>
      <c r="E1117" s="372">
        <v>0.2</v>
      </c>
      <c r="F1117" s="360">
        <f>'UPAD-BAHAN-ALAT'!$I$518</f>
        <v>29000</v>
      </c>
      <c r="G1117" s="248">
        <f t="shared" si="10"/>
        <v>5800</v>
      </c>
    </row>
    <row r="1118" spans="1:7">
      <c r="A1118" s="247"/>
      <c r="B1118" s="410" t="s">
        <v>3535</v>
      </c>
      <c r="C1118" s="247"/>
      <c r="D1118" s="247" t="s">
        <v>2646</v>
      </c>
      <c r="E1118" s="372">
        <v>1.4999999999999999E-2</v>
      </c>
      <c r="F1118" s="360">
        <f>$F$1115</f>
        <v>3465000</v>
      </c>
      <c r="G1118" s="248">
        <f t="shared" si="10"/>
        <v>51975</v>
      </c>
    </row>
    <row r="1119" spans="1:7">
      <c r="A1119" s="247"/>
      <c r="B1119" s="297" t="s">
        <v>4012</v>
      </c>
      <c r="C1119" s="247"/>
      <c r="D1119" s="247" t="s">
        <v>715</v>
      </c>
      <c r="E1119" s="372">
        <v>0.35</v>
      </c>
      <c r="F1119" s="360">
        <f>'UPAD-BAHAN-ALAT'!$I$104</f>
        <v>159500</v>
      </c>
      <c r="G1119" s="248">
        <f t="shared" si="10"/>
        <v>55825</v>
      </c>
    </row>
    <row r="1120" spans="1:7">
      <c r="A1120" s="247"/>
      <c r="B1120" s="256" t="s">
        <v>3442</v>
      </c>
      <c r="C1120" s="247"/>
      <c r="D1120" s="247" t="s">
        <v>688</v>
      </c>
      <c r="E1120" s="372">
        <v>6</v>
      </c>
      <c r="F1120" s="360">
        <f>'UPAD-BAHAN-ALAT'!$I$91</f>
        <v>21000</v>
      </c>
      <c r="G1120" s="248">
        <f t="shared" si="10"/>
        <v>126000</v>
      </c>
    </row>
    <row r="1121" spans="1:8">
      <c r="A1121" s="247"/>
      <c r="B1121" s="410"/>
      <c r="C1121" s="247"/>
      <c r="D1121" s="247"/>
      <c r="E1121" s="1155" t="s">
        <v>702</v>
      </c>
      <c r="F1121" s="1155"/>
      <c r="G1121" s="248">
        <f>SUM(G1115:G1120)</f>
        <v>386600</v>
      </c>
    </row>
    <row r="1122" spans="1:8" s="265" customFormat="1">
      <c r="A1122" s="294" t="s">
        <v>703</v>
      </c>
      <c r="B1122" s="1151" t="s">
        <v>3910</v>
      </c>
      <c r="C1122" s="1151"/>
      <c r="D1122" s="1151"/>
      <c r="E1122" s="1151"/>
      <c r="F1122" s="1151"/>
      <c r="G1122" s="255">
        <f>G1113+G1121</f>
        <v>514970</v>
      </c>
    </row>
    <row r="1123" spans="1:8" s="265" customFormat="1">
      <c r="A1123" s="294" t="s">
        <v>706</v>
      </c>
      <c r="B1123" s="1148" t="s">
        <v>709</v>
      </c>
      <c r="C1123" s="1148"/>
      <c r="D1123" s="1148"/>
      <c r="E1123" s="1147" t="s">
        <v>4030</v>
      </c>
      <c r="F1123" s="1147"/>
      <c r="G1123" s="255">
        <f>G1122*0.15</f>
        <v>77245.5</v>
      </c>
    </row>
    <row r="1124" spans="1:8" s="265" customFormat="1">
      <c r="A1124" s="294" t="s">
        <v>708</v>
      </c>
      <c r="B1124" s="1149" t="s">
        <v>3911</v>
      </c>
      <c r="C1124" s="1149"/>
      <c r="D1124" s="1149"/>
      <c r="E1124" s="1149"/>
      <c r="F1124" s="1149"/>
      <c r="G1124" s="255">
        <f>ROUND(SUM(G1122:G1123),2)</f>
        <v>592215.5</v>
      </c>
      <c r="H1124" s="255">
        <f>SUM(G1122:G1123)</f>
        <v>592215.5</v>
      </c>
    </row>
    <row r="1126" spans="1:8">
      <c r="A1126" s="285" t="s">
        <v>4590</v>
      </c>
      <c r="B1126" s="250" t="s">
        <v>4731</v>
      </c>
      <c r="C1126" s="252"/>
      <c r="D1126" s="252"/>
      <c r="E1126" s="374"/>
      <c r="F1126" s="361"/>
      <c r="G1126" s="253"/>
    </row>
    <row r="1127" spans="1:8" ht="24.95" customHeight="1">
      <c r="A1127" s="290" t="s">
        <v>1003</v>
      </c>
      <c r="B1127" s="290" t="s">
        <v>1004</v>
      </c>
      <c r="C1127" s="290" t="s">
        <v>1005</v>
      </c>
      <c r="D1127" s="290" t="s">
        <v>1006</v>
      </c>
      <c r="E1127" s="373" t="s">
        <v>1007</v>
      </c>
      <c r="F1127" s="363" t="s">
        <v>2637</v>
      </c>
      <c r="G1127" s="291" t="s">
        <v>2638</v>
      </c>
    </row>
    <row r="1128" spans="1:8">
      <c r="A1128" s="294" t="s">
        <v>671</v>
      </c>
      <c r="B1128" s="772" t="s">
        <v>672</v>
      </c>
      <c r="C1128" s="247"/>
      <c r="D1128" s="247"/>
      <c r="E1128" s="372"/>
      <c r="F1128" s="360"/>
      <c r="G1128" s="248"/>
    </row>
    <row r="1129" spans="1:8">
      <c r="A1129" s="247"/>
      <c r="B1129" s="773" t="s">
        <v>673</v>
      </c>
      <c r="C1129" s="247" t="s">
        <v>674</v>
      </c>
      <c r="D1129" s="247" t="s">
        <v>675</v>
      </c>
      <c r="E1129" s="372">
        <v>0.66</v>
      </c>
      <c r="F1129" s="360">
        <f>'UPAD-BAHAN-ALAT'!$I$12</f>
        <v>110000</v>
      </c>
      <c r="G1129" s="248">
        <f>F1129*E1129</f>
        <v>72600</v>
      </c>
    </row>
    <row r="1130" spans="1:8">
      <c r="A1130" s="247"/>
      <c r="B1130" s="773" t="s">
        <v>677</v>
      </c>
      <c r="C1130" s="247" t="s">
        <v>678</v>
      </c>
      <c r="D1130" s="247" t="s">
        <v>675</v>
      </c>
      <c r="E1130" s="372">
        <v>0.33</v>
      </c>
      <c r="F1130" s="360">
        <f>'UPAD-BAHAN-ALAT'!$I$13</f>
        <v>140000</v>
      </c>
      <c r="G1130" s="248">
        <f>F1130*E1130</f>
        <v>46200</v>
      </c>
    </row>
    <row r="1131" spans="1:8">
      <c r="A1131" s="247"/>
      <c r="B1131" s="773" t="s">
        <v>680</v>
      </c>
      <c r="C1131" s="247" t="s">
        <v>681</v>
      </c>
      <c r="D1131" s="247" t="s">
        <v>675</v>
      </c>
      <c r="E1131" s="372">
        <v>3.3000000000000002E-2</v>
      </c>
      <c r="F1131" s="360">
        <f>'UPAD-BAHAN-ALAT'!$I$15</f>
        <v>150000</v>
      </c>
      <c r="G1131" s="248">
        <f>F1131*E1131</f>
        <v>4950</v>
      </c>
    </row>
    <row r="1132" spans="1:8">
      <c r="A1132" s="247"/>
      <c r="B1132" s="773" t="s">
        <v>683</v>
      </c>
      <c r="C1132" s="247" t="s">
        <v>684</v>
      </c>
      <c r="D1132" s="247" t="s">
        <v>675</v>
      </c>
      <c r="E1132" s="372">
        <v>3.3000000000000002E-2</v>
      </c>
      <c r="F1132" s="360">
        <f>'UPAD-BAHAN-ALAT'!$I$14</f>
        <v>140000</v>
      </c>
      <c r="G1132" s="248">
        <f>F1132*E1132</f>
        <v>4620</v>
      </c>
    </row>
    <row r="1133" spans="1:8">
      <c r="A1133" s="247"/>
      <c r="B1133" s="773"/>
      <c r="C1133" s="247"/>
      <c r="D1133" s="247"/>
      <c r="E1133" s="1146" t="s">
        <v>685</v>
      </c>
      <c r="F1133" s="1146"/>
      <c r="G1133" s="248">
        <f>SUM(G1129:G1132)</f>
        <v>128370</v>
      </c>
    </row>
    <row r="1134" spans="1:8">
      <c r="A1134" s="294" t="s">
        <v>686</v>
      </c>
      <c r="B1134" s="772" t="s">
        <v>687</v>
      </c>
      <c r="C1134" s="247"/>
      <c r="D1134" s="247"/>
      <c r="E1134" s="372"/>
      <c r="F1134" s="360"/>
      <c r="G1134" s="248"/>
    </row>
    <row r="1135" spans="1:8">
      <c r="A1135" s="247"/>
      <c r="B1135" s="773" t="s">
        <v>859</v>
      </c>
      <c r="C1135" s="247"/>
      <c r="D1135" s="247" t="s">
        <v>2646</v>
      </c>
      <c r="E1135" s="372">
        <v>0.04</v>
      </c>
      <c r="F1135" s="360">
        <f>'UPAD-BAHAN-ALAT'!$I$96</f>
        <v>3465000</v>
      </c>
      <c r="G1135" s="248">
        <f t="shared" ref="G1135:G1140" si="11">F1135*E1135</f>
        <v>138600</v>
      </c>
    </row>
    <row r="1136" spans="1:8">
      <c r="A1136" s="247"/>
      <c r="B1136" s="773" t="s">
        <v>864</v>
      </c>
      <c r="C1136" s="247"/>
      <c r="D1136" s="247" t="s">
        <v>773</v>
      </c>
      <c r="E1136" s="372">
        <v>0.4</v>
      </c>
      <c r="F1136" s="360">
        <f>'UPAD-BAHAN-ALAT'!$I$139</f>
        <v>21000</v>
      </c>
      <c r="G1136" s="248">
        <f t="shared" si="11"/>
        <v>8400</v>
      </c>
    </row>
    <row r="1137" spans="1:7">
      <c r="A1137" s="247"/>
      <c r="B1137" s="773" t="s">
        <v>861</v>
      </c>
      <c r="C1137" s="247"/>
      <c r="D1137" s="247" t="s">
        <v>701</v>
      </c>
      <c r="E1137" s="372">
        <v>0.2</v>
      </c>
      <c r="F1137" s="360">
        <f>'UPAD-BAHAN-ALAT'!$I$518</f>
        <v>29000</v>
      </c>
      <c r="G1137" s="248">
        <f t="shared" si="11"/>
        <v>5800</v>
      </c>
    </row>
    <row r="1138" spans="1:7">
      <c r="A1138" s="247"/>
      <c r="B1138" s="773" t="s">
        <v>3535</v>
      </c>
      <c r="C1138" s="247"/>
      <c r="D1138" s="247" t="s">
        <v>2646</v>
      </c>
      <c r="E1138" s="372">
        <v>1.4999999999999999E-2</v>
      </c>
      <c r="F1138" s="360">
        <f>$F$1115</f>
        <v>3465000</v>
      </c>
      <c r="G1138" s="248">
        <f t="shared" si="11"/>
        <v>51975</v>
      </c>
    </row>
    <row r="1139" spans="1:7">
      <c r="A1139" s="247"/>
      <c r="B1139" s="774" t="s">
        <v>4012</v>
      </c>
      <c r="C1139" s="247"/>
      <c r="D1139" s="247" t="s">
        <v>715</v>
      </c>
      <c r="E1139" s="372">
        <v>0.35</v>
      </c>
      <c r="F1139" s="360">
        <f>'UPAD-BAHAN-ALAT'!$I$104</f>
        <v>159500</v>
      </c>
      <c r="G1139" s="248">
        <f t="shared" si="11"/>
        <v>55825</v>
      </c>
    </row>
    <row r="1140" spans="1:7">
      <c r="A1140" s="247"/>
      <c r="B1140" s="256" t="s">
        <v>3442</v>
      </c>
      <c r="C1140" s="247"/>
      <c r="D1140" s="247" t="s">
        <v>688</v>
      </c>
      <c r="E1140" s="372">
        <v>6</v>
      </c>
      <c r="F1140" s="360">
        <f>'UPAD-BAHAN-ALAT'!$I$91</f>
        <v>21000</v>
      </c>
      <c r="G1140" s="248">
        <f t="shared" si="11"/>
        <v>126000</v>
      </c>
    </row>
    <row r="1141" spans="1:7">
      <c r="A1141" s="247"/>
      <c r="B1141" s="773"/>
      <c r="C1141" s="247"/>
      <c r="D1141" s="247"/>
      <c r="E1141" s="1144" t="s">
        <v>702</v>
      </c>
      <c r="F1141" s="1144"/>
      <c r="G1141" s="248">
        <f>SUM(G1135:G1140)</f>
        <v>386600</v>
      </c>
    </row>
    <row r="1142" spans="1:7">
      <c r="A1142" s="247"/>
      <c r="B1142" s="773"/>
      <c r="C1142" s="247"/>
      <c r="D1142" s="247"/>
      <c r="E1142" s="773" t="s">
        <v>4719</v>
      </c>
      <c r="F1142" s="773"/>
      <c r="G1142" s="248">
        <f>G1141*0.5</f>
        <v>193300</v>
      </c>
    </row>
    <row r="1143" spans="1:7">
      <c r="A1143" s="294" t="s">
        <v>703</v>
      </c>
      <c r="B1143" s="1147" t="s">
        <v>3910</v>
      </c>
      <c r="C1143" s="1147"/>
      <c r="D1143" s="1147"/>
      <c r="E1143" s="1147"/>
      <c r="F1143" s="1147"/>
      <c r="G1143" s="255">
        <f>G1133+G1142</f>
        <v>321670</v>
      </c>
    </row>
    <row r="1144" spans="1:7">
      <c r="A1144" s="294" t="s">
        <v>706</v>
      </c>
      <c r="B1144" s="1148" t="s">
        <v>709</v>
      </c>
      <c r="C1144" s="1148"/>
      <c r="D1144" s="1148"/>
      <c r="E1144" s="1147" t="s">
        <v>4030</v>
      </c>
      <c r="F1144" s="1147"/>
      <c r="G1144" s="255">
        <f>G1143*0.15</f>
        <v>48250.5</v>
      </c>
    </row>
    <row r="1145" spans="1:7">
      <c r="A1145" s="294" t="s">
        <v>708</v>
      </c>
      <c r="B1145" s="1149" t="s">
        <v>3911</v>
      </c>
      <c r="C1145" s="1149"/>
      <c r="D1145" s="1149"/>
      <c r="E1145" s="1149"/>
      <c r="F1145" s="1149"/>
      <c r="G1145" s="255">
        <f>ROUND(SUM(G1143:G1144),2)</f>
        <v>369920.5</v>
      </c>
    </row>
    <row r="1147" spans="1:7">
      <c r="A1147" s="285" t="s">
        <v>4589</v>
      </c>
      <c r="B1147" s="250" t="s">
        <v>4591</v>
      </c>
      <c r="C1147" s="252"/>
      <c r="D1147" s="252"/>
      <c r="E1147" s="374"/>
      <c r="F1147" s="361"/>
      <c r="G1147" s="253"/>
    </row>
    <row r="1148" spans="1:7" ht="24.95" customHeight="1">
      <c r="A1148" s="290" t="s">
        <v>1003</v>
      </c>
      <c r="B1148" s="290" t="s">
        <v>1004</v>
      </c>
      <c r="C1148" s="290" t="s">
        <v>1005</v>
      </c>
      <c r="D1148" s="290" t="s">
        <v>1006</v>
      </c>
      <c r="E1148" s="373" t="s">
        <v>1007</v>
      </c>
      <c r="F1148" s="363" t="s">
        <v>2637</v>
      </c>
      <c r="G1148" s="291" t="s">
        <v>2638</v>
      </c>
    </row>
    <row r="1149" spans="1:7">
      <c r="A1149" s="294" t="s">
        <v>671</v>
      </c>
      <c r="B1149" s="411" t="s">
        <v>672</v>
      </c>
      <c r="C1149" s="247"/>
      <c r="D1149" s="247"/>
      <c r="E1149" s="372"/>
      <c r="F1149" s="360"/>
      <c r="G1149" s="248"/>
    </row>
    <row r="1150" spans="1:7">
      <c r="A1150" s="247"/>
      <c r="B1150" s="410" t="s">
        <v>673</v>
      </c>
      <c r="C1150" s="247" t="s">
        <v>674</v>
      </c>
      <c r="D1150" s="247" t="s">
        <v>675</v>
      </c>
      <c r="E1150" s="372">
        <v>0.32</v>
      </c>
      <c r="F1150" s="360">
        <f>'UPAD-BAHAN-ALAT'!$I$12</f>
        <v>110000</v>
      </c>
      <c r="G1150" s="248">
        <f>F1150*E1150</f>
        <v>35200</v>
      </c>
    </row>
    <row r="1151" spans="1:7">
      <c r="A1151" s="247"/>
      <c r="B1151" s="410" t="s">
        <v>677</v>
      </c>
      <c r="C1151" s="247" t="s">
        <v>678</v>
      </c>
      <c r="D1151" s="247" t="s">
        <v>675</v>
      </c>
      <c r="E1151" s="372">
        <v>0.33</v>
      </c>
      <c r="F1151" s="360">
        <f>'UPAD-BAHAN-ALAT'!$I$13</f>
        <v>140000</v>
      </c>
      <c r="G1151" s="248">
        <f>F1151*E1151</f>
        <v>46200</v>
      </c>
    </row>
    <row r="1152" spans="1:7">
      <c r="A1152" s="247"/>
      <c r="B1152" s="410" t="s">
        <v>680</v>
      </c>
      <c r="C1152" s="247" t="s">
        <v>681</v>
      </c>
      <c r="D1152" s="247" t="s">
        <v>675</v>
      </c>
      <c r="E1152" s="372">
        <v>3.3000000000000002E-2</v>
      </c>
      <c r="F1152" s="360">
        <f>'UPAD-BAHAN-ALAT'!$I$15</f>
        <v>150000</v>
      </c>
      <c r="G1152" s="248">
        <f>F1152*E1152</f>
        <v>4950</v>
      </c>
    </row>
    <row r="1153" spans="1:7">
      <c r="A1153" s="247"/>
      <c r="B1153" s="410" t="s">
        <v>683</v>
      </c>
      <c r="C1153" s="247" t="s">
        <v>684</v>
      </c>
      <c r="D1153" s="247" t="s">
        <v>675</v>
      </c>
      <c r="E1153" s="372">
        <v>6.0000000000000001E-3</v>
      </c>
      <c r="F1153" s="360">
        <f>'UPAD-BAHAN-ALAT'!$I$14</f>
        <v>140000</v>
      </c>
      <c r="G1153" s="248">
        <f>F1153*E1153</f>
        <v>840</v>
      </c>
    </row>
    <row r="1154" spans="1:7">
      <c r="A1154" s="247"/>
      <c r="B1154" s="410"/>
      <c r="C1154" s="247"/>
      <c r="D1154" s="247"/>
      <c r="E1154" s="1146" t="s">
        <v>685</v>
      </c>
      <c r="F1154" s="1146"/>
      <c r="G1154" s="248">
        <f>SUM(G1150:G1153)</f>
        <v>87190</v>
      </c>
    </row>
    <row r="1155" spans="1:7">
      <c r="A1155" s="294" t="s">
        <v>686</v>
      </c>
      <c r="B1155" s="411" t="s">
        <v>687</v>
      </c>
      <c r="C1155" s="247"/>
      <c r="D1155" s="247"/>
      <c r="E1155" s="372"/>
      <c r="F1155" s="360"/>
      <c r="G1155" s="248"/>
    </row>
    <row r="1156" spans="1:7">
      <c r="A1156" s="247"/>
      <c r="B1156" s="410" t="s">
        <v>859</v>
      </c>
      <c r="C1156" s="247"/>
      <c r="D1156" s="247" t="s">
        <v>2646</v>
      </c>
      <c r="E1156" s="372">
        <v>2.5000000000000001E-2</v>
      </c>
      <c r="F1156" s="360">
        <f>'UPAD-BAHAN-ALAT'!$I$96</f>
        <v>3465000</v>
      </c>
      <c r="G1156" s="248">
        <f t="shared" ref="G1156:G1161" si="12">F1156*E1156</f>
        <v>86625</v>
      </c>
    </row>
    <row r="1157" spans="1:7">
      <c r="A1157" s="247"/>
      <c r="B1157" s="410" t="s">
        <v>864</v>
      </c>
      <c r="C1157" s="247"/>
      <c r="D1157" s="247" t="s">
        <v>773</v>
      </c>
      <c r="E1157" s="372">
        <v>0.4</v>
      </c>
      <c r="F1157" s="360">
        <f>'UPAD-BAHAN-ALAT'!$I$139</f>
        <v>21000</v>
      </c>
      <c r="G1157" s="248">
        <f t="shared" si="12"/>
        <v>8400</v>
      </c>
    </row>
    <row r="1158" spans="1:7">
      <c r="A1158" s="247"/>
      <c r="B1158" s="410" t="s">
        <v>3535</v>
      </c>
      <c r="C1158" s="247"/>
      <c r="D1158" s="247" t="s">
        <v>2646</v>
      </c>
      <c r="E1158" s="372">
        <v>1.4999999999999999E-2</v>
      </c>
      <c r="F1158" s="360">
        <f>$F$1156</f>
        <v>3465000</v>
      </c>
      <c r="G1158" s="248">
        <f t="shared" si="12"/>
        <v>51975</v>
      </c>
    </row>
    <row r="1159" spans="1:7">
      <c r="A1159" s="247"/>
      <c r="B1159" s="410" t="s">
        <v>4592</v>
      </c>
      <c r="C1159" s="247"/>
      <c r="D1159" s="247" t="s">
        <v>2647</v>
      </c>
      <c r="E1159" s="372">
        <v>1.05</v>
      </c>
      <c r="F1159" s="360">
        <f>'UPAD-BAHAN-ALAT'!$I$177</f>
        <v>121500</v>
      </c>
      <c r="G1159" s="248">
        <f t="shared" si="12"/>
        <v>127575</v>
      </c>
    </row>
    <row r="1160" spans="1:7">
      <c r="A1160" s="247"/>
      <c r="B1160" s="410" t="s">
        <v>4593</v>
      </c>
      <c r="C1160" s="247"/>
      <c r="D1160" s="247" t="s">
        <v>853</v>
      </c>
      <c r="E1160" s="372">
        <v>1.05</v>
      </c>
      <c r="F1160" s="360">
        <f>'UPAD-BAHAN-ALAT'!$I$178</f>
        <v>12500</v>
      </c>
      <c r="G1160" s="248">
        <f t="shared" si="12"/>
        <v>13125</v>
      </c>
    </row>
    <row r="1161" spans="1:7">
      <c r="A1161" s="247"/>
      <c r="B1161" s="256" t="s">
        <v>3442</v>
      </c>
      <c r="C1161" s="247"/>
      <c r="D1161" s="247" t="s">
        <v>688</v>
      </c>
      <c r="E1161" s="372">
        <v>2</v>
      </c>
      <c r="F1161" s="360">
        <f>'UPAD-BAHAN-ALAT'!$I$91</f>
        <v>21000</v>
      </c>
      <c r="G1161" s="248">
        <f t="shared" si="12"/>
        <v>42000</v>
      </c>
    </row>
    <row r="1162" spans="1:7">
      <c r="A1162" s="247"/>
      <c r="B1162" s="410"/>
      <c r="C1162" s="247"/>
      <c r="D1162" s="247"/>
      <c r="E1162" s="1155" t="s">
        <v>702</v>
      </c>
      <c r="F1162" s="1155"/>
      <c r="G1162" s="248">
        <f>SUM(G1156:G1161)</f>
        <v>329700</v>
      </c>
    </row>
    <row r="1163" spans="1:7">
      <c r="A1163" s="294" t="s">
        <v>703</v>
      </c>
      <c r="B1163" s="1151" t="s">
        <v>3910</v>
      </c>
      <c r="C1163" s="1151"/>
      <c r="D1163" s="1151"/>
      <c r="E1163" s="1151"/>
      <c r="F1163" s="1151"/>
      <c r="G1163" s="255">
        <f>G1154+G1162</f>
        <v>416890</v>
      </c>
    </row>
    <row r="1164" spans="1:7">
      <c r="A1164" s="294" t="s">
        <v>706</v>
      </c>
      <c r="B1164" s="1148" t="s">
        <v>709</v>
      </c>
      <c r="C1164" s="1148"/>
      <c r="D1164" s="1148"/>
      <c r="E1164" s="1147" t="s">
        <v>4030</v>
      </c>
      <c r="F1164" s="1147"/>
      <c r="G1164" s="255">
        <f>G1163*0.15</f>
        <v>62533.5</v>
      </c>
    </row>
    <row r="1165" spans="1:7">
      <c r="A1165" s="294" t="s">
        <v>708</v>
      </c>
      <c r="B1165" s="1149" t="s">
        <v>3911</v>
      </c>
      <c r="C1165" s="1149"/>
      <c r="D1165" s="1149"/>
      <c r="E1165" s="1149"/>
      <c r="F1165" s="1149"/>
      <c r="G1165" s="255">
        <f>ROUND(SUM(G1163:G1164),2)</f>
        <v>479423.5</v>
      </c>
    </row>
    <row r="1167" spans="1:7">
      <c r="A1167" s="286" t="s">
        <v>4085</v>
      </c>
      <c r="B1167" s="265" t="s">
        <v>4596</v>
      </c>
    </row>
    <row r="1168" spans="1:7" s="292" customFormat="1" ht="24.95" customHeight="1">
      <c r="A1168" s="290" t="s">
        <v>1003</v>
      </c>
      <c r="B1168" s="293" t="s">
        <v>1004</v>
      </c>
      <c r="C1168" s="661" t="s">
        <v>1005</v>
      </c>
      <c r="D1168" s="293" t="s">
        <v>1006</v>
      </c>
      <c r="E1168" s="379" t="s">
        <v>1007</v>
      </c>
      <c r="F1168" s="389" t="s">
        <v>2637</v>
      </c>
      <c r="G1168" s="291" t="s">
        <v>2638</v>
      </c>
    </row>
    <row r="1169" spans="1:7">
      <c r="A1169" s="294" t="s">
        <v>671</v>
      </c>
      <c r="B1169" s="357" t="s">
        <v>672</v>
      </c>
      <c r="C1169" s="662"/>
      <c r="D1169" s="283"/>
      <c r="E1169" s="428"/>
      <c r="F1169" s="624"/>
      <c r="G1169" s="248"/>
    </row>
    <row r="1170" spans="1:7">
      <c r="A1170" s="247"/>
      <c r="B1170" s="355" t="s">
        <v>673</v>
      </c>
      <c r="C1170" s="662" t="s">
        <v>674</v>
      </c>
      <c r="D1170" s="283" t="s">
        <v>675</v>
      </c>
      <c r="E1170" s="428">
        <v>0.66</v>
      </c>
      <c r="F1170" s="360">
        <f>'UPAD-BAHAN-ALAT'!$I$12</f>
        <v>110000</v>
      </c>
      <c r="G1170" s="248">
        <f>F1170*E1170</f>
        <v>72600</v>
      </c>
    </row>
    <row r="1171" spans="1:7">
      <c r="A1171" s="247"/>
      <c r="B1171" s="355" t="s">
        <v>677</v>
      </c>
      <c r="C1171" s="662" t="s">
        <v>678</v>
      </c>
      <c r="D1171" s="283" t="s">
        <v>675</v>
      </c>
      <c r="E1171" s="428">
        <v>0.33</v>
      </c>
      <c r="F1171" s="360">
        <f>'UPAD-BAHAN-ALAT'!$I$13</f>
        <v>140000</v>
      </c>
      <c r="G1171" s="248">
        <f>F1171*E1171</f>
        <v>46200</v>
      </c>
    </row>
    <row r="1172" spans="1:7">
      <c r="A1172" s="247"/>
      <c r="B1172" s="355" t="s">
        <v>680</v>
      </c>
      <c r="C1172" s="662" t="s">
        <v>681</v>
      </c>
      <c r="D1172" s="283" t="s">
        <v>675</v>
      </c>
      <c r="E1172" s="428">
        <v>3.3000000000000002E-2</v>
      </c>
      <c r="F1172" s="360">
        <f>'UPAD-BAHAN-ALAT'!$I$15</f>
        <v>150000</v>
      </c>
      <c r="G1172" s="248">
        <f>F1172*E1172</f>
        <v>4950</v>
      </c>
    </row>
    <row r="1173" spans="1:7">
      <c r="A1173" s="247"/>
      <c r="B1173" s="355" t="s">
        <v>683</v>
      </c>
      <c r="C1173" s="662" t="s">
        <v>684</v>
      </c>
      <c r="D1173" s="283" t="s">
        <v>675</v>
      </c>
      <c r="E1173" s="428">
        <v>3.3000000000000002E-2</v>
      </c>
      <c r="F1173" s="360">
        <f>'UPAD-BAHAN-ALAT'!$I$14</f>
        <v>140000</v>
      </c>
      <c r="G1173" s="248">
        <f>F1173*E1173</f>
        <v>4620</v>
      </c>
    </row>
    <row r="1174" spans="1:7">
      <c r="A1174" s="247"/>
      <c r="B1174" s="355"/>
      <c r="C1174" s="662"/>
      <c r="D1174" s="283"/>
      <c r="E1174" s="428" t="s">
        <v>685</v>
      </c>
      <c r="F1174" s="663"/>
      <c r="G1174" s="248">
        <f>SUM(G1170:G1173)</f>
        <v>128370</v>
      </c>
    </row>
    <row r="1175" spans="1:7">
      <c r="A1175" s="294" t="s">
        <v>686</v>
      </c>
      <c r="B1175" s="357" t="s">
        <v>687</v>
      </c>
      <c r="C1175" s="662"/>
      <c r="D1175" s="283"/>
      <c r="E1175" s="428"/>
      <c r="F1175" s="624"/>
      <c r="G1175" s="248"/>
    </row>
    <row r="1176" spans="1:7">
      <c r="A1176" s="247"/>
      <c r="B1176" s="355" t="s">
        <v>859</v>
      </c>
      <c r="C1176" s="662"/>
      <c r="D1176" s="283" t="s">
        <v>2646</v>
      </c>
      <c r="E1176" s="428">
        <v>0.03</v>
      </c>
      <c r="F1176" s="360">
        <f>'UPAD-BAHAN-ALAT'!$I$96</f>
        <v>3465000</v>
      </c>
      <c r="G1176" s="248">
        <f t="shared" ref="G1176:G1181" si="13">F1176*E1176</f>
        <v>103950</v>
      </c>
    </row>
    <row r="1177" spans="1:7">
      <c r="A1177" s="247"/>
      <c r="B1177" s="355" t="s">
        <v>864</v>
      </c>
      <c r="C1177" s="662"/>
      <c r="D1177" s="283" t="s">
        <v>773</v>
      </c>
      <c r="E1177" s="428">
        <v>0.4</v>
      </c>
      <c r="F1177" s="360">
        <f>'UPAD-BAHAN-ALAT'!$I$139</f>
        <v>21000</v>
      </c>
      <c r="G1177" s="248">
        <f t="shared" si="13"/>
        <v>8400</v>
      </c>
    </row>
    <row r="1178" spans="1:7">
      <c r="A1178" s="247"/>
      <c r="B1178" s="355" t="s">
        <v>861</v>
      </c>
      <c r="C1178" s="662"/>
      <c r="D1178" s="283" t="s">
        <v>701</v>
      </c>
      <c r="E1178" s="428">
        <v>0.2</v>
      </c>
      <c r="F1178" s="360">
        <f>'UPAD-BAHAN-ALAT'!$I$518</f>
        <v>29000</v>
      </c>
      <c r="G1178" s="248">
        <f t="shared" si="13"/>
        <v>5800</v>
      </c>
    </row>
    <row r="1179" spans="1:7">
      <c r="A1179" s="247"/>
      <c r="B1179" s="355" t="s">
        <v>3535</v>
      </c>
      <c r="C1179" s="662"/>
      <c r="D1179" s="283" t="s">
        <v>2646</v>
      </c>
      <c r="E1179" s="428">
        <v>0.02</v>
      </c>
      <c r="F1179" s="360">
        <f>$F$1176</f>
        <v>3465000</v>
      </c>
      <c r="G1179" s="248">
        <f t="shared" si="13"/>
        <v>69300</v>
      </c>
    </row>
    <row r="1180" spans="1:7">
      <c r="A1180" s="247"/>
      <c r="B1180" s="664" t="s">
        <v>4012</v>
      </c>
      <c r="C1180" s="662"/>
      <c r="D1180" s="283" t="s">
        <v>715</v>
      </c>
      <c r="E1180" s="428">
        <v>0.35</v>
      </c>
      <c r="F1180" s="360">
        <f>'UPAD-BAHAN-ALAT'!$I$104</f>
        <v>159500</v>
      </c>
      <c r="G1180" s="248">
        <f t="shared" si="13"/>
        <v>55825</v>
      </c>
    </row>
    <row r="1181" spans="1:7">
      <c r="A1181" s="247"/>
      <c r="B1181" s="614" t="s">
        <v>2649</v>
      </c>
      <c r="C1181" s="665"/>
      <c r="D1181" s="430" t="s">
        <v>688</v>
      </c>
      <c r="E1181" s="431">
        <v>3</v>
      </c>
      <c r="F1181" s="360">
        <f>'UPAD-BAHAN-ALAT'!$I$91</f>
        <v>21000</v>
      </c>
      <c r="G1181" s="248">
        <f t="shared" si="13"/>
        <v>63000</v>
      </c>
    </row>
    <row r="1182" spans="1:7">
      <c r="A1182" s="247"/>
      <c r="B1182" s="355"/>
      <c r="C1182" s="665"/>
      <c r="D1182" s="283"/>
      <c r="E1182" s="428" t="s">
        <v>702</v>
      </c>
      <c r="F1182" s="663"/>
      <c r="G1182" s="248">
        <f>SUM(G1176:G1181)</f>
        <v>306275</v>
      </c>
    </row>
    <row r="1183" spans="1:7" s="265" customFormat="1">
      <c r="A1183" s="294" t="s">
        <v>703</v>
      </c>
      <c r="B1183" s="357" t="s">
        <v>3910</v>
      </c>
      <c r="C1183" s="666"/>
      <c r="D1183" s="610"/>
      <c r="E1183" s="611"/>
      <c r="F1183" s="616"/>
      <c r="G1183" s="255">
        <f>G1174+G1182</f>
        <v>434645</v>
      </c>
    </row>
    <row r="1184" spans="1:7" s="265" customFormat="1">
      <c r="A1184" s="294" t="s">
        <v>706</v>
      </c>
      <c r="B1184" s="617" t="s">
        <v>709</v>
      </c>
      <c r="C1184" s="667"/>
      <c r="D1184" s="618"/>
      <c r="E1184" s="613" t="s">
        <v>4030</v>
      </c>
      <c r="F1184" s="616"/>
      <c r="G1184" s="255">
        <f>G1183*0.15</f>
        <v>65196.75</v>
      </c>
    </row>
    <row r="1185" spans="1:8" s="265" customFormat="1">
      <c r="A1185" s="294" t="s">
        <v>708</v>
      </c>
      <c r="B1185" s="357" t="s">
        <v>3911</v>
      </c>
      <c r="C1185" s="666"/>
      <c r="D1185" s="610"/>
      <c r="E1185" s="611"/>
      <c r="F1185" s="616"/>
      <c r="G1185" s="255">
        <f>ROUND(SUM(G1183:G1184),2)</f>
        <v>499841.75</v>
      </c>
      <c r="H1185" s="255">
        <f>SUM(G1183:G1184)</f>
        <v>499841.75</v>
      </c>
    </row>
    <row r="1186" spans="1:8">
      <c r="A1186" s="268"/>
      <c r="B1186" s="269"/>
      <c r="C1186" s="268"/>
      <c r="D1186" s="268"/>
      <c r="E1186" s="380"/>
      <c r="F1186" s="365"/>
      <c r="G1186" s="270"/>
    </row>
    <row r="1187" spans="1:8">
      <c r="A1187" s="354" t="s">
        <v>4086</v>
      </c>
      <c r="B1187" s="250" t="s">
        <v>4575</v>
      </c>
      <c r="C1187" s="252"/>
      <c r="D1187" s="252"/>
      <c r="E1187" s="374"/>
      <c r="F1187" s="361"/>
      <c r="G1187" s="253"/>
    </row>
    <row r="1188" spans="1:8" s="292" customFormat="1" ht="24.95" customHeight="1">
      <c r="A1188" s="290" t="s">
        <v>1003</v>
      </c>
      <c r="B1188" s="290" t="s">
        <v>1004</v>
      </c>
      <c r="C1188" s="290" t="s">
        <v>1005</v>
      </c>
      <c r="D1188" s="293" t="s">
        <v>1006</v>
      </c>
      <c r="E1188" s="379" t="s">
        <v>1007</v>
      </c>
      <c r="F1188" s="389" t="s">
        <v>2637</v>
      </c>
      <c r="G1188" s="291" t="s">
        <v>2638</v>
      </c>
    </row>
    <row r="1189" spans="1:8">
      <c r="A1189" s="294" t="s">
        <v>671</v>
      </c>
      <c r="B1189" s="411" t="s">
        <v>672</v>
      </c>
      <c r="C1189" s="247"/>
      <c r="D1189" s="283"/>
      <c r="E1189" s="372"/>
      <c r="F1189" s="360"/>
      <c r="G1189" s="248"/>
    </row>
    <row r="1190" spans="1:8">
      <c r="A1190" s="247"/>
      <c r="B1190" s="410" t="s">
        <v>673</v>
      </c>
      <c r="C1190" s="247" t="s">
        <v>674</v>
      </c>
      <c r="D1190" s="283" t="s">
        <v>675</v>
      </c>
      <c r="E1190" s="428">
        <v>0.66</v>
      </c>
      <c r="F1190" s="360">
        <f>'UPAD-BAHAN-ALAT'!$I$12</f>
        <v>110000</v>
      </c>
      <c r="G1190" s="248">
        <f>F1190*E1190</f>
        <v>72600</v>
      </c>
    </row>
    <row r="1191" spans="1:8">
      <c r="A1191" s="247"/>
      <c r="B1191" s="410" t="s">
        <v>677</v>
      </c>
      <c r="C1191" s="247" t="s">
        <v>678</v>
      </c>
      <c r="D1191" s="283" t="s">
        <v>675</v>
      </c>
      <c r="E1191" s="428">
        <v>0.33</v>
      </c>
      <c r="F1191" s="360">
        <f>'UPAD-BAHAN-ALAT'!$I$13</f>
        <v>140000</v>
      </c>
      <c r="G1191" s="248">
        <f>F1191*E1191</f>
        <v>46200</v>
      </c>
    </row>
    <row r="1192" spans="1:8">
      <c r="A1192" s="247"/>
      <c r="B1192" s="410" t="s">
        <v>680</v>
      </c>
      <c r="C1192" s="247" t="s">
        <v>681</v>
      </c>
      <c r="D1192" s="283" t="s">
        <v>675</v>
      </c>
      <c r="E1192" s="428">
        <v>3.3000000000000002E-2</v>
      </c>
      <c r="F1192" s="360">
        <f>'UPAD-BAHAN-ALAT'!$I$15</f>
        <v>150000</v>
      </c>
      <c r="G1192" s="248">
        <f>F1192*E1192</f>
        <v>4950</v>
      </c>
    </row>
    <row r="1193" spans="1:8">
      <c r="A1193" s="247"/>
      <c r="B1193" s="410" t="s">
        <v>683</v>
      </c>
      <c r="C1193" s="247" t="s">
        <v>684</v>
      </c>
      <c r="D1193" s="283" t="s">
        <v>675</v>
      </c>
      <c r="E1193" s="428">
        <v>3.3000000000000002E-2</v>
      </c>
      <c r="F1193" s="360">
        <f>'UPAD-BAHAN-ALAT'!$I$14</f>
        <v>140000</v>
      </c>
      <c r="G1193" s="248">
        <f>F1193*E1193</f>
        <v>4620</v>
      </c>
    </row>
    <row r="1194" spans="1:8">
      <c r="A1194" s="247"/>
      <c r="B1194" s="410"/>
      <c r="C1194" s="247"/>
      <c r="D1194" s="283"/>
      <c r="E1194" s="428" t="s">
        <v>685</v>
      </c>
      <c r="F1194" s="390"/>
      <c r="G1194" s="248">
        <f>SUM(G1190:G1193)</f>
        <v>128370</v>
      </c>
    </row>
    <row r="1195" spans="1:8">
      <c r="A1195" s="294" t="s">
        <v>686</v>
      </c>
      <c r="B1195" s="411" t="s">
        <v>687</v>
      </c>
      <c r="C1195" s="247"/>
      <c r="D1195" s="283"/>
      <c r="E1195" s="428"/>
      <c r="F1195" s="429"/>
      <c r="G1195" s="248"/>
    </row>
    <row r="1196" spans="1:8">
      <c r="A1196" s="247"/>
      <c r="B1196" s="410" t="s">
        <v>859</v>
      </c>
      <c r="C1196" s="247"/>
      <c r="D1196" s="432" t="s">
        <v>2646</v>
      </c>
      <c r="E1196" s="428">
        <v>0.03</v>
      </c>
      <c r="F1196" s="360">
        <f>'UPAD-BAHAN-ALAT'!$I$96</f>
        <v>3465000</v>
      </c>
      <c r="G1196" s="248">
        <f t="shared" ref="G1196:G1201" si="14">F1196*E1196</f>
        <v>103950</v>
      </c>
    </row>
    <row r="1197" spans="1:8">
      <c r="A1197" s="247"/>
      <c r="B1197" s="410" t="s">
        <v>864</v>
      </c>
      <c r="C1197" s="247"/>
      <c r="D1197" s="283" t="s">
        <v>773</v>
      </c>
      <c r="E1197" s="428">
        <v>0.4</v>
      </c>
      <c r="F1197" s="360">
        <f>'UPAD-BAHAN-ALAT'!$I$139</f>
        <v>21000</v>
      </c>
      <c r="G1197" s="248">
        <f t="shared" si="14"/>
        <v>8400</v>
      </c>
    </row>
    <row r="1198" spans="1:8">
      <c r="A1198" s="247"/>
      <c r="B1198" s="410" t="s">
        <v>861</v>
      </c>
      <c r="C1198" s="247"/>
      <c r="D1198" s="283" t="s">
        <v>701</v>
      </c>
      <c r="E1198" s="428">
        <v>0.15</v>
      </c>
      <c r="F1198" s="360">
        <f>'UPAD-BAHAN-ALAT'!$I$518</f>
        <v>29000</v>
      </c>
      <c r="G1198" s="248">
        <f t="shared" si="14"/>
        <v>4350</v>
      </c>
    </row>
    <row r="1199" spans="1:8">
      <c r="A1199" s="247"/>
      <c r="B1199" s="410" t="s">
        <v>3535</v>
      </c>
      <c r="C1199" s="247"/>
      <c r="D1199" s="432" t="s">
        <v>2646</v>
      </c>
      <c r="E1199" s="428">
        <v>1.4999999999999999E-2</v>
      </c>
      <c r="F1199" s="360">
        <f>$F$1196</f>
        <v>3465000</v>
      </c>
      <c r="G1199" s="248">
        <f t="shared" si="14"/>
        <v>51975</v>
      </c>
    </row>
    <row r="1200" spans="1:8">
      <c r="A1200" s="247"/>
      <c r="B1200" s="297" t="s">
        <v>4012</v>
      </c>
      <c r="C1200" s="247"/>
      <c r="D1200" s="283" t="s">
        <v>715</v>
      </c>
      <c r="E1200" s="428">
        <v>0.35</v>
      </c>
      <c r="F1200" s="360">
        <f>'UPAD-BAHAN-ALAT'!$I$104</f>
        <v>159500</v>
      </c>
      <c r="G1200" s="248">
        <f t="shared" si="14"/>
        <v>55825</v>
      </c>
    </row>
    <row r="1201" spans="1:8">
      <c r="A1201" s="247"/>
      <c r="B1201" s="410" t="s">
        <v>2650</v>
      </c>
      <c r="C1201" s="247"/>
      <c r="D1201" s="430" t="s">
        <v>688</v>
      </c>
      <c r="E1201" s="431">
        <v>2</v>
      </c>
      <c r="F1201" s="360">
        <f>'UPAD-BAHAN-ALAT'!$I$91</f>
        <v>21000</v>
      </c>
      <c r="G1201" s="248">
        <f t="shared" si="14"/>
        <v>42000</v>
      </c>
    </row>
    <row r="1202" spans="1:8">
      <c r="A1202" s="247"/>
      <c r="B1202" s="410"/>
      <c r="C1202" s="247"/>
      <c r="D1202" s="247"/>
      <c r="E1202" s="428" t="s">
        <v>702</v>
      </c>
      <c r="F1202" s="429"/>
      <c r="G1202" s="248">
        <f>SUM(G1196:G1201)</f>
        <v>266500</v>
      </c>
    </row>
    <row r="1203" spans="1:8" s="265" customFormat="1">
      <c r="A1203" s="294" t="s">
        <v>703</v>
      </c>
      <c r="B1203" s="357" t="s">
        <v>3910</v>
      </c>
      <c r="C1203" s="610"/>
      <c r="D1203" s="610"/>
      <c r="E1203" s="611"/>
      <c r="F1203" s="639"/>
      <c r="G1203" s="255">
        <f>G1194+G1202</f>
        <v>394870</v>
      </c>
    </row>
    <row r="1204" spans="1:8" s="265" customFormat="1">
      <c r="A1204" s="294" t="s">
        <v>706</v>
      </c>
      <c r="B1204" s="617" t="s">
        <v>709</v>
      </c>
      <c r="C1204" s="618"/>
      <c r="D1204" s="633"/>
      <c r="E1204" s="613" t="s">
        <v>4030</v>
      </c>
      <c r="F1204" s="639"/>
      <c r="G1204" s="255">
        <f>G1203*0.15</f>
        <v>59230.5</v>
      </c>
    </row>
    <row r="1205" spans="1:8" s="265" customFormat="1">
      <c r="A1205" s="294" t="s">
        <v>708</v>
      </c>
      <c r="B1205" s="1149" t="s">
        <v>3911</v>
      </c>
      <c r="C1205" s="1149"/>
      <c r="D1205" s="1149"/>
      <c r="E1205" s="1149"/>
      <c r="F1205" s="1149"/>
      <c r="G1205" s="255">
        <f>ROUND(SUM(G1203:G1204),2)</f>
        <v>454100.5</v>
      </c>
      <c r="H1205" s="255">
        <f>SUM(G1203:G1204)</f>
        <v>454100.5</v>
      </c>
    </row>
    <row r="1207" spans="1:8">
      <c r="A1207" s="286" t="s">
        <v>4087</v>
      </c>
      <c r="B1207" s="265" t="s">
        <v>2845</v>
      </c>
    </row>
    <row r="1208" spans="1:8" s="292" customFormat="1" ht="24.95" customHeight="1">
      <c r="A1208" s="290" t="s">
        <v>1003</v>
      </c>
      <c r="B1208" s="290" t="s">
        <v>1004</v>
      </c>
      <c r="C1208" s="290" t="s">
        <v>1005</v>
      </c>
      <c r="D1208" s="290" t="s">
        <v>1006</v>
      </c>
      <c r="E1208" s="373" t="s">
        <v>1007</v>
      </c>
      <c r="F1208" s="363" t="s">
        <v>2639</v>
      </c>
      <c r="G1208" s="291" t="s">
        <v>2638</v>
      </c>
    </row>
    <row r="1209" spans="1:8">
      <c r="A1209" s="294" t="s">
        <v>671</v>
      </c>
      <c r="B1209" s="411" t="s">
        <v>672</v>
      </c>
      <c r="C1209" s="247"/>
      <c r="D1209" s="247"/>
      <c r="E1209" s="372"/>
      <c r="F1209" s="360"/>
      <c r="G1209" s="248"/>
    </row>
    <row r="1210" spans="1:8">
      <c r="A1210" s="247"/>
      <c r="B1210" s="410" t="s">
        <v>673</v>
      </c>
      <c r="C1210" s="247" t="s">
        <v>674</v>
      </c>
      <c r="D1210" s="247" t="s">
        <v>675</v>
      </c>
      <c r="E1210" s="372">
        <v>0.15</v>
      </c>
      <c r="F1210" s="360">
        <f>'UPAD-BAHAN-ALAT'!$I$12</f>
        <v>110000</v>
      </c>
      <c r="G1210" s="248">
        <f>F1210*E1210</f>
        <v>16500</v>
      </c>
    </row>
    <row r="1211" spans="1:8">
      <c r="A1211" s="247"/>
      <c r="B1211" s="410" t="s">
        <v>677</v>
      </c>
      <c r="C1211" s="247" t="s">
        <v>678</v>
      </c>
      <c r="D1211" s="247" t="s">
        <v>675</v>
      </c>
      <c r="E1211" s="372">
        <v>0.05</v>
      </c>
      <c r="F1211" s="360">
        <f>'UPAD-BAHAN-ALAT'!$I$13</f>
        <v>140000</v>
      </c>
      <c r="G1211" s="248">
        <f>F1211*E1211</f>
        <v>7000</v>
      </c>
    </row>
    <row r="1212" spans="1:8">
      <c r="A1212" s="247"/>
      <c r="B1212" s="410" t="s">
        <v>680</v>
      </c>
      <c r="C1212" s="247" t="s">
        <v>681</v>
      </c>
      <c r="D1212" s="247" t="s">
        <v>675</v>
      </c>
      <c r="E1212" s="372">
        <v>5.0000000000000001E-3</v>
      </c>
      <c r="F1212" s="360">
        <f>'UPAD-BAHAN-ALAT'!$I$15</f>
        <v>150000</v>
      </c>
      <c r="G1212" s="248">
        <f>F1212*E1212</f>
        <v>750</v>
      </c>
    </row>
    <row r="1213" spans="1:8">
      <c r="A1213" s="247"/>
      <c r="B1213" s="410" t="s">
        <v>683</v>
      </c>
      <c r="C1213" s="247" t="s">
        <v>684</v>
      </c>
      <c r="D1213" s="247" t="s">
        <v>675</v>
      </c>
      <c r="E1213" s="372">
        <v>8.0000000000000002E-3</v>
      </c>
      <c r="F1213" s="360">
        <f>'UPAD-BAHAN-ALAT'!$I$14</f>
        <v>140000</v>
      </c>
      <c r="G1213" s="248">
        <f>F1213*E1213</f>
        <v>1120</v>
      </c>
    </row>
    <row r="1214" spans="1:8">
      <c r="A1214" s="247"/>
      <c r="B1214" s="410"/>
      <c r="C1214" s="247"/>
      <c r="D1214" s="247"/>
      <c r="E1214" s="1146" t="s">
        <v>685</v>
      </c>
      <c r="F1214" s="1146"/>
      <c r="G1214" s="248">
        <f>SUM(G1210:G1213)</f>
        <v>25370</v>
      </c>
    </row>
    <row r="1215" spans="1:8">
      <c r="A1215" s="294" t="s">
        <v>686</v>
      </c>
      <c r="B1215" s="411" t="s">
        <v>687</v>
      </c>
      <c r="C1215" s="247"/>
      <c r="D1215" s="247"/>
      <c r="E1215" s="372"/>
      <c r="F1215" s="360"/>
      <c r="G1215" s="248"/>
    </row>
    <row r="1216" spans="1:8">
      <c r="A1216" s="247"/>
      <c r="B1216" s="410" t="s">
        <v>869</v>
      </c>
      <c r="C1216" s="247"/>
      <c r="D1216" s="247" t="s">
        <v>2646</v>
      </c>
      <c r="E1216" s="372">
        <v>2.64E-2</v>
      </c>
      <c r="F1216" s="360">
        <f>'UPAD-BAHAN-ALAT'!$I$96</f>
        <v>3465000</v>
      </c>
      <c r="G1216" s="248">
        <f>F1216*E1216</f>
        <v>91476</v>
      </c>
    </row>
    <row r="1217" spans="1:8">
      <c r="A1217" s="247"/>
      <c r="B1217" s="410" t="s">
        <v>864</v>
      </c>
      <c r="C1217" s="247"/>
      <c r="D1217" s="247" t="s">
        <v>773</v>
      </c>
      <c r="E1217" s="372">
        <v>0.6</v>
      </c>
      <c r="F1217" s="360">
        <f>'UPAD-BAHAN-ALAT'!$I$139</f>
        <v>21000</v>
      </c>
      <c r="G1217" s="248">
        <f>F1217*E1217</f>
        <v>12600</v>
      </c>
    </row>
    <row r="1218" spans="1:8">
      <c r="A1218" s="247"/>
      <c r="B1218" s="410" t="s">
        <v>2651</v>
      </c>
      <c r="C1218" s="247"/>
      <c r="D1218" s="257" t="s">
        <v>688</v>
      </c>
      <c r="E1218" s="375">
        <v>0.5</v>
      </c>
      <c r="F1218" s="360">
        <f>'UPAD-BAHAN-ALAT'!$I$91</f>
        <v>21000</v>
      </c>
      <c r="G1218" s="248">
        <f>F1218*E1218</f>
        <v>10500</v>
      </c>
    </row>
    <row r="1219" spans="1:8">
      <c r="A1219" s="247"/>
      <c r="B1219" s="410"/>
      <c r="C1219" s="247"/>
      <c r="D1219" s="247"/>
      <c r="E1219" s="1155" t="s">
        <v>702</v>
      </c>
      <c r="F1219" s="1155"/>
      <c r="G1219" s="248">
        <f>SUM(G1216:G1218)</f>
        <v>114576</v>
      </c>
    </row>
    <row r="1220" spans="1:8" s="265" customFormat="1">
      <c r="A1220" s="294" t="s">
        <v>703</v>
      </c>
      <c r="B1220" s="1151" t="s">
        <v>3910</v>
      </c>
      <c r="C1220" s="1151"/>
      <c r="D1220" s="1151"/>
      <c r="E1220" s="1151"/>
      <c r="F1220" s="1151"/>
      <c r="G1220" s="255">
        <f>G1214+G1219</f>
        <v>139946</v>
      </c>
    </row>
    <row r="1221" spans="1:8" s="265" customFormat="1">
      <c r="A1221" s="294" t="s">
        <v>706</v>
      </c>
      <c r="B1221" s="1148" t="s">
        <v>709</v>
      </c>
      <c r="C1221" s="1148"/>
      <c r="D1221" s="1148"/>
      <c r="E1221" s="1147" t="s">
        <v>4030</v>
      </c>
      <c r="F1221" s="1147"/>
      <c r="G1221" s="255">
        <f>G1220*0.15</f>
        <v>20991.899999999998</v>
      </c>
    </row>
    <row r="1222" spans="1:8" s="265" customFormat="1">
      <c r="A1222" s="294" t="s">
        <v>708</v>
      </c>
      <c r="B1222" s="1149" t="s">
        <v>3911</v>
      </c>
      <c r="C1222" s="1149"/>
      <c r="D1222" s="1149"/>
      <c r="E1222" s="1149"/>
      <c r="F1222" s="1149"/>
      <c r="G1222" s="255">
        <f>ROUND(SUM(G1220:G1221),2)</f>
        <v>160937.9</v>
      </c>
      <c r="H1222" s="255">
        <f>SUM(G1220:G1221)</f>
        <v>160937.9</v>
      </c>
    </row>
    <row r="1223" spans="1:8">
      <c r="A1223" s="268"/>
      <c r="B1223" s="269"/>
      <c r="C1223" s="268"/>
      <c r="D1223" s="268"/>
      <c r="E1223" s="380"/>
      <c r="F1223" s="365"/>
      <c r="G1223" s="270"/>
    </row>
    <row r="1224" spans="1:8">
      <c r="A1224" s="286" t="s">
        <v>4088</v>
      </c>
      <c r="B1224" s="265" t="s">
        <v>2892</v>
      </c>
    </row>
    <row r="1225" spans="1:8" s="292" customFormat="1" ht="24.95" customHeight="1">
      <c r="A1225" s="290" t="s">
        <v>1003</v>
      </c>
      <c r="B1225" s="290" t="s">
        <v>1004</v>
      </c>
      <c r="C1225" s="290" t="s">
        <v>1005</v>
      </c>
      <c r="D1225" s="290" t="s">
        <v>1006</v>
      </c>
      <c r="E1225" s="373" t="s">
        <v>1007</v>
      </c>
      <c r="F1225" s="363" t="s">
        <v>2637</v>
      </c>
      <c r="G1225" s="291" t="s">
        <v>2638</v>
      </c>
    </row>
    <row r="1226" spans="1:8">
      <c r="A1226" s="294" t="s">
        <v>671</v>
      </c>
      <c r="B1226" s="411" t="s">
        <v>672</v>
      </c>
      <c r="C1226" s="247"/>
      <c r="D1226" s="247"/>
      <c r="E1226" s="372"/>
      <c r="F1226" s="360"/>
      <c r="G1226" s="248"/>
    </row>
    <row r="1227" spans="1:8">
      <c r="A1227" s="247"/>
      <c r="B1227" s="410" t="s">
        <v>673</v>
      </c>
      <c r="C1227" s="247" t="s">
        <v>674</v>
      </c>
      <c r="D1227" s="247" t="s">
        <v>675</v>
      </c>
      <c r="E1227" s="372">
        <v>0.18</v>
      </c>
      <c r="F1227" s="360">
        <f>'UPAD-BAHAN-ALAT'!$I$12</f>
        <v>110000</v>
      </c>
      <c r="G1227" s="248">
        <f t="shared" ref="G1227:G1232" si="15">F1227*E1227</f>
        <v>19800</v>
      </c>
    </row>
    <row r="1228" spans="1:8">
      <c r="A1228" s="247"/>
      <c r="B1228" s="410" t="s">
        <v>731</v>
      </c>
      <c r="C1228" s="247" t="s">
        <v>678</v>
      </c>
      <c r="D1228" s="247" t="s">
        <v>675</v>
      </c>
      <c r="E1228" s="372">
        <v>0.02</v>
      </c>
      <c r="F1228" s="360">
        <f>'UPAD-BAHAN-ALAT'!$I$13</f>
        <v>140000</v>
      </c>
      <c r="G1228" s="248">
        <f t="shared" si="15"/>
        <v>2800</v>
      </c>
    </row>
    <row r="1229" spans="1:8">
      <c r="A1229" s="247"/>
      <c r="B1229" s="410" t="s">
        <v>871</v>
      </c>
      <c r="C1229" s="247" t="s">
        <v>678</v>
      </c>
      <c r="D1229" s="247" t="s">
        <v>675</v>
      </c>
      <c r="E1229" s="372">
        <v>0.02</v>
      </c>
      <c r="F1229" s="360">
        <f>'UPAD-BAHAN-ALAT'!$I$13</f>
        <v>140000</v>
      </c>
      <c r="G1229" s="248">
        <f t="shared" si="15"/>
        <v>2800</v>
      </c>
    </row>
    <row r="1230" spans="1:8">
      <c r="A1230" s="247"/>
      <c r="B1230" s="410" t="s">
        <v>872</v>
      </c>
      <c r="C1230" s="247" t="s">
        <v>678</v>
      </c>
      <c r="D1230" s="247" t="s">
        <v>675</v>
      </c>
      <c r="E1230" s="372">
        <v>0.02</v>
      </c>
      <c r="F1230" s="360">
        <f>'UPAD-BAHAN-ALAT'!$I$13</f>
        <v>140000</v>
      </c>
      <c r="G1230" s="248">
        <f t="shared" si="15"/>
        <v>2800</v>
      </c>
    </row>
    <row r="1231" spans="1:8">
      <c r="A1231" s="247"/>
      <c r="B1231" s="410" t="s">
        <v>751</v>
      </c>
      <c r="C1231" s="247" t="s">
        <v>681</v>
      </c>
      <c r="D1231" s="247" t="s">
        <v>675</v>
      </c>
      <c r="E1231" s="372">
        <v>6.0000000000000001E-3</v>
      </c>
      <c r="F1231" s="360">
        <f>'UPAD-BAHAN-ALAT'!$I$15</f>
        <v>150000</v>
      </c>
      <c r="G1231" s="248">
        <f t="shared" si="15"/>
        <v>900</v>
      </c>
    </row>
    <row r="1232" spans="1:8">
      <c r="A1232" s="247"/>
      <c r="B1232" s="410" t="s">
        <v>683</v>
      </c>
      <c r="C1232" s="247" t="s">
        <v>684</v>
      </c>
      <c r="D1232" s="247" t="s">
        <v>675</v>
      </c>
      <c r="E1232" s="372">
        <v>8.9999999999999993E-3</v>
      </c>
      <c r="F1232" s="360">
        <f>'UPAD-BAHAN-ALAT'!$I$14</f>
        <v>140000</v>
      </c>
      <c r="G1232" s="248">
        <f t="shared" si="15"/>
        <v>1260</v>
      </c>
    </row>
    <row r="1233" spans="1:8">
      <c r="A1233" s="247"/>
      <c r="B1233" s="410"/>
      <c r="C1233" s="247"/>
      <c r="D1233" s="247"/>
      <c r="E1233" s="1146" t="s">
        <v>685</v>
      </c>
      <c r="F1233" s="1146"/>
      <c r="G1233" s="248">
        <f>SUM(G1227:G1232)</f>
        <v>30360</v>
      </c>
    </row>
    <row r="1234" spans="1:8">
      <c r="A1234" s="294" t="s">
        <v>686</v>
      </c>
      <c r="B1234" s="411" t="s">
        <v>687</v>
      </c>
      <c r="C1234" s="247"/>
      <c r="D1234" s="247"/>
      <c r="E1234" s="372"/>
      <c r="F1234" s="360"/>
      <c r="G1234" s="248"/>
    </row>
    <row r="1235" spans="1:8">
      <c r="A1235" s="247"/>
      <c r="B1235" s="410" t="s">
        <v>859</v>
      </c>
      <c r="C1235" s="247"/>
      <c r="D1235" s="247" t="s">
        <v>2646</v>
      </c>
      <c r="E1235" s="372">
        <v>2E-3</v>
      </c>
      <c r="F1235" s="429">
        <f>'UPAD-BAHAN-ALAT'!$I$96</f>
        <v>3465000</v>
      </c>
      <c r="G1235" s="248">
        <f t="shared" ref="G1235:G1241" si="16">F1235*E1235</f>
        <v>6930</v>
      </c>
    </row>
    <row r="1236" spans="1:8">
      <c r="A1236" s="247"/>
      <c r="B1236" s="410" t="s">
        <v>864</v>
      </c>
      <c r="C1236" s="247"/>
      <c r="D1236" s="247" t="s">
        <v>773</v>
      </c>
      <c r="E1236" s="372">
        <v>0.01</v>
      </c>
      <c r="F1236" s="429">
        <f>'UPAD-BAHAN-ALAT'!$I$139</f>
        <v>21000</v>
      </c>
      <c r="G1236" s="248">
        <f t="shared" si="16"/>
        <v>210</v>
      </c>
    </row>
    <row r="1237" spans="1:8">
      <c r="A1237" s="247"/>
      <c r="B1237" s="410" t="s">
        <v>875</v>
      </c>
      <c r="C1237" s="247"/>
      <c r="D1237" s="247" t="s">
        <v>773</v>
      </c>
      <c r="E1237" s="372">
        <v>3</v>
      </c>
      <c r="F1237" s="429">
        <f>'UPAD-BAHAN-ALAT'!$I$112</f>
        <v>13200</v>
      </c>
      <c r="G1237" s="248">
        <f t="shared" si="16"/>
        <v>39600</v>
      </c>
    </row>
    <row r="1238" spans="1:8">
      <c r="A1238" s="247"/>
      <c r="B1238" s="410" t="s">
        <v>835</v>
      </c>
      <c r="C1238" s="247"/>
      <c r="D1238" s="247" t="s">
        <v>773</v>
      </c>
      <c r="E1238" s="372">
        <v>0.45</v>
      </c>
      <c r="F1238" s="429">
        <f>'UPAD-BAHAN-ALAT'!$I$119</f>
        <v>24200</v>
      </c>
      <c r="G1238" s="248">
        <f t="shared" si="16"/>
        <v>10890</v>
      </c>
    </row>
    <row r="1239" spans="1:8">
      <c r="A1239" s="247"/>
      <c r="B1239" s="410" t="s">
        <v>738</v>
      </c>
      <c r="C1239" s="247"/>
      <c r="D1239" s="247" t="s">
        <v>773</v>
      </c>
      <c r="E1239" s="372">
        <v>4</v>
      </c>
      <c r="F1239" s="429">
        <f>'UPAD-BAHAN-ALAT'!$I$77</f>
        <v>1625</v>
      </c>
      <c r="G1239" s="248">
        <f t="shared" si="16"/>
        <v>6500</v>
      </c>
    </row>
    <row r="1240" spans="1:8">
      <c r="A1240" s="247"/>
      <c r="B1240" s="410" t="s">
        <v>831</v>
      </c>
      <c r="C1240" s="247"/>
      <c r="D1240" s="247" t="s">
        <v>2646</v>
      </c>
      <c r="E1240" s="372">
        <v>6.0000000000000001E-3</v>
      </c>
      <c r="F1240" s="429">
        <f>'UPAD-BAHAN-ALAT'!$I$71</f>
        <v>176000</v>
      </c>
      <c r="G1240" s="248">
        <f t="shared" si="16"/>
        <v>1056</v>
      </c>
    </row>
    <row r="1241" spans="1:8">
      <c r="A1241" s="247"/>
      <c r="B1241" s="410" t="s">
        <v>833</v>
      </c>
      <c r="C1241" s="247"/>
      <c r="D1241" s="247" t="s">
        <v>2646</v>
      </c>
      <c r="E1241" s="372">
        <v>8.9999999999999993E-3</v>
      </c>
      <c r="F1241" s="429">
        <f>'UPAD-BAHAN-ALAT'!$I$69</f>
        <v>298200</v>
      </c>
      <c r="G1241" s="248">
        <f t="shared" si="16"/>
        <v>2683.7999999999997</v>
      </c>
    </row>
    <row r="1242" spans="1:8">
      <c r="A1242" s="247"/>
      <c r="B1242" s="410"/>
      <c r="C1242" s="247"/>
      <c r="D1242" s="247"/>
      <c r="E1242" s="1155" t="s">
        <v>702</v>
      </c>
      <c r="F1242" s="1155"/>
      <c r="G1242" s="248">
        <f>SUM(G1235:G1241)</f>
        <v>67869.8</v>
      </c>
    </row>
    <row r="1243" spans="1:8" s="265" customFormat="1">
      <c r="A1243" s="294" t="s">
        <v>703</v>
      </c>
      <c r="B1243" s="1151" t="s">
        <v>3910</v>
      </c>
      <c r="C1243" s="1151"/>
      <c r="D1243" s="1151"/>
      <c r="E1243" s="1151"/>
      <c r="F1243" s="1151"/>
      <c r="G1243" s="255">
        <f>G1233+G1242</f>
        <v>98229.8</v>
      </c>
    </row>
    <row r="1244" spans="1:8" s="265" customFormat="1">
      <c r="A1244" s="294" t="s">
        <v>706</v>
      </c>
      <c r="B1244" s="1148" t="s">
        <v>876</v>
      </c>
      <c r="C1244" s="1148"/>
      <c r="D1244" s="1148"/>
      <c r="E1244" s="1147" t="s">
        <v>4030</v>
      </c>
      <c r="F1244" s="1147"/>
      <c r="G1244" s="255">
        <f>G1243*0.15</f>
        <v>14734.47</v>
      </c>
    </row>
    <row r="1245" spans="1:8" s="265" customFormat="1">
      <c r="A1245" s="294" t="s">
        <v>708</v>
      </c>
      <c r="B1245" s="1149" t="s">
        <v>3911</v>
      </c>
      <c r="C1245" s="1149"/>
      <c r="D1245" s="1149"/>
      <c r="E1245" s="1149"/>
      <c r="F1245" s="1149"/>
      <c r="G1245" s="255">
        <f>ROUND(SUM(G1243:G1244),2)</f>
        <v>112964.27</v>
      </c>
      <c r="H1245" s="255">
        <f>SUM(G1243:G1244)</f>
        <v>112964.27</v>
      </c>
    </row>
    <row r="1246" spans="1:8">
      <c r="A1246" s="268"/>
      <c r="B1246" s="269"/>
      <c r="C1246" s="268"/>
      <c r="D1246" s="268"/>
      <c r="E1246" s="380"/>
      <c r="F1246" s="365"/>
      <c r="G1246" s="270"/>
    </row>
    <row r="1247" spans="1:8">
      <c r="A1247" s="285" t="s">
        <v>4089</v>
      </c>
      <c r="B1247" s="250" t="s">
        <v>4574</v>
      </c>
      <c r="C1247" s="252"/>
      <c r="D1247" s="252"/>
      <c r="E1247" s="374"/>
      <c r="F1247" s="361"/>
      <c r="G1247" s="253"/>
    </row>
    <row r="1248" spans="1:8" s="292" customFormat="1" ht="24.95" customHeight="1">
      <c r="A1248" s="290" t="s">
        <v>1003</v>
      </c>
      <c r="B1248" s="290" t="s">
        <v>1004</v>
      </c>
      <c r="C1248" s="290" t="s">
        <v>1005</v>
      </c>
      <c r="D1248" s="290" t="s">
        <v>1006</v>
      </c>
      <c r="E1248" s="373" t="s">
        <v>1007</v>
      </c>
      <c r="F1248" s="363" t="s">
        <v>2637</v>
      </c>
      <c r="G1248" s="291" t="s">
        <v>2638</v>
      </c>
    </row>
    <row r="1249" spans="1:7">
      <c r="A1249" s="294" t="s">
        <v>671</v>
      </c>
      <c r="B1249" s="411" t="s">
        <v>672</v>
      </c>
      <c r="C1249" s="247"/>
      <c r="D1249" s="247"/>
      <c r="E1249" s="372"/>
      <c r="F1249" s="360"/>
      <c r="G1249" s="248"/>
    </row>
    <row r="1250" spans="1:7">
      <c r="A1250" s="247"/>
      <c r="B1250" s="410" t="s">
        <v>673</v>
      </c>
      <c r="C1250" s="247" t="s">
        <v>674</v>
      </c>
      <c r="D1250" s="247" t="s">
        <v>675</v>
      </c>
      <c r="E1250" s="372">
        <v>0.29699999999999999</v>
      </c>
      <c r="F1250" s="360">
        <f>'UPAD-BAHAN-ALAT'!$I$12</f>
        <v>110000</v>
      </c>
      <c r="G1250" s="248">
        <f t="shared" ref="G1250:G1255" si="17">F1250*E1250</f>
        <v>32670</v>
      </c>
    </row>
    <row r="1251" spans="1:7">
      <c r="A1251" s="247"/>
      <c r="B1251" s="410" t="s">
        <v>731</v>
      </c>
      <c r="C1251" s="247" t="s">
        <v>678</v>
      </c>
      <c r="D1251" s="247" t="s">
        <v>675</v>
      </c>
      <c r="E1251" s="372">
        <v>3.3000000000000002E-2</v>
      </c>
      <c r="F1251" s="360">
        <f>'UPAD-BAHAN-ALAT'!$I$13</f>
        <v>140000</v>
      </c>
      <c r="G1251" s="248">
        <f t="shared" si="17"/>
        <v>4620</v>
      </c>
    </row>
    <row r="1252" spans="1:7">
      <c r="A1252" s="247"/>
      <c r="B1252" s="410" t="s">
        <v>871</v>
      </c>
      <c r="C1252" s="247" t="s">
        <v>678</v>
      </c>
      <c r="D1252" s="247" t="s">
        <v>675</v>
      </c>
      <c r="E1252" s="372">
        <v>3.3000000000000002E-2</v>
      </c>
      <c r="F1252" s="360">
        <f>'UPAD-BAHAN-ALAT'!$I$13</f>
        <v>140000</v>
      </c>
      <c r="G1252" s="248">
        <f t="shared" si="17"/>
        <v>4620</v>
      </c>
    </row>
    <row r="1253" spans="1:7">
      <c r="A1253" s="247"/>
      <c r="B1253" s="410" t="s">
        <v>872</v>
      </c>
      <c r="C1253" s="247" t="s">
        <v>678</v>
      </c>
      <c r="D1253" s="247" t="s">
        <v>675</v>
      </c>
      <c r="E1253" s="372">
        <v>3.3000000000000002E-2</v>
      </c>
      <c r="F1253" s="360">
        <f>'UPAD-BAHAN-ALAT'!$I$13</f>
        <v>140000</v>
      </c>
      <c r="G1253" s="248">
        <f t="shared" si="17"/>
        <v>4620</v>
      </c>
    </row>
    <row r="1254" spans="1:7">
      <c r="A1254" s="247"/>
      <c r="B1254" s="410" t="s">
        <v>751</v>
      </c>
      <c r="C1254" s="247" t="s">
        <v>681</v>
      </c>
      <c r="D1254" s="247" t="s">
        <v>675</v>
      </c>
      <c r="E1254" s="372">
        <v>0.01</v>
      </c>
      <c r="F1254" s="360">
        <f>'UPAD-BAHAN-ALAT'!$I$15</f>
        <v>150000</v>
      </c>
      <c r="G1254" s="248">
        <f t="shared" si="17"/>
        <v>1500</v>
      </c>
    </row>
    <row r="1255" spans="1:7">
      <c r="A1255" s="247"/>
      <c r="B1255" s="410" t="s">
        <v>683</v>
      </c>
      <c r="C1255" s="247" t="s">
        <v>684</v>
      </c>
      <c r="D1255" s="247" t="s">
        <v>675</v>
      </c>
      <c r="E1255" s="372">
        <v>1.4999999999999999E-2</v>
      </c>
      <c r="F1255" s="360">
        <f>'UPAD-BAHAN-ALAT'!$I$14</f>
        <v>140000</v>
      </c>
      <c r="G1255" s="248">
        <f t="shared" si="17"/>
        <v>2100</v>
      </c>
    </row>
    <row r="1256" spans="1:7">
      <c r="A1256" s="247"/>
      <c r="B1256" s="410"/>
      <c r="C1256" s="247"/>
      <c r="D1256" s="247"/>
      <c r="E1256" s="1173" t="s">
        <v>685</v>
      </c>
      <c r="F1256" s="1173"/>
      <c r="G1256" s="248">
        <f>SUM(G1250:G1255)</f>
        <v>50130</v>
      </c>
    </row>
    <row r="1257" spans="1:7">
      <c r="A1257" s="294" t="s">
        <v>686</v>
      </c>
      <c r="B1257" s="411" t="s">
        <v>687</v>
      </c>
      <c r="C1257" s="247"/>
      <c r="D1257" s="247"/>
      <c r="E1257" s="372"/>
      <c r="F1257" s="360"/>
      <c r="G1257" s="248"/>
    </row>
    <row r="1258" spans="1:7">
      <c r="A1258" s="247"/>
      <c r="B1258" s="410" t="s">
        <v>859</v>
      </c>
      <c r="C1258" s="247"/>
      <c r="D1258" s="247" t="s">
        <v>2646</v>
      </c>
      <c r="E1258" s="372">
        <v>3.0000000000000001E-3</v>
      </c>
      <c r="F1258" s="429">
        <f>'UPAD-BAHAN-ALAT'!$I$96</f>
        <v>3465000</v>
      </c>
      <c r="G1258" s="248">
        <f t="shared" ref="G1258:G1264" si="18">F1258*E1258</f>
        <v>10395</v>
      </c>
    </row>
    <row r="1259" spans="1:7">
      <c r="A1259" s="247"/>
      <c r="B1259" s="410" t="s">
        <v>864</v>
      </c>
      <c r="C1259" s="247"/>
      <c r="D1259" s="247" t="s">
        <v>773</v>
      </c>
      <c r="E1259" s="372">
        <v>0.02</v>
      </c>
      <c r="F1259" s="429">
        <f>'UPAD-BAHAN-ALAT'!$I$139</f>
        <v>21000</v>
      </c>
      <c r="G1259" s="248">
        <f t="shared" si="18"/>
        <v>420</v>
      </c>
    </row>
    <row r="1260" spans="1:7">
      <c r="A1260" s="247"/>
      <c r="B1260" s="410" t="s">
        <v>875</v>
      </c>
      <c r="C1260" s="247"/>
      <c r="D1260" s="247" t="s">
        <v>773</v>
      </c>
      <c r="E1260" s="372">
        <v>3.6</v>
      </c>
      <c r="F1260" s="429">
        <f>'UPAD-BAHAN-ALAT'!$I$112</f>
        <v>13200</v>
      </c>
      <c r="G1260" s="248">
        <f t="shared" si="18"/>
        <v>47520</v>
      </c>
    </row>
    <row r="1261" spans="1:7">
      <c r="A1261" s="247"/>
      <c r="B1261" s="410" t="s">
        <v>835</v>
      </c>
      <c r="C1261" s="247"/>
      <c r="D1261" s="247" t="s">
        <v>773</v>
      </c>
      <c r="E1261" s="372">
        <v>0.05</v>
      </c>
      <c r="F1261" s="429">
        <f>'UPAD-BAHAN-ALAT'!$I$119</f>
        <v>24200</v>
      </c>
      <c r="G1261" s="248">
        <f t="shared" si="18"/>
        <v>1210</v>
      </c>
    </row>
    <row r="1262" spans="1:7">
      <c r="A1262" s="247"/>
      <c r="B1262" s="410" t="s">
        <v>738</v>
      </c>
      <c r="C1262" s="247"/>
      <c r="D1262" s="247" t="s">
        <v>773</v>
      </c>
      <c r="E1262" s="372">
        <v>5.5</v>
      </c>
      <c r="F1262" s="429">
        <f>'UPAD-BAHAN-ALAT'!$I$77</f>
        <v>1625</v>
      </c>
      <c r="G1262" s="248">
        <f t="shared" si="18"/>
        <v>8937.5</v>
      </c>
    </row>
    <row r="1263" spans="1:7">
      <c r="A1263" s="247"/>
      <c r="B1263" s="410" t="s">
        <v>831</v>
      </c>
      <c r="C1263" s="247"/>
      <c r="D1263" s="247" t="s">
        <v>2646</v>
      </c>
      <c r="E1263" s="372">
        <v>8.9999999999999993E-3</v>
      </c>
      <c r="F1263" s="429">
        <f>'UPAD-BAHAN-ALAT'!$I$71</f>
        <v>176000</v>
      </c>
      <c r="G1263" s="248">
        <f t="shared" si="18"/>
        <v>1583.9999999999998</v>
      </c>
    </row>
    <row r="1264" spans="1:7">
      <c r="A1264" s="247"/>
      <c r="B1264" s="410" t="s">
        <v>833</v>
      </c>
      <c r="C1264" s="247"/>
      <c r="D1264" s="247" t="s">
        <v>2646</v>
      </c>
      <c r="E1264" s="372">
        <v>1.4999999999999999E-2</v>
      </c>
      <c r="F1264" s="429">
        <f>'UPAD-BAHAN-ALAT'!$I$69</f>
        <v>298200</v>
      </c>
      <c r="G1264" s="248">
        <f t="shared" si="18"/>
        <v>4473</v>
      </c>
    </row>
    <row r="1265" spans="1:8">
      <c r="A1265" s="247"/>
      <c r="B1265" s="410"/>
      <c r="C1265" s="247"/>
      <c r="D1265" s="247"/>
      <c r="E1265" s="381" t="s">
        <v>702</v>
      </c>
      <c r="F1265" s="366"/>
      <c r="G1265" s="248">
        <f>SUM(G1258:G1264)</f>
        <v>74539.5</v>
      </c>
    </row>
    <row r="1266" spans="1:8" s="265" customFormat="1">
      <c r="A1266" s="294" t="s">
        <v>703</v>
      </c>
      <c r="B1266" s="668" t="s">
        <v>3910</v>
      </c>
      <c r="C1266" s="669"/>
      <c r="D1266" s="669"/>
      <c r="E1266" s="670"/>
      <c r="F1266" s="671"/>
      <c r="G1266" s="255">
        <f>G1256+G1265</f>
        <v>124669.5</v>
      </c>
    </row>
    <row r="1267" spans="1:8" s="265" customFormat="1">
      <c r="A1267" s="294" t="s">
        <v>706</v>
      </c>
      <c r="B1267" s="672" t="s">
        <v>876</v>
      </c>
      <c r="C1267" s="673"/>
      <c r="D1267" s="673"/>
      <c r="E1267" s="674" t="s">
        <v>4030</v>
      </c>
      <c r="F1267" s="393"/>
      <c r="G1267" s="255">
        <f>G1266*0.15</f>
        <v>18700.424999999999</v>
      </c>
    </row>
    <row r="1268" spans="1:8" s="265" customFormat="1">
      <c r="A1268" s="294" t="s">
        <v>708</v>
      </c>
      <c r="B1268" s="675" t="s">
        <v>3911</v>
      </c>
      <c r="C1268" s="676"/>
      <c r="D1268" s="676"/>
      <c r="E1268" s="677"/>
      <c r="F1268" s="678"/>
      <c r="G1268" s="255">
        <f>ROUND(SUM(G1266:G1267),2)</f>
        <v>143369.93</v>
      </c>
      <c r="H1268" s="255">
        <f>SUM(G1266:G1267)</f>
        <v>143369.92499999999</v>
      </c>
    </row>
    <row r="1270" spans="1:8">
      <c r="A1270" s="600" t="s">
        <v>2846</v>
      </c>
      <c r="B1270" s="265" t="s">
        <v>2847</v>
      </c>
    </row>
    <row r="1271" spans="1:8">
      <c r="A1271" s="600" t="s">
        <v>4090</v>
      </c>
      <c r="B1271" s="265" t="s">
        <v>2848</v>
      </c>
    </row>
    <row r="1272" spans="1:8" s="292" customFormat="1" ht="24.95" customHeight="1">
      <c r="A1272" s="290" t="s">
        <v>1003</v>
      </c>
      <c r="B1272" s="290" t="s">
        <v>1004</v>
      </c>
      <c r="C1272" s="290" t="s">
        <v>1005</v>
      </c>
      <c r="D1272" s="290" t="s">
        <v>1006</v>
      </c>
      <c r="E1272" s="373" t="s">
        <v>1007</v>
      </c>
      <c r="F1272" s="363" t="s">
        <v>2637</v>
      </c>
      <c r="G1272" s="291" t="s">
        <v>2638</v>
      </c>
    </row>
    <row r="1273" spans="1:8">
      <c r="A1273" s="294" t="s">
        <v>671</v>
      </c>
      <c r="B1273" s="679" t="s">
        <v>672</v>
      </c>
      <c r="C1273" s="247"/>
      <c r="D1273" s="247"/>
      <c r="E1273" s="372"/>
      <c r="F1273" s="360"/>
      <c r="G1273" s="248"/>
    </row>
    <row r="1274" spans="1:8">
      <c r="A1274" s="247"/>
      <c r="B1274" s="680" t="s">
        <v>673</v>
      </c>
      <c r="C1274" s="247" t="s">
        <v>674</v>
      </c>
      <c r="D1274" s="247" t="s">
        <v>675</v>
      </c>
      <c r="E1274" s="372">
        <v>0.13200000000000001</v>
      </c>
      <c r="F1274" s="360">
        <f>'UPAD-BAHAN-ALAT'!$I$12</f>
        <v>110000</v>
      </c>
      <c r="G1274" s="248">
        <f>F1274*E1274</f>
        <v>14520</v>
      </c>
    </row>
    <row r="1275" spans="1:8">
      <c r="A1275" s="247"/>
      <c r="B1275" s="680" t="s">
        <v>731</v>
      </c>
      <c r="C1275" s="247" t="s">
        <v>678</v>
      </c>
      <c r="D1275" s="247" t="s">
        <v>675</v>
      </c>
      <c r="E1275" s="372">
        <v>2.1999999999999999E-2</v>
      </c>
      <c r="F1275" s="360">
        <f>'UPAD-BAHAN-ALAT'!$I$13</f>
        <v>140000</v>
      </c>
      <c r="G1275" s="248">
        <f>F1275*E1275</f>
        <v>3080</v>
      </c>
    </row>
    <row r="1276" spans="1:8">
      <c r="A1276" s="247"/>
      <c r="B1276" s="680" t="s">
        <v>751</v>
      </c>
      <c r="C1276" s="247" t="s">
        <v>681</v>
      </c>
      <c r="D1276" s="247" t="s">
        <v>675</v>
      </c>
      <c r="E1276" s="372">
        <v>2E-3</v>
      </c>
      <c r="F1276" s="360">
        <f>'UPAD-BAHAN-ALAT'!$I$15</f>
        <v>150000</v>
      </c>
      <c r="G1276" s="248">
        <f>F1276*E1276</f>
        <v>300</v>
      </c>
    </row>
    <row r="1277" spans="1:8">
      <c r="A1277" s="247"/>
      <c r="B1277" s="680" t="s">
        <v>683</v>
      </c>
      <c r="C1277" s="247" t="s">
        <v>684</v>
      </c>
      <c r="D1277" s="247" t="s">
        <v>675</v>
      </c>
      <c r="E1277" s="372">
        <v>7.0000000000000001E-3</v>
      </c>
      <c r="F1277" s="360">
        <f>'UPAD-BAHAN-ALAT'!$I$14</f>
        <v>140000</v>
      </c>
      <c r="G1277" s="248">
        <f>F1277*E1277</f>
        <v>980</v>
      </c>
    </row>
    <row r="1278" spans="1:8">
      <c r="A1278" s="247"/>
      <c r="B1278" s="680"/>
      <c r="C1278" s="247"/>
      <c r="D1278" s="247"/>
      <c r="E1278" s="681" t="s">
        <v>685</v>
      </c>
      <c r="F1278" s="682"/>
      <c r="G1278" s="248">
        <f>SUM(G1274:G1277)</f>
        <v>18880</v>
      </c>
    </row>
    <row r="1279" spans="1:8">
      <c r="A1279" s="294" t="s">
        <v>686</v>
      </c>
      <c r="B1279" s="679" t="s">
        <v>687</v>
      </c>
      <c r="C1279" s="247"/>
      <c r="D1279" s="247"/>
      <c r="E1279" s="372"/>
      <c r="F1279" s="360"/>
      <c r="G1279" s="248"/>
    </row>
    <row r="1280" spans="1:8">
      <c r="A1280" s="247"/>
      <c r="B1280" s="680" t="s">
        <v>790</v>
      </c>
      <c r="C1280" s="247"/>
      <c r="D1280" s="247" t="s">
        <v>690</v>
      </c>
      <c r="E1280" s="372">
        <v>26.08</v>
      </c>
      <c r="F1280" s="429">
        <f>'UPAD-BAHAN-ALAT'!$I$77</f>
        <v>1625</v>
      </c>
      <c r="G1280" s="248">
        <f>F1280*E1280</f>
        <v>42380</v>
      </c>
    </row>
    <row r="1281" spans="1:8">
      <c r="A1281" s="247"/>
      <c r="B1281" s="680" t="s">
        <v>691</v>
      </c>
      <c r="C1281" s="247"/>
      <c r="D1281" s="247" t="s">
        <v>690</v>
      </c>
      <c r="E1281" s="372">
        <v>60.8</v>
      </c>
      <c r="F1281" s="429">
        <f>'UPAD-BAHAN-ALAT'!$I$72</f>
        <v>125.70979607871148</v>
      </c>
      <c r="G1281" s="248">
        <f>F1281*E1281</f>
        <v>7643.1556015856577</v>
      </c>
    </row>
    <row r="1282" spans="1:8">
      <c r="A1282" s="247"/>
      <c r="B1282" s="680" t="s">
        <v>2946</v>
      </c>
      <c r="C1282" s="247"/>
      <c r="D1282" s="247" t="s">
        <v>690</v>
      </c>
      <c r="E1282" s="372">
        <v>82.32</v>
      </c>
      <c r="F1282" s="429">
        <f>'UPAD-BAHAN-ALAT'!$I$57</f>
        <v>353.32548165596319</v>
      </c>
      <c r="G1282" s="248">
        <f>F1282*E1282</f>
        <v>29085.753649918886</v>
      </c>
    </row>
    <row r="1283" spans="1:8">
      <c r="A1283" s="247"/>
      <c r="B1283" s="680" t="s">
        <v>842</v>
      </c>
      <c r="C1283" s="247"/>
      <c r="D1283" s="247" t="s">
        <v>896</v>
      </c>
      <c r="E1283" s="372">
        <v>17.2</v>
      </c>
      <c r="F1283" s="360">
        <f>'UPAD-BAHAN-ALAT'!$I$46</f>
        <v>35</v>
      </c>
      <c r="G1283" s="248">
        <f>F1283*E1283</f>
        <v>602</v>
      </c>
    </row>
    <row r="1284" spans="1:8">
      <c r="A1284" s="247"/>
      <c r="B1284" s="680"/>
      <c r="C1284" s="247"/>
      <c r="D1284" s="247"/>
      <c r="E1284" s="372" t="s">
        <v>702</v>
      </c>
      <c r="F1284" s="360"/>
      <c r="G1284" s="248">
        <f>SUM(G1280:G1283)</f>
        <v>79710.909251504549</v>
      </c>
    </row>
    <row r="1285" spans="1:8" s="265" customFormat="1">
      <c r="A1285" s="294" t="s">
        <v>703</v>
      </c>
      <c r="B1285" s="668" t="s">
        <v>3910</v>
      </c>
      <c r="C1285" s="669"/>
      <c r="D1285" s="294"/>
      <c r="E1285" s="674"/>
      <c r="F1285" s="393"/>
      <c r="G1285" s="255">
        <f>G1278+G1284</f>
        <v>98590.909251504549</v>
      </c>
    </row>
    <row r="1286" spans="1:8" s="265" customFormat="1">
      <c r="A1286" s="294" t="s">
        <v>706</v>
      </c>
      <c r="B1286" s="672" t="s">
        <v>876</v>
      </c>
      <c r="C1286" s="673"/>
      <c r="D1286" s="673"/>
      <c r="E1286" s="674" t="s">
        <v>4030</v>
      </c>
      <c r="F1286" s="393"/>
      <c r="G1286" s="255">
        <f>G1285*0.15</f>
        <v>14788.636387725681</v>
      </c>
    </row>
    <row r="1287" spans="1:8" s="265" customFormat="1">
      <c r="A1287" s="294" t="s">
        <v>708</v>
      </c>
      <c r="B1287" s="675" t="s">
        <v>3911</v>
      </c>
      <c r="C1287" s="676"/>
      <c r="D1287" s="676"/>
      <c r="E1287" s="677"/>
      <c r="F1287" s="678"/>
      <c r="G1287" s="255">
        <f>ROUND(SUM(G1285:G1286),2)</f>
        <v>113379.55</v>
      </c>
      <c r="H1287" s="255">
        <f>SUM(G1285:G1286)</f>
        <v>113379.54563923023</v>
      </c>
    </row>
    <row r="1289" spans="1:8">
      <c r="A1289" s="600" t="s">
        <v>4091</v>
      </c>
      <c r="B1289" s="265" t="s">
        <v>2849</v>
      </c>
    </row>
    <row r="1290" spans="1:8" s="292" customFormat="1" ht="24.95" customHeight="1">
      <c r="A1290" s="290" t="s">
        <v>1003</v>
      </c>
      <c r="B1290" s="290" t="s">
        <v>1004</v>
      </c>
      <c r="C1290" s="290" t="s">
        <v>1005</v>
      </c>
      <c r="D1290" s="290" t="s">
        <v>1006</v>
      </c>
      <c r="E1290" s="373" t="s">
        <v>1007</v>
      </c>
      <c r="F1290" s="363" t="s">
        <v>2637</v>
      </c>
      <c r="G1290" s="291" t="s">
        <v>2638</v>
      </c>
    </row>
    <row r="1291" spans="1:8">
      <c r="A1291" s="294" t="s">
        <v>671</v>
      </c>
      <c r="B1291" s="411" t="s">
        <v>672</v>
      </c>
      <c r="C1291" s="247"/>
      <c r="D1291" s="247"/>
      <c r="E1291" s="372"/>
      <c r="F1291" s="360"/>
      <c r="G1291" s="248"/>
    </row>
    <row r="1292" spans="1:8">
      <c r="A1292" s="247"/>
      <c r="B1292" s="410" t="s">
        <v>673</v>
      </c>
      <c r="C1292" s="247" t="s">
        <v>674</v>
      </c>
      <c r="D1292" s="247" t="s">
        <v>675</v>
      </c>
      <c r="E1292" s="372">
        <v>0.16500000000000001</v>
      </c>
      <c r="F1292" s="360">
        <f>'UPAD-BAHAN-ALAT'!$I$12</f>
        <v>110000</v>
      </c>
      <c r="G1292" s="248">
        <f>F1292*E1292</f>
        <v>18150</v>
      </c>
    </row>
    <row r="1293" spans="1:8">
      <c r="A1293" s="247"/>
      <c r="B1293" s="410" t="s">
        <v>731</v>
      </c>
      <c r="C1293" s="247" t="s">
        <v>678</v>
      </c>
      <c r="D1293" s="247" t="s">
        <v>675</v>
      </c>
      <c r="E1293" s="372">
        <v>2.8000000000000001E-2</v>
      </c>
      <c r="F1293" s="360">
        <f>'UPAD-BAHAN-ALAT'!$I$13</f>
        <v>140000</v>
      </c>
      <c r="G1293" s="248">
        <f>F1293*E1293</f>
        <v>3920</v>
      </c>
    </row>
    <row r="1294" spans="1:8">
      <c r="A1294" s="247"/>
      <c r="B1294" s="410" t="s">
        <v>751</v>
      </c>
      <c r="C1294" s="247" t="s">
        <v>681</v>
      </c>
      <c r="D1294" s="247" t="s">
        <v>675</v>
      </c>
      <c r="E1294" s="372">
        <v>3.0000000000000001E-3</v>
      </c>
      <c r="F1294" s="360">
        <f>'UPAD-BAHAN-ALAT'!$I$15</f>
        <v>150000</v>
      </c>
      <c r="G1294" s="248">
        <f>F1294*E1294</f>
        <v>450</v>
      </c>
    </row>
    <row r="1295" spans="1:8">
      <c r="A1295" s="247"/>
      <c r="B1295" s="410" t="s">
        <v>683</v>
      </c>
      <c r="C1295" s="247" t="s">
        <v>684</v>
      </c>
      <c r="D1295" s="247" t="s">
        <v>675</v>
      </c>
      <c r="E1295" s="372">
        <v>8.0000000000000002E-3</v>
      </c>
      <c r="F1295" s="360">
        <f>'UPAD-BAHAN-ALAT'!$I$14</f>
        <v>140000</v>
      </c>
      <c r="G1295" s="248">
        <f>F1295*E1295</f>
        <v>1120</v>
      </c>
    </row>
    <row r="1296" spans="1:8">
      <c r="A1296" s="247"/>
      <c r="B1296" s="410"/>
      <c r="C1296" s="247"/>
      <c r="D1296" s="247"/>
      <c r="E1296" s="1146" t="s">
        <v>685</v>
      </c>
      <c r="F1296" s="1146"/>
      <c r="G1296" s="248">
        <f>SUM(G1292:G1295)</f>
        <v>23640</v>
      </c>
    </row>
    <row r="1297" spans="1:8">
      <c r="A1297" s="294" t="s">
        <v>686</v>
      </c>
      <c r="B1297" s="411" t="s">
        <v>687</v>
      </c>
      <c r="C1297" s="247"/>
      <c r="D1297" s="247"/>
      <c r="E1297" s="372"/>
      <c r="F1297" s="360"/>
      <c r="G1297" s="248"/>
    </row>
    <row r="1298" spans="1:8">
      <c r="A1298" s="247"/>
      <c r="B1298" s="410" t="s">
        <v>790</v>
      </c>
      <c r="C1298" s="247"/>
      <c r="D1298" s="247" t="s">
        <v>690</v>
      </c>
      <c r="E1298" s="372">
        <v>32.6</v>
      </c>
      <c r="F1298" s="429">
        <f>'UPAD-BAHAN-ALAT'!$I$77</f>
        <v>1625</v>
      </c>
      <c r="G1298" s="248">
        <f>F1298*E1298</f>
        <v>52975</v>
      </c>
    </row>
    <row r="1299" spans="1:8">
      <c r="A1299" s="247"/>
      <c r="B1299" s="410" t="s">
        <v>691</v>
      </c>
      <c r="C1299" s="247"/>
      <c r="D1299" s="247" t="s">
        <v>690</v>
      </c>
      <c r="E1299" s="372">
        <v>76</v>
      </c>
      <c r="F1299" s="429">
        <f>'UPAD-BAHAN-ALAT'!$I$72</f>
        <v>125.70979607871148</v>
      </c>
      <c r="G1299" s="248">
        <f>F1299*E1299</f>
        <v>9553.9445019820723</v>
      </c>
    </row>
    <row r="1300" spans="1:8">
      <c r="A1300" s="247"/>
      <c r="B1300" s="680" t="s">
        <v>2946</v>
      </c>
      <c r="C1300" s="247"/>
      <c r="D1300" s="247" t="s">
        <v>690</v>
      </c>
      <c r="E1300" s="372">
        <v>102.9</v>
      </c>
      <c r="F1300" s="429">
        <f>'UPAD-BAHAN-ALAT'!$I$57</f>
        <v>353.32548165596319</v>
      </c>
      <c r="G1300" s="248">
        <f>F1300*E1300</f>
        <v>36357.192062398615</v>
      </c>
    </row>
    <row r="1301" spans="1:8">
      <c r="A1301" s="247"/>
      <c r="B1301" s="410" t="s">
        <v>842</v>
      </c>
      <c r="C1301" s="247"/>
      <c r="D1301" s="247" t="s">
        <v>896</v>
      </c>
      <c r="E1301" s="372">
        <v>21.5</v>
      </c>
      <c r="F1301" s="360">
        <f>'UPAD-BAHAN-ALAT'!$I$46</f>
        <v>35</v>
      </c>
      <c r="G1301" s="248">
        <f>F1301*E1301</f>
        <v>752.5</v>
      </c>
    </row>
    <row r="1302" spans="1:8">
      <c r="A1302" s="247"/>
      <c r="B1302" s="410"/>
      <c r="C1302" s="247"/>
      <c r="D1302" s="247"/>
      <c r="E1302" s="1144" t="s">
        <v>702</v>
      </c>
      <c r="F1302" s="1144"/>
      <c r="G1302" s="248">
        <f>SUM(G1298:G1301)</f>
        <v>99638.636564380693</v>
      </c>
    </row>
    <row r="1303" spans="1:8" s="265" customFormat="1">
      <c r="A1303" s="294" t="s">
        <v>703</v>
      </c>
      <c r="B1303" s="1151" t="s">
        <v>3910</v>
      </c>
      <c r="C1303" s="1151"/>
      <c r="D1303" s="1151"/>
      <c r="E1303" s="1151"/>
      <c r="F1303" s="1151"/>
      <c r="G1303" s="255">
        <f>G1296+G1302</f>
        <v>123278.63656438069</v>
      </c>
    </row>
    <row r="1304" spans="1:8" s="265" customFormat="1">
      <c r="A1304" s="294" t="s">
        <v>706</v>
      </c>
      <c r="B1304" s="1148" t="s">
        <v>876</v>
      </c>
      <c r="C1304" s="1148"/>
      <c r="D1304" s="1148"/>
      <c r="E1304" s="1147" t="s">
        <v>4030</v>
      </c>
      <c r="F1304" s="1147"/>
      <c r="G1304" s="255">
        <f>G1303*0.15</f>
        <v>18491.795484657105</v>
      </c>
    </row>
    <row r="1305" spans="1:8" s="265" customFormat="1">
      <c r="A1305" s="294" t="s">
        <v>708</v>
      </c>
      <c r="B1305" s="1149" t="s">
        <v>3911</v>
      </c>
      <c r="C1305" s="1149"/>
      <c r="D1305" s="1149"/>
      <c r="E1305" s="1149"/>
      <c r="F1305" s="1149"/>
      <c r="G1305" s="255">
        <f>ROUND(SUM(G1303:G1304),2)</f>
        <v>141770.43</v>
      </c>
      <c r="H1305" s="255">
        <f>SUM(G1303:G1304)</f>
        <v>141770.4320490378</v>
      </c>
    </row>
    <row r="1306" spans="1:8">
      <c r="A1306" s="268"/>
      <c r="B1306" s="269"/>
      <c r="C1306" s="268"/>
      <c r="D1306" s="268"/>
      <c r="E1306" s="380"/>
      <c r="F1306" s="365"/>
      <c r="G1306" s="270"/>
    </row>
    <row r="1307" spans="1:8">
      <c r="A1307" s="284" t="s">
        <v>4092</v>
      </c>
      <c r="B1307" s="250" t="s">
        <v>2850</v>
      </c>
      <c r="C1307" s="252"/>
      <c r="D1307" s="252"/>
      <c r="E1307" s="374"/>
      <c r="F1307" s="361"/>
      <c r="G1307" s="253"/>
    </row>
    <row r="1308" spans="1:8" s="292" customFormat="1" ht="24.95" customHeight="1">
      <c r="A1308" s="290" t="s">
        <v>1003</v>
      </c>
      <c r="B1308" s="290" t="s">
        <v>1004</v>
      </c>
      <c r="C1308" s="290" t="s">
        <v>1005</v>
      </c>
      <c r="D1308" s="290" t="s">
        <v>1006</v>
      </c>
      <c r="E1308" s="373" t="s">
        <v>1007</v>
      </c>
      <c r="F1308" s="363" t="s">
        <v>2637</v>
      </c>
      <c r="G1308" s="291" t="s">
        <v>2638</v>
      </c>
    </row>
    <row r="1309" spans="1:8">
      <c r="A1309" s="294" t="s">
        <v>671</v>
      </c>
      <c r="B1309" s="411" t="s">
        <v>672</v>
      </c>
      <c r="C1309" s="247"/>
      <c r="D1309" s="247"/>
      <c r="E1309" s="372"/>
      <c r="F1309" s="360"/>
      <c r="G1309" s="248"/>
    </row>
    <row r="1310" spans="1:8">
      <c r="A1310" s="247"/>
      <c r="B1310" s="410" t="s">
        <v>673</v>
      </c>
      <c r="C1310" s="247" t="s">
        <v>674</v>
      </c>
      <c r="D1310" s="247" t="s">
        <v>675</v>
      </c>
      <c r="E1310" s="372">
        <v>0.19800000000000001</v>
      </c>
      <c r="F1310" s="360">
        <f>'UPAD-BAHAN-ALAT'!$I$12</f>
        <v>110000</v>
      </c>
      <c r="G1310" s="248">
        <f>F1310*E1310</f>
        <v>21780</v>
      </c>
    </row>
    <row r="1311" spans="1:8">
      <c r="A1311" s="247"/>
      <c r="B1311" s="410" t="s">
        <v>731</v>
      </c>
      <c r="C1311" s="247" t="s">
        <v>678</v>
      </c>
      <c r="D1311" s="247" t="s">
        <v>675</v>
      </c>
      <c r="E1311" s="372">
        <v>3.3000000000000002E-2</v>
      </c>
      <c r="F1311" s="360">
        <f>'UPAD-BAHAN-ALAT'!$I$13</f>
        <v>140000</v>
      </c>
      <c r="G1311" s="248">
        <f>F1311*E1311</f>
        <v>4620</v>
      </c>
    </row>
    <row r="1312" spans="1:8">
      <c r="A1312" s="247"/>
      <c r="B1312" s="410" t="s">
        <v>751</v>
      </c>
      <c r="C1312" s="247" t="s">
        <v>681</v>
      </c>
      <c r="D1312" s="247" t="s">
        <v>675</v>
      </c>
      <c r="E1312" s="372">
        <v>3.0000000000000001E-3</v>
      </c>
      <c r="F1312" s="360">
        <f>'UPAD-BAHAN-ALAT'!$I$15</f>
        <v>150000</v>
      </c>
      <c r="G1312" s="248">
        <f>F1312*E1312</f>
        <v>450</v>
      </c>
    </row>
    <row r="1313" spans="1:8">
      <c r="A1313" s="247"/>
      <c r="B1313" s="410" t="s">
        <v>683</v>
      </c>
      <c r="C1313" s="247" t="s">
        <v>684</v>
      </c>
      <c r="D1313" s="247" t="s">
        <v>675</v>
      </c>
      <c r="E1313" s="372">
        <v>0.01</v>
      </c>
      <c r="F1313" s="360">
        <f>'UPAD-BAHAN-ALAT'!$I$14</f>
        <v>140000</v>
      </c>
      <c r="G1313" s="248">
        <f>F1313*E1313</f>
        <v>1400</v>
      </c>
    </row>
    <row r="1314" spans="1:8">
      <c r="A1314" s="247"/>
      <c r="B1314" s="410"/>
      <c r="C1314" s="247"/>
      <c r="D1314" s="247"/>
      <c r="E1314" s="1146" t="s">
        <v>685</v>
      </c>
      <c r="F1314" s="1146"/>
      <c r="G1314" s="248">
        <f>SUM(G1310:G1313)</f>
        <v>28250</v>
      </c>
    </row>
    <row r="1315" spans="1:8">
      <c r="A1315" s="294" t="s">
        <v>686</v>
      </c>
      <c r="B1315" s="411" t="s">
        <v>687</v>
      </c>
      <c r="C1315" s="247"/>
      <c r="D1315" s="247"/>
      <c r="E1315" s="372"/>
      <c r="F1315" s="360"/>
      <c r="G1315" s="248"/>
    </row>
    <row r="1316" spans="1:8">
      <c r="A1316" s="247"/>
      <c r="B1316" s="410" t="s">
        <v>790</v>
      </c>
      <c r="C1316" s="247"/>
      <c r="D1316" s="247" t="s">
        <v>690</v>
      </c>
      <c r="E1316" s="372">
        <v>32.119999999999997</v>
      </c>
      <c r="F1316" s="429">
        <f>'UPAD-BAHAN-ALAT'!$I$77</f>
        <v>1625</v>
      </c>
      <c r="G1316" s="248">
        <f>F1316*E1316</f>
        <v>52194.999999999993</v>
      </c>
    </row>
    <row r="1317" spans="1:8">
      <c r="A1317" s="247"/>
      <c r="B1317" s="410" t="s">
        <v>691</v>
      </c>
      <c r="C1317" s="247"/>
      <c r="D1317" s="247" t="s">
        <v>690</v>
      </c>
      <c r="E1317" s="372">
        <v>91.2</v>
      </c>
      <c r="F1317" s="429">
        <f>'UPAD-BAHAN-ALAT'!$I$72</f>
        <v>125.70979607871148</v>
      </c>
      <c r="G1317" s="683">
        <f>F1317*E1317</f>
        <v>11464.733402378488</v>
      </c>
    </row>
    <row r="1318" spans="1:8">
      <c r="A1318" s="247"/>
      <c r="B1318" s="680" t="s">
        <v>2946</v>
      </c>
      <c r="C1318" s="247"/>
      <c r="D1318" s="247" t="s">
        <v>690</v>
      </c>
      <c r="E1318" s="372">
        <v>123.48</v>
      </c>
      <c r="F1318" s="429">
        <f>'UPAD-BAHAN-ALAT'!$I$57</f>
        <v>353.32548165596319</v>
      </c>
      <c r="G1318" s="248">
        <f>F1318*E1318</f>
        <v>43628.630474878337</v>
      </c>
    </row>
    <row r="1319" spans="1:8">
      <c r="A1319" s="247"/>
      <c r="B1319" s="410" t="s">
        <v>842</v>
      </c>
      <c r="C1319" s="247"/>
      <c r="D1319" s="247" t="s">
        <v>896</v>
      </c>
      <c r="E1319" s="372">
        <v>25.8</v>
      </c>
      <c r="F1319" s="360">
        <f>'UPAD-BAHAN-ALAT'!$I$46</f>
        <v>35</v>
      </c>
      <c r="G1319" s="248">
        <f>F1319*E1319</f>
        <v>903</v>
      </c>
    </row>
    <row r="1320" spans="1:8">
      <c r="A1320" s="247"/>
      <c r="B1320" s="295"/>
      <c r="C1320" s="296"/>
      <c r="D1320" s="296"/>
      <c r="E1320" s="1146" t="s">
        <v>702</v>
      </c>
      <c r="F1320" s="1146"/>
      <c r="G1320" s="248">
        <f>SUM(G1316:G1319)</f>
        <v>108191.36387725681</v>
      </c>
    </row>
    <row r="1321" spans="1:8" s="265" customFormat="1">
      <c r="A1321" s="294" t="s">
        <v>703</v>
      </c>
      <c r="B1321" s="1147" t="s">
        <v>3910</v>
      </c>
      <c r="C1321" s="1147"/>
      <c r="D1321" s="1147"/>
      <c r="E1321" s="1147"/>
      <c r="F1321" s="1147"/>
      <c r="G1321" s="255">
        <f>G1314+G1320</f>
        <v>136441.36387725681</v>
      </c>
    </row>
    <row r="1322" spans="1:8" s="265" customFormat="1">
      <c r="A1322" s="294" t="s">
        <v>706</v>
      </c>
      <c r="B1322" s="1148" t="s">
        <v>876</v>
      </c>
      <c r="C1322" s="1148"/>
      <c r="D1322" s="1148"/>
      <c r="E1322" s="1147" t="s">
        <v>4030</v>
      </c>
      <c r="F1322" s="1147"/>
      <c r="G1322" s="255">
        <f>G1321*0.15</f>
        <v>20466.204581588521</v>
      </c>
    </row>
    <row r="1323" spans="1:8" s="265" customFormat="1">
      <c r="A1323" s="294" t="s">
        <v>708</v>
      </c>
      <c r="B1323" s="1149" t="s">
        <v>3911</v>
      </c>
      <c r="C1323" s="1149"/>
      <c r="D1323" s="1149"/>
      <c r="E1323" s="1149"/>
      <c r="F1323" s="1149"/>
      <c r="G1323" s="255">
        <f>ROUND(SUM(G1321:G1322),2)</f>
        <v>156907.57</v>
      </c>
      <c r="H1323" s="255">
        <f>SUM(G1321:G1322)</f>
        <v>156907.56845884532</v>
      </c>
    </row>
    <row r="1325" spans="1:8">
      <c r="A1325" s="600" t="s">
        <v>4093</v>
      </c>
      <c r="B1325" s="265" t="s">
        <v>2851</v>
      </c>
    </row>
    <row r="1326" spans="1:8" s="292" customFormat="1" ht="24.95" customHeight="1">
      <c r="A1326" s="290" t="s">
        <v>1003</v>
      </c>
      <c r="B1326" s="290" t="s">
        <v>1004</v>
      </c>
      <c r="C1326" s="290" t="s">
        <v>1005</v>
      </c>
      <c r="D1326" s="290" t="s">
        <v>1006</v>
      </c>
      <c r="E1326" s="373" t="s">
        <v>1007</v>
      </c>
      <c r="F1326" s="363" t="s">
        <v>2637</v>
      </c>
      <c r="G1326" s="291" t="s">
        <v>2638</v>
      </c>
    </row>
    <row r="1327" spans="1:8">
      <c r="A1327" s="294" t="s">
        <v>671</v>
      </c>
      <c r="B1327" s="411" t="s">
        <v>672</v>
      </c>
      <c r="C1327" s="247"/>
      <c r="D1327" s="247"/>
      <c r="E1327" s="372"/>
      <c r="F1327" s="360"/>
      <c r="G1327" s="248"/>
    </row>
    <row r="1328" spans="1:8">
      <c r="A1328" s="247"/>
      <c r="B1328" s="410" t="s">
        <v>673</v>
      </c>
      <c r="C1328" s="247" t="s">
        <v>674</v>
      </c>
      <c r="D1328" s="247" t="s">
        <v>675</v>
      </c>
      <c r="E1328" s="372">
        <v>0.248</v>
      </c>
      <c r="F1328" s="360">
        <f>'UPAD-BAHAN-ALAT'!$I$12</f>
        <v>110000</v>
      </c>
      <c r="G1328" s="248">
        <f>F1328*E1328</f>
        <v>27280</v>
      </c>
    </row>
    <row r="1329" spans="1:8">
      <c r="A1329" s="247"/>
      <c r="B1329" s="410" t="s">
        <v>731</v>
      </c>
      <c r="C1329" s="247" t="s">
        <v>678</v>
      </c>
      <c r="D1329" s="247" t="s">
        <v>675</v>
      </c>
      <c r="E1329" s="372">
        <v>4.1000000000000002E-2</v>
      </c>
      <c r="F1329" s="360">
        <f>'UPAD-BAHAN-ALAT'!$I$13</f>
        <v>140000</v>
      </c>
      <c r="G1329" s="248">
        <f>F1329*E1329</f>
        <v>5740</v>
      </c>
    </row>
    <row r="1330" spans="1:8">
      <c r="A1330" s="247"/>
      <c r="B1330" s="410" t="s">
        <v>751</v>
      </c>
      <c r="C1330" s="247" t="s">
        <v>681</v>
      </c>
      <c r="D1330" s="247" t="s">
        <v>675</v>
      </c>
      <c r="E1330" s="372">
        <v>4.0000000000000001E-3</v>
      </c>
      <c r="F1330" s="360">
        <f>'UPAD-BAHAN-ALAT'!$I$15</f>
        <v>150000</v>
      </c>
      <c r="G1330" s="248">
        <f>F1330*E1330</f>
        <v>600</v>
      </c>
    </row>
    <row r="1331" spans="1:8">
      <c r="A1331" s="247"/>
      <c r="B1331" s="410" t="s">
        <v>683</v>
      </c>
      <c r="C1331" s="247" t="s">
        <v>684</v>
      </c>
      <c r="D1331" s="247" t="s">
        <v>675</v>
      </c>
      <c r="E1331" s="372">
        <v>1.2999999999999999E-2</v>
      </c>
      <c r="F1331" s="360">
        <f>'UPAD-BAHAN-ALAT'!$I$14</f>
        <v>140000</v>
      </c>
      <c r="G1331" s="248">
        <f>F1331*E1331</f>
        <v>1820</v>
      </c>
    </row>
    <row r="1332" spans="1:8">
      <c r="A1332" s="247"/>
      <c r="B1332" s="410"/>
      <c r="C1332" s="247"/>
      <c r="D1332" s="247"/>
      <c r="E1332" s="1146" t="s">
        <v>685</v>
      </c>
      <c r="F1332" s="1146"/>
      <c r="G1332" s="248">
        <f>SUM(G1328:G1331)</f>
        <v>35440</v>
      </c>
    </row>
    <row r="1333" spans="1:8">
      <c r="A1333" s="294" t="s">
        <v>686</v>
      </c>
      <c r="B1333" s="411" t="s">
        <v>687</v>
      </c>
      <c r="C1333" s="247"/>
      <c r="D1333" s="247"/>
      <c r="E1333" s="372"/>
      <c r="F1333" s="360"/>
      <c r="G1333" s="248"/>
    </row>
    <row r="1334" spans="1:8">
      <c r="A1334" s="247"/>
      <c r="B1334" s="410" t="s">
        <v>790</v>
      </c>
      <c r="C1334" s="247"/>
      <c r="D1334" s="247" t="s">
        <v>690</v>
      </c>
      <c r="E1334" s="372">
        <v>48.9</v>
      </c>
      <c r="F1334" s="429">
        <f>'UPAD-BAHAN-ALAT'!$I$77</f>
        <v>1625</v>
      </c>
      <c r="G1334" s="248">
        <f>F1334*E1334</f>
        <v>79462.5</v>
      </c>
    </row>
    <row r="1335" spans="1:8">
      <c r="A1335" s="247"/>
      <c r="B1335" s="410" t="s">
        <v>691</v>
      </c>
      <c r="C1335" s="247"/>
      <c r="D1335" s="247" t="s">
        <v>690</v>
      </c>
      <c r="E1335" s="372">
        <v>114</v>
      </c>
      <c r="F1335" s="429">
        <f>'UPAD-BAHAN-ALAT'!$I$72</f>
        <v>125.70979607871148</v>
      </c>
      <c r="G1335" s="248">
        <f>F1335*E1335</f>
        <v>14330.916752973108</v>
      </c>
    </row>
    <row r="1336" spans="1:8">
      <c r="A1336" s="247"/>
      <c r="B1336" s="680" t="s">
        <v>2946</v>
      </c>
      <c r="C1336" s="247"/>
      <c r="D1336" s="247" t="s">
        <v>690</v>
      </c>
      <c r="E1336" s="372">
        <v>154.35</v>
      </c>
      <c r="F1336" s="429">
        <f>'UPAD-BAHAN-ALAT'!$I$57</f>
        <v>353.32548165596319</v>
      </c>
      <c r="G1336" s="248">
        <f>F1336*E1336</f>
        <v>54535.788093597919</v>
      </c>
    </row>
    <row r="1337" spans="1:8">
      <c r="A1337" s="247"/>
      <c r="B1337" s="410" t="s">
        <v>842</v>
      </c>
      <c r="C1337" s="247"/>
      <c r="D1337" s="247" t="s">
        <v>896</v>
      </c>
      <c r="E1337" s="372">
        <v>32.25</v>
      </c>
      <c r="F1337" s="360">
        <f>'UPAD-BAHAN-ALAT'!$I$46</f>
        <v>35</v>
      </c>
      <c r="G1337" s="248">
        <f>F1337*E1337</f>
        <v>1128.75</v>
      </c>
    </row>
    <row r="1338" spans="1:8">
      <c r="A1338" s="247"/>
      <c r="B1338" s="295"/>
      <c r="C1338" s="296"/>
      <c r="D1338" s="296"/>
      <c r="E1338" s="1146" t="s">
        <v>702</v>
      </c>
      <c r="F1338" s="1146"/>
      <c r="G1338" s="248">
        <f>SUM(G1334:G1337)</f>
        <v>149457.95484657102</v>
      </c>
    </row>
    <row r="1339" spans="1:8" s="265" customFormat="1">
      <c r="A1339" s="294" t="s">
        <v>703</v>
      </c>
      <c r="B1339" s="1147" t="s">
        <v>3910</v>
      </c>
      <c r="C1339" s="1147"/>
      <c r="D1339" s="1147"/>
      <c r="E1339" s="1147"/>
      <c r="F1339" s="1147"/>
      <c r="G1339" s="255">
        <f>G1332+G1338</f>
        <v>184897.95484657102</v>
      </c>
    </row>
    <row r="1340" spans="1:8" s="265" customFormat="1">
      <c r="A1340" s="294" t="s">
        <v>706</v>
      </c>
      <c r="B1340" s="1148" t="s">
        <v>876</v>
      </c>
      <c r="C1340" s="1148"/>
      <c r="D1340" s="1148"/>
      <c r="E1340" s="1147" t="s">
        <v>4030</v>
      </c>
      <c r="F1340" s="1147"/>
      <c r="G1340" s="255">
        <f>G1339*0.15</f>
        <v>27734.693226985652</v>
      </c>
    </row>
    <row r="1341" spans="1:8" s="265" customFormat="1">
      <c r="A1341" s="294" t="s">
        <v>708</v>
      </c>
      <c r="B1341" s="1149" t="s">
        <v>3911</v>
      </c>
      <c r="C1341" s="1149"/>
      <c r="D1341" s="1149"/>
      <c r="E1341" s="1149"/>
      <c r="F1341" s="1149"/>
      <c r="G1341" s="255">
        <f>ROUND(SUM(G1339:G1340),2)</f>
        <v>212632.65</v>
      </c>
      <c r="H1341" s="255">
        <f>SUM(G1339:G1340)</f>
        <v>212632.64807355669</v>
      </c>
    </row>
    <row r="1342" spans="1:8">
      <c r="A1342" s="268"/>
      <c r="B1342" s="269"/>
      <c r="C1342" s="268"/>
      <c r="D1342" s="268"/>
      <c r="E1342" s="380"/>
      <c r="F1342" s="365"/>
      <c r="G1342" s="270"/>
    </row>
    <row r="1343" spans="1:8">
      <c r="A1343" s="285" t="s">
        <v>4094</v>
      </c>
      <c r="B1343" s="250" t="s">
        <v>2852</v>
      </c>
      <c r="C1343" s="252"/>
      <c r="D1343" s="252"/>
      <c r="E1343" s="374"/>
      <c r="F1343" s="361"/>
      <c r="G1343" s="253"/>
    </row>
    <row r="1344" spans="1:8" s="292" customFormat="1" ht="24.95" customHeight="1">
      <c r="A1344" s="290" t="s">
        <v>1003</v>
      </c>
      <c r="B1344" s="290" t="s">
        <v>1004</v>
      </c>
      <c r="C1344" s="290" t="s">
        <v>1005</v>
      </c>
      <c r="D1344" s="290" t="s">
        <v>1006</v>
      </c>
      <c r="E1344" s="373" t="s">
        <v>1007</v>
      </c>
      <c r="F1344" s="363" t="s">
        <v>2637</v>
      </c>
      <c r="G1344" s="291" t="s">
        <v>2638</v>
      </c>
    </row>
    <row r="1345" spans="1:7">
      <c r="A1345" s="294" t="s">
        <v>671</v>
      </c>
      <c r="B1345" s="411" t="s">
        <v>672</v>
      </c>
      <c r="C1345" s="247"/>
      <c r="D1345" s="247"/>
      <c r="E1345" s="372"/>
      <c r="F1345" s="360"/>
      <c r="G1345" s="248"/>
    </row>
    <row r="1346" spans="1:7">
      <c r="A1346" s="247"/>
      <c r="B1346" s="410" t="s">
        <v>673</v>
      </c>
      <c r="C1346" s="247" t="s">
        <v>674</v>
      </c>
      <c r="D1346" s="247" t="s">
        <v>675</v>
      </c>
      <c r="E1346" s="372">
        <v>7.0000000000000001E-3</v>
      </c>
      <c r="F1346" s="360">
        <f>'UPAD-BAHAN-ALAT'!$I$12</f>
        <v>110000</v>
      </c>
      <c r="G1346" s="248">
        <f>F1346*E1346</f>
        <v>770</v>
      </c>
    </row>
    <row r="1347" spans="1:7">
      <c r="A1347" s="247"/>
      <c r="B1347" s="410" t="s">
        <v>731</v>
      </c>
      <c r="C1347" s="247" t="s">
        <v>678</v>
      </c>
      <c r="D1347" s="247" t="s">
        <v>675</v>
      </c>
      <c r="E1347" s="372">
        <v>7.5999999999999998E-2</v>
      </c>
      <c r="F1347" s="360">
        <f>'UPAD-BAHAN-ALAT'!$I$13</f>
        <v>140000</v>
      </c>
      <c r="G1347" s="248">
        <f>F1347*E1347</f>
        <v>10640</v>
      </c>
    </row>
    <row r="1348" spans="1:7">
      <c r="A1348" s="247"/>
      <c r="B1348" s="410" t="s">
        <v>751</v>
      </c>
      <c r="C1348" s="247" t="s">
        <v>681</v>
      </c>
      <c r="D1348" s="247" t="s">
        <v>675</v>
      </c>
      <c r="E1348" s="372">
        <v>8.0000000000000002E-3</v>
      </c>
      <c r="F1348" s="360">
        <f>'UPAD-BAHAN-ALAT'!$I$15</f>
        <v>150000</v>
      </c>
      <c r="G1348" s="248">
        <f>F1348*E1348</f>
        <v>1200</v>
      </c>
    </row>
    <row r="1349" spans="1:7">
      <c r="A1349" s="247"/>
      <c r="B1349" s="410" t="s">
        <v>683</v>
      </c>
      <c r="C1349" s="247" t="s">
        <v>684</v>
      </c>
      <c r="D1349" s="247" t="s">
        <v>675</v>
      </c>
      <c r="E1349" s="372">
        <v>1E-3</v>
      </c>
      <c r="F1349" s="360">
        <f>'UPAD-BAHAN-ALAT'!$I$14</f>
        <v>140000</v>
      </c>
      <c r="G1349" s="248">
        <f>F1349*E1349</f>
        <v>140</v>
      </c>
    </row>
    <row r="1350" spans="1:7">
      <c r="A1350" s="247"/>
      <c r="B1350" s="410"/>
      <c r="C1350" s="247"/>
      <c r="D1350" s="247"/>
      <c r="E1350" s="1146" t="s">
        <v>685</v>
      </c>
      <c r="F1350" s="1146"/>
      <c r="G1350" s="248">
        <f>SUM(G1346:G1349)</f>
        <v>12750</v>
      </c>
    </row>
    <row r="1351" spans="1:7">
      <c r="A1351" s="294" t="s">
        <v>686</v>
      </c>
      <c r="B1351" s="411" t="s">
        <v>687</v>
      </c>
      <c r="C1351" s="247"/>
      <c r="D1351" s="247"/>
      <c r="E1351" s="372"/>
      <c r="F1351" s="360"/>
      <c r="G1351" s="248"/>
    </row>
    <row r="1352" spans="1:7">
      <c r="A1352" s="247"/>
      <c r="B1352" s="410" t="s">
        <v>902</v>
      </c>
      <c r="C1352" s="247" t="str">
        <f>A622</f>
        <v>A.4.1.1.1</v>
      </c>
      <c r="D1352" s="247" t="s">
        <v>2646</v>
      </c>
      <c r="E1352" s="372">
        <v>0.08</v>
      </c>
      <c r="F1352" s="360">
        <f>H638</f>
        <v>1120814.8862371296</v>
      </c>
      <c r="G1352" s="248">
        <f t="shared" ref="G1352:G1357" si="19">F1352*E1352</f>
        <v>89665.190898970366</v>
      </c>
    </row>
    <row r="1353" spans="1:7">
      <c r="A1353" s="247"/>
      <c r="B1353" s="410" t="s">
        <v>903</v>
      </c>
      <c r="C1353" s="247"/>
      <c r="D1353" s="247" t="s">
        <v>690</v>
      </c>
      <c r="E1353" s="372">
        <v>9.3940000000000001</v>
      </c>
      <c r="F1353" s="360">
        <f>'UPAD-BAHAN-ALAT'!$I$114</f>
        <v>15750</v>
      </c>
      <c r="G1353" s="248">
        <f t="shared" si="19"/>
        <v>147955.5</v>
      </c>
    </row>
    <row r="1354" spans="1:7">
      <c r="A1354" s="247"/>
      <c r="B1354" s="410" t="s">
        <v>904</v>
      </c>
      <c r="C1354" s="247"/>
      <c r="D1354" s="247" t="s">
        <v>2646</v>
      </c>
      <c r="E1354" s="372">
        <v>5.0000000000000001E-3</v>
      </c>
      <c r="F1354" s="429">
        <f>'UPAD-BAHAN-ALAT'!$I$96</f>
        <v>3465000</v>
      </c>
      <c r="G1354" s="248">
        <f t="shared" si="19"/>
        <v>17325</v>
      </c>
    </row>
    <row r="1355" spans="1:7">
      <c r="A1355" s="247"/>
      <c r="B1355" s="410" t="s">
        <v>905</v>
      </c>
      <c r="C1355" s="247"/>
      <c r="D1355" s="247" t="s">
        <v>715</v>
      </c>
      <c r="E1355" s="372">
        <v>0.08</v>
      </c>
      <c r="F1355" s="360">
        <f>'UPAD-BAHAN-ALAT'!$I$107</f>
        <v>341250</v>
      </c>
      <c r="G1355" s="248">
        <f t="shared" si="19"/>
        <v>27300</v>
      </c>
    </row>
    <row r="1356" spans="1:7">
      <c r="A1356" s="247"/>
      <c r="B1356" s="410" t="s">
        <v>861</v>
      </c>
      <c r="C1356" s="247"/>
      <c r="D1356" s="247" t="s">
        <v>896</v>
      </c>
      <c r="E1356" s="372">
        <v>0.2</v>
      </c>
      <c r="F1356" s="360">
        <f>'UPAD-BAHAN-ALAT'!$I$518</f>
        <v>29000</v>
      </c>
      <c r="G1356" s="248">
        <f t="shared" si="19"/>
        <v>5800</v>
      </c>
    </row>
    <row r="1357" spans="1:7">
      <c r="A1357" s="247"/>
      <c r="B1357" s="256" t="s">
        <v>3444</v>
      </c>
      <c r="C1357" s="247"/>
      <c r="D1357" s="247" t="s">
        <v>743</v>
      </c>
      <c r="E1357" s="372">
        <v>3.8820000000000001</v>
      </c>
      <c r="F1357" s="360">
        <f>'UPAD-BAHAN-ALAT'!$I$157</f>
        <v>6800</v>
      </c>
      <c r="G1357" s="248">
        <f t="shared" si="19"/>
        <v>26397.600000000002</v>
      </c>
    </row>
    <row r="1358" spans="1:7">
      <c r="A1358" s="247"/>
      <c r="B1358" s="295"/>
      <c r="C1358" s="296"/>
      <c r="D1358" s="296"/>
      <c r="E1358" s="1146" t="s">
        <v>702</v>
      </c>
      <c r="F1358" s="1146"/>
      <c r="G1358" s="248">
        <f>SUM(G1352:G1357)</f>
        <v>314443.29089897033</v>
      </c>
    </row>
    <row r="1359" spans="1:7" s="265" customFormat="1">
      <c r="A1359" s="294" t="s">
        <v>703</v>
      </c>
      <c r="B1359" s="1147" t="s">
        <v>3910</v>
      </c>
      <c r="C1359" s="1147"/>
      <c r="D1359" s="1147"/>
      <c r="E1359" s="1147"/>
      <c r="F1359" s="1147"/>
      <c r="G1359" s="255">
        <f>G1350+G1358</f>
        <v>327193.29089897033</v>
      </c>
    </row>
    <row r="1360" spans="1:7" s="265" customFormat="1">
      <c r="A1360" s="294" t="s">
        <v>706</v>
      </c>
      <c r="B1360" s="1148" t="s">
        <v>876</v>
      </c>
      <c r="C1360" s="1148"/>
      <c r="D1360" s="1148"/>
      <c r="E1360" s="1147" t="s">
        <v>4030</v>
      </c>
      <c r="F1360" s="1147"/>
      <c r="G1360" s="255">
        <f>G1359*0.15</f>
        <v>49078.993634845545</v>
      </c>
    </row>
    <row r="1361" spans="1:8" s="265" customFormat="1">
      <c r="A1361" s="294" t="s">
        <v>708</v>
      </c>
      <c r="B1361" s="1149" t="s">
        <v>3911</v>
      </c>
      <c r="C1361" s="1149"/>
      <c r="D1361" s="1149"/>
      <c r="E1361" s="1149"/>
      <c r="F1361" s="1149"/>
      <c r="G1361" s="255">
        <f>ROUND(SUM(G1359:G1360),2)</f>
        <v>376272.28</v>
      </c>
      <c r="H1361" s="255">
        <f>SUM(G1359:G1360)</f>
        <v>376272.28453381587</v>
      </c>
    </row>
    <row r="1363" spans="1:8">
      <c r="A1363" s="286" t="s">
        <v>4095</v>
      </c>
      <c r="B1363" s="265" t="s">
        <v>2853</v>
      </c>
    </row>
    <row r="1364" spans="1:8" s="292" customFormat="1" ht="24.95" customHeight="1">
      <c r="A1364" s="290" t="s">
        <v>1003</v>
      </c>
      <c r="B1364" s="290" t="s">
        <v>1004</v>
      </c>
      <c r="C1364" s="290" t="s">
        <v>1005</v>
      </c>
      <c r="D1364" s="290" t="s">
        <v>1006</v>
      </c>
      <c r="E1364" s="373" t="s">
        <v>1007</v>
      </c>
      <c r="F1364" s="363" t="s">
        <v>2637</v>
      </c>
      <c r="G1364" s="291" t="s">
        <v>2638</v>
      </c>
    </row>
    <row r="1365" spans="1:8">
      <c r="A1365" s="294" t="s">
        <v>671</v>
      </c>
      <c r="B1365" s="411" t="s">
        <v>672</v>
      </c>
      <c r="C1365" s="247"/>
      <c r="D1365" s="247"/>
      <c r="E1365" s="372"/>
      <c r="F1365" s="360"/>
      <c r="G1365" s="248"/>
    </row>
    <row r="1366" spans="1:8">
      <c r="A1366" s="247"/>
      <c r="B1366" s="410" t="s">
        <v>673</v>
      </c>
      <c r="C1366" s="247" t="s">
        <v>674</v>
      </c>
      <c r="D1366" s="247" t="s">
        <v>675</v>
      </c>
      <c r="E1366" s="372">
        <v>4.0000000000000001E-3</v>
      </c>
      <c r="F1366" s="360">
        <f>'UPAD-BAHAN-ALAT'!$I$12</f>
        <v>110000</v>
      </c>
      <c r="G1366" s="248">
        <f>F1366*E1366</f>
        <v>440</v>
      </c>
    </row>
    <row r="1367" spans="1:8">
      <c r="A1367" s="247"/>
      <c r="B1367" s="410" t="s">
        <v>731</v>
      </c>
      <c r="C1367" s="247" t="s">
        <v>678</v>
      </c>
      <c r="D1367" s="247" t="s">
        <v>675</v>
      </c>
      <c r="E1367" s="372">
        <v>3.7999999999999999E-2</v>
      </c>
      <c r="F1367" s="360">
        <f>'UPAD-BAHAN-ALAT'!$I$13</f>
        <v>140000</v>
      </c>
      <c r="G1367" s="248">
        <f>F1367*E1367</f>
        <v>5320</v>
      </c>
    </row>
    <row r="1368" spans="1:8">
      <c r="A1368" s="247"/>
      <c r="B1368" s="410" t="s">
        <v>751</v>
      </c>
      <c r="C1368" s="247" t="s">
        <v>681</v>
      </c>
      <c r="D1368" s="247" t="s">
        <v>675</v>
      </c>
      <c r="E1368" s="372">
        <v>4.0000000000000001E-3</v>
      </c>
      <c r="F1368" s="360">
        <f>'UPAD-BAHAN-ALAT'!$I$15</f>
        <v>150000</v>
      </c>
      <c r="G1368" s="248">
        <f>F1368*E1368</f>
        <v>600</v>
      </c>
    </row>
    <row r="1369" spans="1:8">
      <c r="A1369" s="247"/>
      <c r="B1369" s="410" t="s">
        <v>683</v>
      </c>
      <c r="C1369" s="247" t="s">
        <v>684</v>
      </c>
      <c r="D1369" s="247" t="s">
        <v>675</v>
      </c>
      <c r="E1369" s="372">
        <v>1E-3</v>
      </c>
      <c r="F1369" s="360">
        <f>'UPAD-BAHAN-ALAT'!$I$14</f>
        <v>140000</v>
      </c>
      <c r="G1369" s="248">
        <f>F1369*E1369</f>
        <v>140</v>
      </c>
    </row>
    <row r="1370" spans="1:8">
      <c r="A1370" s="247"/>
      <c r="B1370" s="410"/>
      <c r="C1370" s="247"/>
      <c r="D1370" s="247"/>
      <c r="E1370" s="1146" t="s">
        <v>685</v>
      </c>
      <c r="F1370" s="1146"/>
      <c r="G1370" s="248">
        <f>SUM(G1366:G1369)</f>
        <v>6500</v>
      </c>
    </row>
    <row r="1371" spans="1:8">
      <c r="A1371" s="294" t="s">
        <v>686</v>
      </c>
      <c r="B1371" s="411" t="s">
        <v>687</v>
      </c>
      <c r="C1371" s="247"/>
      <c r="D1371" s="247"/>
      <c r="E1371" s="372"/>
      <c r="F1371" s="360"/>
      <c r="G1371" s="248"/>
    </row>
    <row r="1372" spans="1:8">
      <c r="A1372" s="247"/>
      <c r="B1372" s="410" t="s">
        <v>904</v>
      </c>
      <c r="C1372" s="247"/>
      <c r="D1372" s="247" t="s">
        <v>2646</v>
      </c>
      <c r="E1372" s="372">
        <v>5.0000000000000001E-3</v>
      </c>
      <c r="F1372" s="429">
        <f>'UPAD-BAHAN-ALAT'!$I$96</f>
        <v>3465000</v>
      </c>
      <c r="G1372" s="248">
        <f>F1372*E1372</f>
        <v>17325</v>
      </c>
    </row>
    <row r="1373" spans="1:8">
      <c r="A1373" s="247"/>
      <c r="B1373" s="410" t="s">
        <v>905</v>
      </c>
      <c r="C1373" s="247"/>
      <c r="D1373" s="247" t="s">
        <v>715</v>
      </c>
      <c r="E1373" s="372">
        <v>4.2999999999999997E-2</v>
      </c>
      <c r="F1373" s="360">
        <f>'UPAD-BAHAN-ALAT'!$I$107</f>
        <v>341250</v>
      </c>
      <c r="G1373" s="248">
        <f>F1373*E1373</f>
        <v>14673.749999999998</v>
      </c>
    </row>
    <row r="1374" spans="1:8">
      <c r="A1374" s="247"/>
      <c r="B1374" s="410" t="s">
        <v>861</v>
      </c>
      <c r="C1374" s="247"/>
      <c r="D1374" s="247" t="s">
        <v>896</v>
      </c>
      <c r="E1374" s="372">
        <v>0.2</v>
      </c>
      <c r="F1374" s="360">
        <f>'UPAD-BAHAN-ALAT'!$I$518</f>
        <v>29000</v>
      </c>
      <c r="G1374" s="248">
        <f>F1374*E1374</f>
        <v>5800</v>
      </c>
    </row>
    <row r="1375" spans="1:8">
      <c r="A1375" s="247"/>
      <c r="B1375" s="256" t="s">
        <v>3444</v>
      </c>
      <c r="C1375" s="247"/>
      <c r="D1375" s="247" t="s">
        <v>743</v>
      </c>
      <c r="E1375" s="372">
        <v>0.69299999999999995</v>
      </c>
      <c r="F1375" s="360">
        <f>'UPAD-BAHAN-ALAT'!$I$157</f>
        <v>6800</v>
      </c>
      <c r="G1375" s="248">
        <f>F1375*E1375</f>
        <v>4712.3999999999996</v>
      </c>
    </row>
    <row r="1376" spans="1:8">
      <c r="A1376" s="247"/>
      <c r="B1376" s="295"/>
      <c r="C1376" s="296"/>
      <c r="D1376" s="296"/>
      <c r="E1376" s="1146" t="s">
        <v>702</v>
      </c>
      <c r="F1376" s="1146"/>
      <c r="G1376" s="248">
        <f>SUM(G1372:G1375)</f>
        <v>42511.15</v>
      </c>
    </row>
    <row r="1377" spans="1:8" s="265" customFormat="1">
      <c r="A1377" s="294" t="s">
        <v>703</v>
      </c>
      <c r="B1377" s="1147" t="s">
        <v>3910</v>
      </c>
      <c r="C1377" s="1147"/>
      <c r="D1377" s="1147"/>
      <c r="E1377" s="1147"/>
      <c r="F1377" s="1147"/>
      <c r="G1377" s="255">
        <f>G1370+G1376</f>
        <v>49011.15</v>
      </c>
    </row>
    <row r="1378" spans="1:8" s="265" customFormat="1">
      <c r="A1378" s="294" t="s">
        <v>706</v>
      </c>
      <c r="B1378" s="1148" t="s">
        <v>876</v>
      </c>
      <c r="C1378" s="1148"/>
      <c r="D1378" s="1148"/>
      <c r="E1378" s="1147" t="s">
        <v>4030</v>
      </c>
      <c r="F1378" s="1147"/>
      <c r="G1378" s="255">
        <f>G1377*0.15</f>
        <v>7351.6724999999997</v>
      </c>
    </row>
    <row r="1379" spans="1:8" s="265" customFormat="1">
      <c r="A1379" s="294" t="s">
        <v>708</v>
      </c>
      <c r="B1379" s="1149" t="s">
        <v>3911</v>
      </c>
      <c r="C1379" s="1149"/>
      <c r="D1379" s="1149"/>
      <c r="E1379" s="1149"/>
      <c r="F1379" s="1149"/>
      <c r="G1379" s="255">
        <f>ROUND(SUM(G1377:G1378),2)</f>
        <v>56362.82</v>
      </c>
      <c r="H1379" s="255">
        <f>SUM(G1377:G1378)</f>
        <v>56362.822500000002</v>
      </c>
    </row>
    <row r="1380" spans="1:8">
      <c r="A1380" s="268"/>
      <c r="B1380" s="269"/>
      <c r="C1380" s="268"/>
      <c r="D1380" s="268"/>
      <c r="E1380" s="380"/>
      <c r="F1380" s="365"/>
      <c r="G1380" s="270"/>
    </row>
    <row r="1381" spans="1:8">
      <c r="A1381" s="285" t="s">
        <v>4096</v>
      </c>
      <c r="B1381" s="250" t="s">
        <v>2854</v>
      </c>
      <c r="C1381" s="252"/>
      <c r="D1381" s="252"/>
      <c r="E1381" s="374"/>
      <c r="F1381" s="361"/>
      <c r="G1381" s="253"/>
    </row>
    <row r="1382" spans="1:8" s="292" customFormat="1" ht="24.95" customHeight="1">
      <c r="A1382" s="290" t="s">
        <v>1003</v>
      </c>
      <c r="B1382" s="290" t="s">
        <v>1004</v>
      </c>
      <c r="C1382" s="290" t="s">
        <v>1005</v>
      </c>
      <c r="D1382" s="290" t="s">
        <v>1006</v>
      </c>
      <c r="E1382" s="373" t="s">
        <v>1007</v>
      </c>
      <c r="F1382" s="363" t="s">
        <v>2637</v>
      </c>
      <c r="G1382" s="291" t="s">
        <v>2638</v>
      </c>
    </row>
    <row r="1383" spans="1:8">
      <c r="A1383" s="294" t="s">
        <v>671</v>
      </c>
      <c r="B1383" s="411" t="s">
        <v>672</v>
      </c>
      <c r="C1383" s="247"/>
      <c r="D1383" s="247"/>
      <c r="E1383" s="372"/>
      <c r="F1383" s="360"/>
      <c r="G1383" s="248"/>
    </row>
    <row r="1384" spans="1:8">
      <c r="A1384" s="247"/>
      <c r="B1384" s="410" t="s">
        <v>673</v>
      </c>
      <c r="C1384" s="247" t="s">
        <v>674</v>
      </c>
      <c r="D1384" s="247" t="s">
        <v>675</v>
      </c>
      <c r="E1384" s="372">
        <v>4.0000000000000001E-3</v>
      </c>
      <c r="F1384" s="360">
        <f>'UPAD-BAHAN-ALAT'!$I$12</f>
        <v>110000</v>
      </c>
      <c r="G1384" s="248">
        <f>F1384*E1384</f>
        <v>440</v>
      </c>
    </row>
    <row r="1385" spans="1:8">
      <c r="A1385" s="247"/>
      <c r="B1385" s="410" t="s">
        <v>731</v>
      </c>
      <c r="C1385" s="247" t="s">
        <v>678</v>
      </c>
      <c r="D1385" s="247" t="s">
        <v>675</v>
      </c>
      <c r="E1385" s="372">
        <v>3.7999999999999999E-2</v>
      </c>
      <c r="F1385" s="360">
        <f>'UPAD-BAHAN-ALAT'!$I$13</f>
        <v>140000</v>
      </c>
      <c r="G1385" s="248">
        <f>F1385*E1385</f>
        <v>5320</v>
      </c>
    </row>
    <row r="1386" spans="1:8">
      <c r="A1386" s="247"/>
      <c r="B1386" s="410" t="s">
        <v>751</v>
      </c>
      <c r="C1386" s="247" t="s">
        <v>681</v>
      </c>
      <c r="D1386" s="247" t="s">
        <v>675</v>
      </c>
      <c r="E1386" s="372">
        <v>4.0000000000000001E-3</v>
      </c>
      <c r="F1386" s="360">
        <f>'UPAD-BAHAN-ALAT'!$I$15</f>
        <v>150000</v>
      </c>
      <c r="G1386" s="248">
        <f>F1386*E1386</f>
        <v>600</v>
      </c>
    </row>
    <row r="1387" spans="1:8">
      <c r="A1387" s="247"/>
      <c r="B1387" s="410" t="s">
        <v>683</v>
      </c>
      <c r="C1387" s="247" t="s">
        <v>684</v>
      </c>
      <c r="D1387" s="247" t="s">
        <v>675</v>
      </c>
      <c r="E1387" s="372">
        <v>1E-3</v>
      </c>
      <c r="F1387" s="360">
        <f>'UPAD-BAHAN-ALAT'!$I$14</f>
        <v>140000</v>
      </c>
      <c r="G1387" s="248">
        <f>F1387*E1387</f>
        <v>140</v>
      </c>
    </row>
    <row r="1388" spans="1:8">
      <c r="A1388" s="247"/>
      <c r="B1388" s="410"/>
      <c r="C1388" s="247"/>
      <c r="D1388" s="247"/>
      <c r="E1388" s="1146" t="s">
        <v>685</v>
      </c>
      <c r="F1388" s="1146"/>
      <c r="G1388" s="248">
        <f>SUM(G1384:G1387)</f>
        <v>6500</v>
      </c>
    </row>
    <row r="1389" spans="1:8">
      <c r="A1389" s="294" t="s">
        <v>686</v>
      </c>
      <c r="B1389" s="411" t="s">
        <v>687</v>
      </c>
      <c r="C1389" s="247"/>
      <c r="D1389" s="247"/>
      <c r="E1389" s="372"/>
      <c r="F1389" s="360"/>
      <c r="G1389" s="248"/>
    </row>
    <row r="1390" spans="1:8">
      <c r="A1390" s="247"/>
      <c r="B1390" s="410" t="s">
        <v>904</v>
      </c>
      <c r="C1390" s="247"/>
      <c r="D1390" s="247" t="s">
        <v>2646</v>
      </c>
      <c r="E1390" s="372">
        <v>4.0000000000000001E-3</v>
      </c>
      <c r="F1390" s="429">
        <f>'UPAD-BAHAN-ALAT'!$I$96</f>
        <v>3465000</v>
      </c>
      <c r="G1390" s="248">
        <f>F1390*E1390</f>
        <v>13860</v>
      </c>
    </row>
    <row r="1391" spans="1:8">
      <c r="A1391" s="247"/>
      <c r="B1391" s="410" t="s">
        <v>905</v>
      </c>
      <c r="C1391" s="247"/>
      <c r="D1391" s="247" t="s">
        <v>715</v>
      </c>
      <c r="E1391" s="372">
        <v>4.8000000000000001E-2</v>
      </c>
      <c r="F1391" s="360">
        <f>'UPAD-BAHAN-ALAT'!$I$107</f>
        <v>341250</v>
      </c>
      <c r="G1391" s="248">
        <f>F1391*E1391</f>
        <v>16380</v>
      </c>
    </row>
    <row r="1392" spans="1:8">
      <c r="A1392" s="247"/>
      <c r="B1392" s="410" t="s">
        <v>861</v>
      </c>
      <c r="C1392" s="247"/>
      <c r="D1392" s="247" t="s">
        <v>896</v>
      </c>
      <c r="E1392" s="372">
        <v>0.2</v>
      </c>
      <c r="F1392" s="360">
        <f>'UPAD-BAHAN-ALAT'!$I$518</f>
        <v>29000</v>
      </c>
      <c r="G1392" s="248">
        <f>F1392*E1392</f>
        <v>5800</v>
      </c>
    </row>
    <row r="1393" spans="1:8">
      <c r="A1393" s="247"/>
      <c r="B1393" s="410" t="s">
        <v>910</v>
      </c>
      <c r="C1393" s="247"/>
      <c r="D1393" s="247" t="s">
        <v>690</v>
      </c>
      <c r="E1393" s="372">
        <v>4.5999999999999999E-2</v>
      </c>
      <c r="F1393" s="360">
        <f>'UPAD-BAHAN-ALAT'!I139</f>
        <v>21000</v>
      </c>
      <c r="G1393" s="248">
        <f>F1393*E1393</f>
        <v>966</v>
      </c>
    </row>
    <row r="1394" spans="1:8">
      <c r="A1394" s="247"/>
      <c r="B1394" s="256" t="s">
        <v>3444</v>
      </c>
      <c r="C1394" s="247"/>
      <c r="D1394" s="247" t="s">
        <v>743</v>
      </c>
      <c r="E1394" s="372">
        <v>0.69299999999999995</v>
      </c>
      <c r="F1394" s="360">
        <f>'UPAD-BAHAN-ALAT'!$I$157</f>
        <v>6800</v>
      </c>
      <c r="G1394" s="248">
        <f>F1394*E1394</f>
        <v>4712.3999999999996</v>
      </c>
    </row>
    <row r="1395" spans="1:8">
      <c r="A1395" s="247"/>
      <c r="B1395" s="295"/>
      <c r="C1395" s="296"/>
      <c r="D1395" s="296"/>
      <c r="E1395" s="1146" t="s">
        <v>702</v>
      </c>
      <c r="F1395" s="1146"/>
      <c r="G1395" s="248">
        <f>SUM(G1390:G1394)</f>
        <v>41718.400000000001</v>
      </c>
    </row>
    <row r="1396" spans="1:8" s="265" customFormat="1">
      <c r="A1396" s="294" t="s">
        <v>703</v>
      </c>
      <c r="B1396" s="1147" t="s">
        <v>3910</v>
      </c>
      <c r="C1396" s="1147"/>
      <c r="D1396" s="1147"/>
      <c r="E1396" s="1147"/>
      <c r="F1396" s="1147"/>
      <c r="G1396" s="255">
        <f>G1388+G1395</f>
        <v>48218.400000000001</v>
      </c>
    </row>
    <row r="1397" spans="1:8" s="265" customFormat="1">
      <c r="A1397" s="294" t="s">
        <v>706</v>
      </c>
      <c r="B1397" s="1148" t="s">
        <v>876</v>
      </c>
      <c r="C1397" s="1148"/>
      <c r="D1397" s="1148"/>
      <c r="E1397" s="1147" t="s">
        <v>4030</v>
      </c>
      <c r="F1397" s="1147"/>
      <c r="G1397" s="255">
        <f>G1396*0.15</f>
        <v>7232.76</v>
      </c>
    </row>
    <row r="1398" spans="1:8" s="265" customFormat="1">
      <c r="A1398" s="294" t="s">
        <v>708</v>
      </c>
      <c r="B1398" s="1149" t="s">
        <v>3911</v>
      </c>
      <c r="C1398" s="1149"/>
      <c r="D1398" s="1149"/>
      <c r="E1398" s="1149"/>
      <c r="F1398" s="1149"/>
      <c r="G1398" s="255">
        <f>ROUND(SUM(G1396:G1397),2)</f>
        <v>55451.16</v>
      </c>
      <c r="H1398" s="255">
        <f>SUM(G1396:G1397)</f>
        <v>55451.16</v>
      </c>
    </row>
    <row r="1400" spans="1:8">
      <c r="A1400" s="286" t="s">
        <v>4097</v>
      </c>
      <c r="B1400" s="265" t="s">
        <v>2855</v>
      </c>
    </row>
    <row r="1401" spans="1:8" s="292" customFormat="1" ht="24.95" customHeight="1">
      <c r="A1401" s="290" t="s">
        <v>1003</v>
      </c>
      <c r="B1401" s="290" t="s">
        <v>1004</v>
      </c>
      <c r="C1401" s="290" t="s">
        <v>1005</v>
      </c>
      <c r="D1401" s="290" t="s">
        <v>1006</v>
      </c>
      <c r="E1401" s="373" t="s">
        <v>1007</v>
      </c>
      <c r="F1401" s="363" t="s">
        <v>2637</v>
      </c>
      <c r="G1401" s="291" t="s">
        <v>2638</v>
      </c>
    </row>
    <row r="1402" spans="1:8">
      <c r="A1402" s="294" t="s">
        <v>671</v>
      </c>
      <c r="B1402" s="411" t="s">
        <v>672</v>
      </c>
      <c r="C1402" s="247"/>
      <c r="D1402" s="247"/>
      <c r="E1402" s="372"/>
      <c r="F1402" s="360"/>
      <c r="G1402" s="248"/>
    </row>
    <row r="1403" spans="1:8">
      <c r="A1403" s="247"/>
      <c r="B1403" s="410" t="s">
        <v>673</v>
      </c>
      <c r="C1403" s="247" t="s">
        <v>674</v>
      </c>
      <c r="D1403" s="247" t="s">
        <v>675</v>
      </c>
      <c r="E1403" s="372">
        <v>5.2999999999999999E-2</v>
      </c>
      <c r="F1403" s="360">
        <f>'UPAD-BAHAN-ALAT'!$I$12</f>
        <v>110000</v>
      </c>
      <c r="G1403" s="248">
        <f>F1403*E1403</f>
        <v>5830</v>
      </c>
    </row>
    <row r="1404" spans="1:8">
      <c r="A1404" s="247"/>
      <c r="B1404" s="410" t="s">
        <v>871</v>
      </c>
      <c r="C1404" s="247" t="s">
        <v>678</v>
      </c>
      <c r="D1404" s="247" t="s">
        <v>675</v>
      </c>
      <c r="E1404" s="372">
        <v>1.7999999999999999E-2</v>
      </c>
      <c r="F1404" s="360">
        <f>'UPAD-BAHAN-ALAT'!$I$13</f>
        <v>140000</v>
      </c>
      <c r="G1404" s="248">
        <f>F1404*E1404</f>
        <v>2520</v>
      </c>
    </row>
    <row r="1405" spans="1:8">
      <c r="A1405" s="247"/>
      <c r="B1405" s="410" t="s">
        <v>683</v>
      </c>
      <c r="C1405" s="247" t="s">
        <v>684</v>
      </c>
      <c r="D1405" s="247" t="s">
        <v>675</v>
      </c>
      <c r="E1405" s="372">
        <v>5.0000000000000001E-3</v>
      </c>
      <c r="F1405" s="360">
        <f>'UPAD-BAHAN-ALAT'!$I$14</f>
        <v>140000</v>
      </c>
      <c r="G1405" s="248">
        <f>F1405*E1405</f>
        <v>700</v>
      </c>
    </row>
    <row r="1406" spans="1:8">
      <c r="A1406" s="247"/>
      <c r="B1406" s="410"/>
      <c r="C1406" s="247"/>
      <c r="D1406" s="247"/>
      <c r="E1406" s="1144" t="s">
        <v>685</v>
      </c>
      <c r="F1406" s="1144"/>
      <c r="G1406" s="248">
        <f>SUM(G1403:G1405)</f>
        <v>9050</v>
      </c>
    </row>
    <row r="1407" spans="1:8">
      <c r="A1407" s="294" t="s">
        <v>686</v>
      </c>
      <c r="B1407" s="411" t="s">
        <v>687</v>
      </c>
      <c r="C1407" s="247"/>
      <c r="D1407" s="247"/>
      <c r="E1407" s="372"/>
      <c r="F1407" s="360"/>
      <c r="G1407" s="248"/>
    </row>
    <row r="1408" spans="1:8">
      <c r="A1408" s="247"/>
      <c r="B1408" s="410"/>
      <c r="C1408" s="247"/>
      <c r="D1408" s="247"/>
      <c r="E1408" s="1144" t="s">
        <v>702</v>
      </c>
      <c r="F1408" s="1144"/>
      <c r="G1408" s="248"/>
    </row>
    <row r="1409" spans="1:8" s="265" customFormat="1">
      <c r="A1409" s="294" t="s">
        <v>703</v>
      </c>
      <c r="B1409" s="1147" t="s">
        <v>3910</v>
      </c>
      <c r="C1409" s="1147"/>
      <c r="D1409" s="1147"/>
      <c r="E1409" s="1147"/>
      <c r="F1409" s="1147"/>
      <c r="G1409" s="255">
        <f>G1406+G1408</f>
        <v>9050</v>
      </c>
    </row>
    <row r="1410" spans="1:8" s="265" customFormat="1">
      <c r="A1410" s="294" t="s">
        <v>706</v>
      </c>
      <c r="B1410" s="1148" t="s">
        <v>876</v>
      </c>
      <c r="C1410" s="1148"/>
      <c r="D1410" s="1148"/>
      <c r="E1410" s="1147" t="s">
        <v>4030</v>
      </c>
      <c r="F1410" s="1147"/>
      <c r="G1410" s="255">
        <f>G1409*0.15</f>
        <v>1357.5</v>
      </c>
    </row>
    <row r="1411" spans="1:8" s="265" customFormat="1">
      <c r="A1411" s="294" t="s">
        <v>708</v>
      </c>
      <c r="B1411" s="1147" t="s">
        <v>3911</v>
      </c>
      <c r="C1411" s="1147"/>
      <c r="D1411" s="1147"/>
      <c r="E1411" s="1147"/>
      <c r="F1411" s="1147"/>
      <c r="G1411" s="255">
        <f>ROUND(SUM(G1409:G1410),2)</f>
        <v>10407.5</v>
      </c>
      <c r="H1411" s="255">
        <f>SUM(G1409:G1410)</f>
        <v>10407.5</v>
      </c>
    </row>
    <row r="1412" spans="1:8">
      <c r="A1412" s="268"/>
      <c r="B1412" s="269"/>
      <c r="C1412" s="268"/>
      <c r="D1412" s="268"/>
      <c r="E1412" s="380"/>
      <c r="F1412" s="365"/>
      <c r="G1412" s="270"/>
    </row>
    <row r="1413" spans="1:8">
      <c r="A1413" s="285" t="s">
        <v>4098</v>
      </c>
      <c r="B1413" s="250" t="s">
        <v>2856</v>
      </c>
      <c r="C1413" s="252"/>
      <c r="D1413" s="252"/>
      <c r="E1413" s="374"/>
      <c r="F1413" s="361"/>
      <c r="G1413" s="253"/>
    </row>
    <row r="1414" spans="1:8" s="292" customFormat="1" ht="24.95" customHeight="1">
      <c r="A1414" s="290" t="s">
        <v>1003</v>
      </c>
      <c r="B1414" s="290" t="s">
        <v>1004</v>
      </c>
      <c r="C1414" s="290" t="s">
        <v>1005</v>
      </c>
      <c r="D1414" s="290" t="s">
        <v>1006</v>
      </c>
      <c r="E1414" s="373" t="s">
        <v>1007</v>
      </c>
      <c r="F1414" s="363" t="s">
        <v>2637</v>
      </c>
      <c r="G1414" s="291" t="s">
        <v>2638</v>
      </c>
    </row>
    <row r="1415" spans="1:8">
      <c r="A1415" s="294" t="s">
        <v>671</v>
      </c>
      <c r="B1415" s="411" t="s">
        <v>672</v>
      </c>
      <c r="C1415" s="247"/>
      <c r="D1415" s="247"/>
      <c r="E1415" s="372"/>
      <c r="F1415" s="360"/>
      <c r="G1415" s="248"/>
    </row>
    <row r="1416" spans="1:8">
      <c r="A1416" s="247"/>
      <c r="B1416" s="410" t="s">
        <v>673</v>
      </c>
      <c r="C1416" s="247" t="s">
        <v>674</v>
      </c>
      <c r="D1416" s="247" t="s">
        <v>675</v>
      </c>
      <c r="E1416" s="372">
        <v>8.8999999999999996E-2</v>
      </c>
      <c r="F1416" s="360">
        <f>'UPAD-BAHAN-ALAT'!$I$12</f>
        <v>110000</v>
      </c>
      <c r="G1416" s="248">
        <f>F1416*E1416</f>
        <v>9790</v>
      </c>
    </row>
    <row r="1417" spans="1:8">
      <c r="A1417" s="247"/>
      <c r="B1417" s="410" t="s">
        <v>871</v>
      </c>
      <c r="C1417" s="247" t="s">
        <v>678</v>
      </c>
      <c r="D1417" s="247" t="s">
        <v>675</v>
      </c>
      <c r="E1417" s="372">
        <v>0.03</v>
      </c>
      <c r="F1417" s="360">
        <f>'UPAD-BAHAN-ALAT'!$I$13</f>
        <v>140000</v>
      </c>
      <c r="G1417" s="248">
        <f>F1417*E1417</f>
        <v>4200</v>
      </c>
    </row>
    <row r="1418" spans="1:8">
      <c r="A1418" s="247"/>
      <c r="B1418" s="410" t="s">
        <v>683</v>
      </c>
      <c r="C1418" s="247" t="s">
        <v>684</v>
      </c>
      <c r="D1418" s="247" t="s">
        <v>675</v>
      </c>
      <c r="E1418" s="372">
        <v>5.0000000000000001E-3</v>
      </c>
      <c r="F1418" s="360">
        <f>'UPAD-BAHAN-ALAT'!$I$14</f>
        <v>140000</v>
      </c>
      <c r="G1418" s="248">
        <f>F1418*E1418</f>
        <v>700</v>
      </c>
    </row>
    <row r="1419" spans="1:8">
      <c r="A1419" s="247"/>
      <c r="B1419" s="410"/>
      <c r="C1419" s="247"/>
      <c r="D1419" s="247"/>
      <c r="E1419" s="1146" t="s">
        <v>685</v>
      </c>
      <c r="F1419" s="1146"/>
      <c r="G1419" s="248">
        <f>SUM(G1416:G1418)</f>
        <v>14690</v>
      </c>
    </row>
    <row r="1420" spans="1:8">
      <c r="A1420" s="294" t="s">
        <v>686</v>
      </c>
      <c r="B1420" s="411" t="s">
        <v>687</v>
      </c>
      <c r="C1420" s="247"/>
      <c r="D1420" s="247"/>
      <c r="E1420" s="372"/>
      <c r="F1420" s="360"/>
      <c r="G1420" s="248"/>
    </row>
    <row r="1421" spans="1:8">
      <c r="A1421" s="247"/>
      <c r="B1421" s="410"/>
      <c r="C1421" s="247"/>
      <c r="D1421" s="247"/>
      <c r="E1421" s="1155" t="s">
        <v>702</v>
      </c>
      <c r="F1421" s="1155"/>
      <c r="G1421" s="248"/>
    </row>
    <row r="1422" spans="1:8" s="265" customFormat="1">
      <c r="A1422" s="294" t="s">
        <v>703</v>
      </c>
      <c r="B1422" s="1147" t="s">
        <v>3910</v>
      </c>
      <c r="C1422" s="1147"/>
      <c r="D1422" s="1147"/>
      <c r="E1422" s="1147"/>
      <c r="F1422" s="1147"/>
      <c r="G1422" s="255">
        <f>G1419+G1421</f>
        <v>14690</v>
      </c>
    </row>
    <row r="1423" spans="1:8" s="265" customFormat="1">
      <c r="A1423" s="294" t="s">
        <v>706</v>
      </c>
      <c r="B1423" s="1148" t="s">
        <v>876</v>
      </c>
      <c r="C1423" s="1148"/>
      <c r="D1423" s="1148"/>
      <c r="E1423" s="1147" t="s">
        <v>4030</v>
      </c>
      <c r="F1423" s="1147"/>
      <c r="G1423" s="255">
        <f>G1422*0.15</f>
        <v>2203.5</v>
      </c>
    </row>
    <row r="1424" spans="1:8" s="265" customFormat="1">
      <c r="A1424" s="294" t="s">
        <v>708</v>
      </c>
      <c r="B1424" s="1149" t="s">
        <v>3911</v>
      </c>
      <c r="C1424" s="1149"/>
      <c r="D1424" s="1149"/>
      <c r="E1424" s="1149"/>
      <c r="F1424" s="1149"/>
      <c r="G1424" s="255">
        <f>ROUND(SUM(G1422:G1423),2)</f>
        <v>16893.5</v>
      </c>
      <c r="H1424" s="255">
        <f>SUM(G1422:G1423)</f>
        <v>16893.5</v>
      </c>
    </row>
    <row r="1425" spans="1:8">
      <c r="A1425" s="268"/>
      <c r="B1425" s="269"/>
      <c r="C1425" s="268"/>
      <c r="D1425" s="268"/>
      <c r="E1425" s="380"/>
      <c r="F1425" s="365"/>
      <c r="G1425" s="270"/>
    </row>
    <row r="1426" spans="1:8">
      <c r="A1426" s="284" t="s">
        <v>4099</v>
      </c>
      <c r="B1426" s="250" t="s">
        <v>2857</v>
      </c>
      <c r="C1426" s="252"/>
      <c r="D1426" s="252"/>
      <c r="E1426" s="374"/>
      <c r="F1426" s="361"/>
      <c r="G1426" s="253"/>
    </row>
    <row r="1427" spans="1:8" s="292" customFormat="1" ht="24.95" customHeight="1">
      <c r="A1427" s="290" t="s">
        <v>1003</v>
      </c>
      <c r="B1427" s="290" t="s">
        <v>1004</v>
      </c>
      <c r="C1427" s="290" t="s">
        <v>1005</v>
      </c>
      <c r="D1427" s="290" t="s">
        <v>1006</v>
      </c>
      <c r="E1427" s="373" t="s">
        <v>1007</v>
      </c>
      <c r="F1427" s="363" t="s">
        <v>2637</v>
      </c>
      <c r="G1427" s="291" t="s">
        <v>2638</v>
      </c>
    </row>
    <row r="1428" spans="1:8">
      <c r="A1428" s="294" t="s">
        <v>671</v>
      </c>
      <c r="B1428" s="411" t="s">
        <v>672</v>
      </c>
      <c r="C1428" s="247"/>
      <c r="D1428" s="247"/>
      <c r="E1428" s="372"/>
      <c r="F1428" s="360"/>
      <c r="G1428" s="248"/>
    </row>
    <row r="1429" spans="1:8">
      <c r="A1429" s="247"/>
      <c r="B1429" s="410" t="s">
        <v>673</v>
      </c>
      <c r="C1429" s="247" t="s">
        <v>674</v>
      </c>
      <c r="D1429" s="247" t="s">
        <v>675</v>
      </c>
      <c r="E1429" s="372">
        <v>7.0999999999999994E-2</v>
      </c>
      <c r="F1429" s="360">
        <f>'UPAD-BAHAN-ALAT'!$I$12</f>
        <v>110000</v>
      </c>
      <c r="G1429" s="248">
        <f>F1429*E1429</f>
        <v>7809.9999999999991</v>
      </c>
    </row>
    <row r="1430" spans="1:8">
      <c r="A1430" s="247"/>
      <c r="B1430" s="410" t="s">
        <v>871</v>
      </c>
      <c r="C1430" s="247" t="s">
        <v>678</v>
      </c>
      <c r="D1430" s="247" t="s">
        <v>675</v>
      </c>
      <c r="E1430" s="372">
        <v>2.4E-2</v>
      </c>
      <c r="F1430" s="360">
        <f>'UPAD-BAHAN-ALAT'!$I$13</f>
        <v>140000</v>
      </c>
      <c r="G1430" s="248">
        <f>F1430*E1430</f>
        <v>3360</v>
      </c>
    </row>
    <row r="1431" spans="1:8">
      <c r="A1431" s="247"/>
      <c r="B1431" s="410" t="s">
        <v>683</v>
      </c>
      <c r="C1431" s="247" t="s">
        <v>684</v>
      </c>
      <c r="D1431" s="247" t="s">
        <v>675</v>
      </c>
      <c r="E1431" s="372">
        <v>5.0000000000000001E-3</v>
      </c>
      <c r="F1431" s="360">
        <f>'UPAD-BAHAN-ALAT'!$I$14</f>
        <v>140000</v>
      </c>
      <c r="G1431" s="248">
        <f>F1431*E1431</f>
        <v>700</v>
      </c>
    </row>
    <row r="1432" spans="1:8">
      <c r="A1432" s="247"/>
      <c r="B1432" s="410"/>
      <c r="C1432" s="247"/>
      <c r="D1432" s="247"/>
      <c r="E1432" s="1146" t="s">
        <v>685</v>
      </c>
      <c r="F1432" s="1146"/>
      <c r="G1432" s="248">
        <f>SUM(G1429:G1431)</f>
        <v>11870</v>
      </c>
    </row>
    <row r="1433" spans="1:8">
      <c r="A1433" s="294" t="s">
        <v>686</v>
      </c>
      <c r="B1433" s="411" t="s">
        <v>687</v>
      </c>
      <c r="C1433" s="247"/>
      <c r="D1433" s="247"/>
      <c r="E1433" s="372"/>
      <c r="F1433" s="360"/>
      <c r="G1433" s="248"/>
    </row>
    <row r="1434" spans="1:8">
      <c r="A1434" s="247"/>
      <c r="B1434" s="410"/>
      <c r="C1434" s="247"/>
      <c r="D1434" s="247"/>
      <c r="E1434" s="1155" t="s">
        <v>702</v>
      </c>
      <c r="F1434" s="1155"/>
      <c r="G1434" s="248"/>
    </row>
    <row r="1435" spans="1:8" s="265" customFormat="1">
      <c r="A1435" s="294" t="s">
        <v>703</v>
      </c>
      <c r="B1435" s="1151" t="s">
        <v>3910</v>
      </c>
      <c r="C1435" s="1151"/>
      <c r="D1435" s="1151"/>
      <c r="E1435" s="1151"/>
      <c r="F1435" s="1151"/>
      <c r="G1435" s="255">
        <f>G1432+G1434</f>
        <v>11870</v>
      </c>
    </row>
    <row r="1436" spans="1:8" s="265" customFormat="1">
      <c r="A1436" s="294" t="s">
        <v>706</v>
      </c>
      <c r="B1436" s="1148" t="s">
        <v>876</v>
      </c>
      <c r="C1436" s="1148"/>
      <c r="D1436" s="1148"/>
      <c r="E1436" s="1147" t="s">
        <v>4030</v>
      </c>
      <c r="F1436" s="1147"/>
      <c r="G1436" s="255">
        <f>G1435*0.15</f>
        <v>1780.5</v>
      </c>
    </row>
    <row r="1437" spans="1:8" s="265" customFormat="1">
      <c r="A1437" s="294" t="s">
        <v>708</v>
      </c>
      <c r="B1437" s="1149" t="s">
        <v>3911</v>
      </c>
      <c r="C1437" s="1149"/>
      <c r="D1437" s="1149"/>
      <c r="E1437" s="1149"/>
      <c r="F1437" s="1149"/>
      <c r="G1437" s="255">
        <f>ROUND(SUM(G1435:G1436),2)</f>
        <v>13650.5</v>
      </c>
      <c r="H1437" s="255">
        <f>SUM(G1435:G1436)</f>
        <v>13650.5</v>
      </c>
    </row>
    <row r="1439" spans="1:8">
      <c r="A1439" s="286" t="s">
        <v>4100</v>
      </c>
      <c r="B1439" s="265" t="s">
        <v>2858</v>
      </c>
    </row>
    <row r="1440" spans="1:8" s="292" customFormat="1" ht="24.95" customHeight="1">
      <c r="A1440" s="290" t="s">
        <v>1003</v>
      </c>
      <c r="B1440" s="290" t="s">
        <v>1004</v>
      </c>
      <c r="C1440" s="290" t="s">
        <v>1005</v>
      </c>
      <c r="D1440" s="290" t="s">
        <v>1006</v>
      </c>
      <c r="E1440" s="373" t="s">
        <v>1007</v>
      </c>
      <c r="F1440" s="363" t="s">
        <v>2637</v>
      </c>
      <c r="G1440" s="291" t="s">
        <v>2638</v>
      </c>
    </row>
    <row r="1441" spans="1:8">
      <c r="A1441" s="294" t="s">
        <v>671</v>
      </c>
      <c r="B1441" s="411" t="s">
        <v>672</v>
      </c>
      <c r="C1441" s="247"/>
      <c r="D1441" s="247"/>
      <c r="E1441" s="372"/>
      <c r="F1441" s="360"/>
      <c r="G1441" s="248"/>
    </row>
    <row r="1442" spans="1:8">
      <c r="A1442" s="247"/>
      <c r="B1442" s="410" t="s">
        <v>673</v>
      </c>
      <c r="C1442" s="247" t="s">
        <v>674</v>
      </c>
      <c r="D1442" s="247" t="s">
        <v>675</v>
      </c>
      <c r="E1442" s="372">
        <v>6.4000000000000001E-2</v>
      </c>
      <c r="F1442" s="360">
        <f>'UPAD-BAHAN-ALAT'!$I$12</f>
        <v>110000</v>
      </c>
      <c r="G1442" s="248">
        <f>F1442*E1442</f>
        <v>7040</v>
      </c>
    </row>
    <row r="1443" spans="1:8">
      <c r="A1443" s="247"/>
      <c r="B1443" s="410" t="s">
        <v>731</v>
      </c>
      <c r="C1443" s="247" t="s">
        <v>678</v>
      </c>
      <c r="D1443" s="247" t="s">
        <v>675</v>
      </c>
      <c r="E1443" s="372">
        <v>0.24399999999999999</v>
      </c>
      <c r="F1443" s="360">
        <f>'UPAD-BAHAN-ALAT'!$I$13</f>
        <v>140000</v>
      </c>
      <c r="G1443" s="248">
        <f>F1443*E1443</f>
        <v>34160</v>
      </c>
    </row>
    <row r="1444" spans="1:8">
      <c r="A1444" s="247"/>
      <c r="B1444" s="410" t="s">
        <v>917</v>
      </c>
      <c r="C1444" s="247" t="s">
        <v>678</v>
      </c>
      <c r="D1444" s="247" t="s">
        <v>675</v>
      </c>
      <c r="E1444" s="372">
        <v>0.128</v>
      </c>
      <c r="F1444" s="360">
        <f>'UPAD-BAHAN-ALAT'!$I$13</f>
        <v>140000</v>
      </c>
      <c r="G1444" s="248">
        <f>F1444*E1444</f>
        <v>17920</v>
      </c>
    </row>
    <row r="1445" spans="1:8">
      <c r="A1445" s="247"/>
      <c r="B1445" s="410" t="s">
        <v>680</v>
      </c>
      <c r="C1445" s="247" t="s">
        <v>681</v>
      </c>
      <c r="D1445" s="247" t="s">
        <v>675</v>
      </c>
      <c r="E1445" s="372">
        <v>3.4000000000000002E-2</v>
      </c>
      <c r="F1445" s="360">
        <f>'UPAD-BAHAN-ALAT'!$I$15</f>
        <v>150000</v>
      </c>
      <c r="G1445" s="248">
        <f>F1445*E1445</f>
        <v>5100</v>
      </c>
    </row>
    <row r="1446" spans="1:8">
      <c r="A1446" s="247"/>
      <c r="B1446" s="410" t="s">
        <v>683</v>
      </c>
      <c r="C1446" s="247" t="s">
        <v>684</v>
      </c>
      <c r="D1446" s="247" t="s">
        <v>675</v>
      </c>
      <c r="E1446" s="372">
        <v>7.2999999999999995E-2</v>
      </c>
      <c r="F1446" s="360">
        <f>'UPAD-BAHAN-ALAT'!$I$14</f>
        <v>140000</v>
      </c>
      <c r="G1446" s="248">
        <f>F1446*E1446</f>
        <v>10220</v>
      </c>
    </row>
    <row r="1447" spans="1:8">
      <c r="A1447" s="247"/>
      <c r="B1447" s="410"/>
      <c r="C1447" s="247"/>
      <c r="D1447" s="247"/>
      <c r="E1447" s="1146" t="s">
        <v>685</v>
      </c>
      <c r="F1447" s="1146"/>
      <c r="G1447" s="248">
        <f>SUM(G1442:G1446)</f>
        <v>74440</v>
      </c>
    </row>
    <row r="1448" spans="1:8">
      <c r="A1448" s="294" t="s">
        <v>686</v>
      </c>
      <c r="B1448" s="411" t="s">
        <v>687</v>
      </c>
      <c r="C1448" s="247"/>
      <c r="D1448" s="247"/>
      <c r="E1448" s="372"/>
      <c r="F1448" s="360"/>
      <c r="G1448" s="248"/>
    </row>
    <row r="1449" spans="1:8">
      <c r="A1449" s="247"/>
      <c r="B1449" s="295"/>
      <c r="C1449" s="296"/>
      <c r="D1449" s="296"/>
      <c r="E1449" s="1146" t="s">
        <v>702</v>
      </c>
      <c r="F1449" s="1146"/>
      <c r="G1449" s="248"/>
    </row>
    <row r="1450" spans="1:8" s="265" customFormat="1">
      <c r="A1450" s="294" t="s">
        <v>703</v>
      </c>
      <c r="B1450" s="1147" t="s">
        <v>3910</v>
      </c>
      <c r="C1450" s="1147"/>
      <c r="D1450" s="1147"/>
      <c r="E1450" s="1147"/>
      <c r="F1450" s="1147"/>
      <c r="G1450" s="255">
        <f>G1447+G1449</f>
        <v>74440</v>
      </c>
    </row>
    <row r="1451" spans="1:8" s="265" customFormat="1">
      <c r="A1451" s="294" t="s">
        <v>706</v>
      </c>
      <c r="B1451" s="1148" t="s">
        <v>876</v>
      </c>
      <c r="C1451" s="1148"/>
      <c r="D1451" s="1148"/>
      <c r="E1451" s="1147" t="s">
        <v>4030</v>
      </c>
      <c r="F1451" s="1147"/>
      <c r="G1451" s="255">
        <f>G1450*0.15</f>
        <v>11166</v>
      </c>
    </row>
    <row r="1452" spans="1:8" s="265" customFormat="1">
      <c r="A1452" s="294" t="s">
        <v>708</v>
      </c>
      <c r="B1452" s="1149" t="s">
        <v>3911</v>
      </c>
      <c r="C1452" s="1149"/>
      <c r="D1452" s="1149"/>
      <c r="E1452" s="1149"/>
      <c r="F1452" s="1149"/>
      <c r="G1452" s="255">
        <f>ROUND(SUM(G1450:G1451),2)</f>
        <v>85606</v>
      </c>
      <c r="H1452" s="255">
        <f>SUM(G1450:G1451)</f>
        <v>85606</v>
      </c>
    </row>
    <row r="1453" spans="1:8">
      <c r="A1453" s="268"/>
      <c r="B1453" s="269"/>
      <c r="C1453" s="268"/>
      <c r="D1453" s="268"/>
      <c r="E1453" s="380"/>
      <c r="F1453" s="365"/>
      <c r="G1453" s="270"/>
    </row>
    <row r="1454" spans="1:8">
      <c r="A1454" s="285" t="s">
        <v>4101</v>
      </c>
      <c r="B1454" s="250" t="s">
        <v>2859</v>
      </c>
      <c r="C1454" s="252"/>
      <c r="D1454" s="252"/>
      <c r="E1454" s="374"/>
      <c r="F1454" s="361"/>
      <c r="G1454" s="253"/>
    </row>
    <row r="1455" spans="1:8" s="292" customFormat="1" ht="24.95" customHeight="1">
      <c r="A1455" s="290" t="s">
        <v>1003</v>
      </c>
      <c r="B1455" s="290" t="s">
        <v>1004</v>
      </c>
      <c r="C1455" s="290" t="s">
        <v>1005</v>
      </c>
      <c r="D1455" s="290" t="s">
        <v>1006</v>
      </c>
      <c r="E1455" s="373" t="s">
        <v>1007</v>
      </c>
      <c r="F1455" s="363" t="s">
        <v>2637</v>
      </c>
      <c r="G1455" s="291" t="s">
        <v>2638</v>
      </c>
    </row>
    <row r="1456" spans="1:8">
      <c r="A1456" s="294" t="s">
        <v>671</v>
      </c>
      <c r="B1456" s="411" t="s">
        <v>672</v>
      </c>
      <c r="C1456" s="247"/>
      <c r="D1456" s="247"/>
      <c r="E1456" s="372"/>
      <c r="F1456" s="360"/>
      <c r="G1456" s="248"/>
    </row>
    <row r="1457" spans="1:8">
      <c r="A1457" s="247"/>
      <c r="B1457" s="410" t="s">
        <v>673</v>
      </c>
      <c r="C1457" s="247" t="s">
        <v>674</v>
      </c>
      <c r="D1457" s="247" t="s">
        <v>675</v>
      </c>
      <c r="E1457" s="372">
        <v>6.9000000000000006E-2</v>
      </c>
      <c r="F1457" s="360">
        <f>'UPAD-BAHAN-ALAT'!$I$12</f>
        <v>110000</v>
      </c>
      <c r="G1457" s="248">
        <f>F1457*E1457</f>
        <v>7590.0000000000009</v>
      </c>
    </row>
    <row r="1458" spans="1:8">
      <c r="A1458" s="247"/>
      <c r="B1458" s="410" t="s">
        <v>731</v>
      </c>
      <c r="C1458" s="247" t="s">
        <v>678</v>
      </c>
      <c r="D1458" s="247" t="s">
        <v>675</v>
      </c>
      <c r="E1458" s="372">
        <v>0.24199999999999999</v>
      </c>
      <c r="F1458" s="360">
        <f>'UPAD-BAHAN-ALAT'!$I$13</f>
        <v>140000</v>
      </c>
      <c r="G1458" s="248">
        <f>F1458*E1458</f>
        <v>33880</v>
      </c>
    </row>
    <row r="1459" spans="1:8">
      <c r="A1459" s="247"/>
      <c r="B1459" s="410" t="s">
        <v>917</v>
      </c>
      <c r="C1459" s="247" t="s">
        <v>678</v>
      </c>
      <c r="D1459" s="247" t="s">
        <v>675</v>
      </c>
      <c r="E1459" s="372">
        <v>0.13800000000000001</v>
      </c>
      <c r="F1459" s="360">
        <f>'UPAD-BAHAN-ALAT'!$I$13</f>
        <v>140000</v>
      </c>
      <c r="G1459" s="248">
        <f>F1459*E1459</f>
        <v>19320</v>
      </c>
    </row>
    <row r="1460" spans="1:8">
      <c r="A1460" s="247"/>
      <c r="B1460" s="410" t="s">
        <v>680</v>
      </c>
      <c r="C1460" s="247" t="s">
        <v>681</v>
      </c>
      <c r="D1460" s="247" t="s">
        <v>675</v>
      </c>
      <c r="E1460" s="372">
        <v>3.6999999999999998E-2</v>
      </c>
      <c r="F1460" s="360">
        <f>'UPAD-BAHAN-ALAT'!$I$15</f>
        <v>150000</v>
      </c>
      <c r="G1460" s="248">
        <f>F1460*E1460</f>
        <v>5550</v>
      </c>
    </row>
    <row r="1461" spans="1:8">
      <c r="A1461" s="247"/>
      <c r="B1461" s="410" t="s">
        <v>683</v>
      </c>
      <c r="C1461" s="247" t="s">
        <v>684</v>
      </c>
      <c r="D1461" s="247" t="s">
        <v>675</v>
      </c>
      <c r="E1461" s="372">
        <v>7.2999999999999995E-2</v>
      </c>
      <c r="F1461" s="360">
        <f>'UPAD-BAHAN-ALAT'!$I$14</f>
        <v>140000</v>
      </c>
      <c r="G1461" s="248">
        <f>F1461*E1461</f>
        <v>10220</v>
      </c>
    </row>
    <row r="1462" spans="1:8">
      <c r="A1462" s="247"/>
      <c r="B1462" s="410"/>
      <c r="C1462" s="247"/>
      <c r="D1462" s="247"/>
      <c r="E1462" s="1146" t="s">
        <v>685</v>
      </c>
      <c r="F1462" s="1146"/>
      <c r="G1462" s="248">
        <f>SUM(G1457:G1461)</f>
        <v>76560</v>
      </c>
    </row>
    <row r="1463" spans="1:8">
      <c r="A1463" s="294" t="s">
        <v>686</v>
      </c>
      <c r="B1463" s="411" t="s">
        <v>687</v>
      </c>
      <c r="C1463" s="247"/>
      <c r="D1463" s="247"/>
      <c r="E1463" s="372"/>
      <c r="F1463" s="360"/>
      <c r="G1463" s="248"/>
    </row>
    <row r="1464" spans="1:8">
      <c r="A1464" s="247"/>
      <c r="B1464" s="295"/>
      <c r="C1464" s="296"/>
      <c r="D1464" s="296"/>
      <c r="E1464" s="1146" t="s">
        <v>702</v>
      </c>
      <c r="F1464" s="1146"/>
      <c r="G1464" s="248"/>
    </row>
    <row r="1465" spans="1:8" s="265" customFormat="1">
      <c r="A1465" s="294" t="s">
        <v>703</v>
      </c>
      <c r="B1465" s="1147" t="s">
        <v>3910</v>
      </c>
      <c r="C1465" s="1147"/>
      <c r="D1465" s="1147"/>
      <c r="E1465" s="1147"/>
      <c r="F1465" s="1147"/>
      <c r="G1465" s="255">
        <f>G1462+G1464</f>
        <v>76560</v>
      </c>
    </row>
    <row r="1466" spans="1:8" s="265" customFormat="1">
      <c r="A1466" s="294" t="s">
        <v>706</v>
      </c>
      <c r="B1466" s="1148" t="s">
        <v>876</v>
      </c>
      <c r="C1466" s="1148"/>
      <c r="D1466" s="1148"/>
      <c r="E1466" s="1147" t="s">
        <v>4030</v>
      </c>
      <c r="F1466" s="1147"/>
      <c r="G1466" s="255">
        <f>G1465*0.15</f>
        <v>11484</v>
      </c>
    </row>
    <row r="1467" spans="1:8" s="265" customFormat="1">
      <c r="A1467" s="294" t="s">
        <v>708</v>
      </c>
      <c r="B1467" s="1149" t="s">
        <v>3911</v>
      </c>
      <c r="C1467" s="1149"/>
      <c r="D1467" s="1149"/>
      <c r="E1467" s="1149"/>
      <c r="F1467" s="1149"/>
      <c r="G1467" s="255">
        <f>ROUND(SUM(G1465:G1466),2)</f>
        <v>88044</v>
      </c>
      <c r="H1467" s="255">
        <f>SUM(G1465:G1466)</f>
        <v>88044</v>
      </c>
    </row>
    <row r="1469" spans="1:8">
      <c r="A1469" s="286" t="s">
        <v>4102</v>
      </c>
      <c r="B1469" s="265" t="s">
        <v>2860</v>
      </c>
    </row>
    <row r="1470" spans="1:8" s="292" customFormat="1" ht="24.95" customHeight="1">
      <c r="A1470" s="290" t="s">
        <v>1003</v>
      </c>
      <c r="B1470" s="290" t="s">
        <v>1004</v>
      </c>
      <c r="C1470" s="290" t="s">
        <v>1005</v>
      </c>
      <c r="D1470" s="290" t="s">
        <v>1006</v>
      </c>
      <c r="E1470" s="373" t="s">
        <v>1007</v>
      </c>
      <c r="F1470" s="363" t="s">
        <v>2637</v>
      </c>
      <c r="G1470" s="291" t="s">
        <v>2638</v>
      </c>
    </row>
    <row r="1471" spans="1:8">
      <c r="A1471" s="294" t="s">
        <v>671</v>
      </c>
      <c r="B1471" s="411" t="s">
        <v>672</v>
      </c>
      <c r="C1471" s="247"/>
      <c r="D1471" s="247"/>
      <c r="E1471" s="372"/>
      <c r="F1471" s="360"/>
      <c r="G1471" s="248"/>
    </row>
    <row r="1472" spans="1:8">
      <c r="A1472" s="247"/>
      <c r="B1472" s="410" t="s">
        <v>673</v>
      </c>
      <c r="C1472" s="247" t="s">
        <v>674</v>
      </c>
      <c r="D1472" s="247" t="s">
        <v>675</v>
      </c>
      <c r="E1472" s="372">
        <v>6.0999999999999999E-2</v>
      </c>
      <c r="F1472" s="360">
        <f>'UPAD-BAHAN-ALAT'!$I$12</f>
        <v>110000</v>
      </c>
      <c r="G1472" s="248">
        <f>F1472*E1472</f>
        <v>6710</v>
      </c>
    </row>
    <row r="1473" spans="1:8">
      <c r="A1473" s="247"/>
      <c r="B1473" s="410" t="s">
        <v>731</v>
      </c>
      <c r="C1473" s="247" t="s">
        <v>678</v>
      </c>
      <c r="D1473" s="247" t="s">
        <v>675</v>
      </c>
      <c r="E1473" s="372">
        <v>0.21299999999999999</v>
      </c>
      <c r="F1473" s="360">
        <f>'UPAD-BAHAN-ALAT'!$I$13</f>
        <v>140000</v>
      </c>
      <c r="G1473" s="248">
        <f>F1473*E1473</f>
        <v>29820</v>
      </c>
    </row>
    <row r="1474" spans="1:8">
      <c r="A1474" s="247"/>
      <c r="B1474" s="410" t="s">
        <v>917</v>
      </c>
      <c r="C1474" s="247" t="s">
        <v>678</v>
      </c>
      <c r="D1474" s="247" t="s">
        <v>675</v>
      </c>
      <c r="E1474" s="372">
        <v>0.122</v>
      </c>
      <c r="F1474" s="360">
        <f>'UPAD-BAHAN-ALAT'!$I$13</f>
        <v>140000</v>
      </c>
      <c r="G1474" s="248">
        <f>F1474*E1474</f>
        <v>17080</v>
      </c>
    </row>
    <row r="1475" spans="1:8">
      <c r="A1475" s="247"/>
      <c r="B1475" s="410" t="s">
        <v>680</v>
      </c>
      <c r="C1475" s="247" t="s">
        <v>681</v>
      </c>
      <c r="D1475" s="247" t="s">
        <v>675</v>
      </c>
      <c r="E1475" s="372">
        <v>3.3000000000000002E-2</v>
      </c>
      <c r="F1475" s="360">
        <f>'UPAD-BAHAN-ALAT'!$I$15</f>
        <v>150000</v>
      </c>
      <c r="G1475" s="248">
        <f>F1475*E1475</f>
        <v>4950</v>
      </c>
    </row>
    <row r="1476" spans="1:8">
      <c r="A1476" s="247"/>
      <c r="B1476" s="410" t="s">
        <v>683</v>
      </c>
      <c r="C1476" s="247" t="s">
        <v>684</v>
      </c>
      <c r="D1476" s="247" t="s">
        <v>675</v>
      </c>
      <c r="E1476" s="372">
        <v>7.2999999999999995E-2</v>
      </c>
      <c r="F1476" s="360">
        <f>'UPAD-BAHAN-ALAT'!$I$14</f>
        <v>140000</v>
      </c>
      <c r="G1476" s="248">
        <f>F1476*E1476</f>
        <v>10220</v>
      </c>
    </row>
    <row r="1477" spans="1:8">
      <c r="A1477" s="247"/>
      <c r="B1477" s="410"/>
      <c r="C1477" s="247"/>
      <c r="D1477" s="247"/>
      <c r="E1477" s="1146" t="s">
        <v>685</v>
      </c>
      <c r="F1477" s="1146"/>
      <c r="G1477" s="248">
        <f>SUM(G1472:G1476)</f>
        <v>68780</v>
      </c>
    </row>
    <row r="1478" spans="1:8">
      <c r="A1478" s="294" t="s">
        <v>686</v>
      </c>
      <c r="B1478" s="411" t="s">
        <v>687</v>
      </c>
      <c r="C1478" s="247"/>
      <c r="D1478" s="247"/>
      <c r="E1478" s="372"/>
      <c r="F1478" s="360"/>
      <c r="G1478" s="248"/>
    </row>
    <row r="1479" spans="1:8">
      <c r="A1479" s="247"/>
      <c r="B1479" s="295"/>
      <c r="C1479" s="296"/>
      <c r="D1479" s="296"/>
      <c r="E1479" s="1146" t="s">
        <v>702</v>
      </c>
      <c r="F1479" s="1146"/>
      <c r="G1479" s="248"/>
    </row>
    <row r="1480" spans="1:8" s="265" customFormat="1">
      <c r="A1480" s="294" t="s">
        <v>703</v>
      </c>
      <c r="B1480" s="1147" t="s">
        <v>3910</v>
      </c>
      <c r="C1480" s="1147"/>
      <c r="D1480" s="1147"/>
      <c r="E1480" s="1147"/>
      <c r="F1480" s="1147"/>
      <c r="G1480" s="255">
        <f>G1477+G1479</f>
        <v>68780</v>
      </c>
    </row>
    <row r="1481" spans="1:8" s="265" customFormat="1">
      <c r="A1481" s="294" t="s">
        <v>706</v>
      </c>
      <c r="B1481" s="1148" t="s">
        <v>876</v>
      </c>
      <c r="C1481" s="1148"/>
      <c r="D1481" s="1148"/>
      <c r="E1481" s="1147" t="s">
        <v>4030</v>
      </c>
      <c r="F1481" s="1147"/>
      <c r="G1481" s="255">
        <f>G1480*0.15</f>
        <v>10317</v>
      </c>
    </row>
    <row r="1482" spans="1:8" s="265" customFormat="1">
      <c r="A1482" s="294" t="s">
        <v>708</v>
      </c>
      <c r="B1482" s="1149" t="s">
        <v>3911</v>
      </c>
      <c r="C1482" s="1149"/>
      <c r="D1482" s="1149"/>
      <c r="E1482" s="1149"/>
      <c r="F1482" s="1149"/>
      <c r="G1482" s="255">
        <f>ROUND(SUM(G1480:G1481),2)</f>
        <v>79097</v>
      </c>
      <c r="H1482" s="255">
        <f>SUM(G1480:G1481)</f>
        <v>79097</v>
      </c>
    </row>
    <row r="1483" spans="1:8">
      <c r="A1483" s="268"/>
      <c r="B1483" s="269"/>
      <c r="C1483" s="268"/>
      <c r="D1483" s="268"/>
      <c r="E1483" s="380"/>
      <c r="F1483" s="365"/>
      <c r="G1483" s="270"/>
    </row>
    <row r="1484" spans="1:8">
      <c r="A1484" s="285" t="s">
        <v>4103</v>
      </c>
      <c r="B1484" s="250" t="s">
        <v>2861</v>
      </c>
      <c r="C1484" s="252"/>
      <c r="D1484" s="252"/>
      <c r="E1484" s="374"/>
      <c r="F1484" s="361"/>
      <c r="G1484" s="253"/>
    </row>
    <row r="1485" spans="1:8" s="292" customFormat="1" ht="24.95" customHeight="1">
      <c r="A1485" s="290" t="s">
        <v>1003</v>
      </c>
      <c r="B1485" s="290" t="s">
        <v>1004</v>
      </c>
      <c r="C1485" s="290" t="s">
        <v>1005</v>
      </c>
      <c r="D1485" s="290" t="s">
        <v>1006</v>
      </c>
      <c r="E1485" s="373" t="s">
        <v>1007</v>
      </c>
      <c r="F1485" s="363" t="s">
        <v>2637</v>
      </c>
      <c r="G1485" s="291" t="s">
        <v>2638</v>
      </c>
    </row>
    <row r="1486" spans="1:8">
      <c r="A1486" s="294" t="s">
        <v>671</v>
      </c>
      <c r="B1486" s="411" t="s">
        <v>672</v>
      </c>
      <c r="C1486" s="247"/>
      <c r="D1486" s="247"/>
      <c r="E1486" s="372"/>
      <c r="F1486" s="360"/>
      <c r="G1486" s="248"/>
    </row>
    <row r="1487" spans="1:8">
      <c r="A1487" s="247"/>
      <c r="B1487" s="410" t="s">
        <v>673</v>
      </c>
      <c r="C1487" s="247" t="s">
        <v>674</v>
      </c>
      <c r="D1487" s="247" t="s">
        <v>675</v>
      </c>
      <c r="E1487" s="372">
        <v>6.7000000000000004E-2</v>
      </c>
      <c r="F1487" s="360">
        <f>'UPAD-BAHAN-ALAT'!$I$12</f>
        <v>110000</v>
      </c>
      <c r="G1487" s="248">
        <f>F1487*E1487</f>
        <v>7370</v>
      </c>
    </row>
    <row r="1488" spans="1:8">
      <c r="A1488" s="247"/>
      <c r="B1488" s="410" t="s">
        <v>731</v>
      </c>
      <c r="C1488" s="247" t="s">
        <v>678</v>
      </c>
      <c r="D1488" s="247" t="s">
        <v>675</v>
      </c>
      <c r="E1488" s="372">
        <v>6.7000000000000004E-2</v>
      </c>
      <c r="F1488" s="360">
        <f>'UPAD-BAHAN-ALAT'!$I$13</f>
        <v>140000</v>
      </c>
      <c r="G1488" s="248">
        <f>F1488*E1488</f>
        <v>9380</v>
      </c>
    </row>
    <row r="1489" spans="1:8">
      <c r="A1489" s="247"/>
      <c r="B1489" s="410" t="s">
        <v>4013</v>
      </c>
      <c r="C1489" s="247" t="s">
        <v>678</v>
      </c>
      <c r="D1489" s="247" t="s">
        <v>675</v>
      </c>
      <c r="E1489" s="372">
        <v>0.13400000000000001</v>
      </c>
      <c r="F1489" s="360">
        <f>'UPAD-BAHAN-ALAT'!$I$13</f>
        <v>140000</v>
      </c>
      <c r="G1489" s="248">
        <f>F1489*E1489</f>
        <v>18760</v>
      </c>
    </row>
    <row r="1490" spans="1:8">
      <c r="A1490" s="247"/>
      <c r="B1490" s="410" t="s">
        <v>680</v>
      </c>
      <c r="C1490" s="247" t="s">
        <v>681</v>
      </c>
      <c r="D1490" s="247" t="s">
        <v>675</v>
      </c>
      <c r="E1490" s="372">
        <v>6.7000000000000004E-2</v>
      </c>
      <c r="F1490" s="360">
        <f>'UPAD-BAHAN-ALAT'!$I$15</f>
        <v>150000</v>
      </c>
      <c r="G1490" s="248">
        <f>F1490*E1490</f>
        <v>10050</v>
      </c>
    </row>
    <row r="1491" spans="1:8">
      <c r="A1491" s="247"/>
      <c r="B1491" s="410" t="s">
        <v>683</v>
      </c>
      <c r="C1491" s="247" t="s">
        <v>684</v>
      </c>
      <c r="D1491" s="247" t="s">
        <v>675</v>
      </c>
      <c r="E1491" s="372">
        <v>6.7000000000000004E-2</v>
      </c>
      <c r="F1491" s="360">
        <f>'UPAD-BAHAN-ALAT'!$I$14</f>
        <v>140000</v>
      </c>
      <c r="G1491" s="248">
        <f>F1491*E1491</f>
        <v>9380</v>
      </c>
    </row>
    <row r="1492" spans="1:8">
      <c r="A1492" s="247"/>
      <c r="B1492" s="410"/>
      <c r="C1492" s="247"/>
      <c r="D1492" s="247"/>
      <c r="E1492" s="1146" t="s">
        <v>685</v>
      </c>
      <c r="F1492" s="1146"/>
      <c r="G1492" s="248">
        <f>SUM(G1487:G1491)</f>
        <v>54940</v>
      </c>
    </row>
    <row r="1493" spans="1:8">
      <c r="A1493" s="294" t="s">
        <v>686</v>
      </c>
      <c r="B1493" s="411" t="s">
        <v>687</v>
      </c>
      <c r="C1493" s="247"/>
      <c r="D1493" s="247"/>
      <c r="E1493" s="372"/>
      <c r="F1493" s="360"/>
      <c r="G1493" s="248"/>
    </row>
    <row r="1494" spans="1:8">
      <c r="A1494" s="247"/>
      <c r="B1494" s="410" t="s">
        <v>926</v>
      </c>
      <c r="C1494" s="247"/>
      <c r="D1494" s="247" t="s">
        <v>896</v>
      </c>
      <c r="E1494" s="372">
        <v>6.6760000000000002</v>
      </c>
      <c r="F1494" s="360">
        <f>'UPAD-BAHAN-ALAT'!$I$515</f>
        <v>9600</v>
      </c>
      <c r="G1494" s="248">
        <f>F1494*E1494</f>
        <v>64089.599999999999</v>
      </c>
    </row>
    <row r="1495" spans="1:8">
      <c r="A1495" s="247"/>
      <c r="B1495" s="410"/>
      <c r="C1495" s="247"/>
      <c r="D1495" s="247"/>
      <c r="E1495" s="1146" t="s">
        <v>702</v>
      </c>
      <c r="F1495" s="1146"/>
      <c r="G1495" s="248">
        <f>SUM(G1494)</f>
        <v>64089.599999999999</v>
      </c>
    </row>
    <row r="1496" spans="1:8">
      <c r="A1496" s="294" t="s">
        <v>703</v>
      </c>
      <c r="B1496" s="411" t="s">
        <v>704</v>
      </c>
      <c r="C1496" s="247"/>
      <c r="D1496" s="247"/>
      <c r="E1496" s="372"/>
      <c r="F1496" s="360"/>
      <c r="G1496" s="248"/>
    </row>
    <row r="1497" spans="1:8">
      <c r="A1497" s="247"/>
      <c r="B1497" s="410" t="s">
        <v>927</v>
      </c>
      <c r="C1497" s="247"/>
      <c r="D1497" s="247" t="s">
        <v>928</v>
      </c>
      <c r="E1497" s="372">
        <v>6.7000000000000004E-2</v>
      </c>
      <c r="F1497" s="360">
        <f>'UPAD-BAHAN-ALAT'!$I$580</f>
        <v>300000</v>
      </c>
      <c r="G1497" s="248">
        <f>F1497*E1497</f>
        <v>20100</v>
      </c>
    </row>
    <row r="1498" spans="1:8">
      <c r="A1498" s="247"/>
      <c r="B1498" s="410" t="s">
        <v>929</v>
      </c>
      <c r="C1498" s="247"/>
      <c r="D1498" s="247" t="s">
        <v>928</v>
      </c>
      <c r="E1498" s="372">
        <v>1.1000000000000001</v>
      </c>
      <c r="F1498" s="360">
        <f>'UPAD-BAHAN-ALAT'!$I$581</f>
        <v>3000</v>
      </c>
      <c r="G1498" s="248">
        <f>F1498*E1498</f>
        <v>3300.0000000000005</v>
      </c>
    </row>
    <row r="1499" spans="1:8">
      <c r="A1499" s="247"/>
      <c r="B1499" s="410"/>
      <c r="C1499" s="247"/>
      <c r="D1499" s="247"/>
      <c r="E1499" s="1146" t="s">
        <v>705</v>
      </c>
      <c r="F1499" s="1146"/>
      <c r="G1499" s="248">
        <f>SUM(G1497:G1498)</f>
        <v>23400</v>
      </c>
    </row>
    <row r="1500" spans="1:8">
      <c r="A1500" s="247"/>
      <c r="B1500" s="410"/>
      <c r="C1500" s="247"/>
      <c r="D1500" s="247"/>
      <c r="E1500" s="372"/>
      <c r="F1500" s="360"/>
      <c r="G1500" s="248"/>
    </row>
    <row r="1501" spans="1:8" s="265" customFormat="1">
      <c r="A1501" s="294" t="s">
        <v>706</v>
      </c>
      <c r="B1501" s="1151" t="s">
        <v>707</v>
      </c>
      <c r="C1501" s="1151"/>
      <c r="D1501" s="1151"/>
      <c r="E1501" s="1151"/>
      <c r="F1501" s="1151"/>
      <c r="G1501" s="255">
        <f>G1492+G1495+G1499</f>
        <v>142429.6</v>
      </c>
    </row>
    <row r="1502" spans="1:8" s="265" customFormat="1">
      <c r="A1502" s="294" t="s">
        <v>708</v>
      </c>
      <c r="B1502" s="1148" t="s">
        <v>876</v>
      </c>
      <c r="C1502" s="1148"/>
      <c r="D1502" s="1148"/>
      <c r="E1502" s="1147" t="s">
        <v>710</v>
      </c>
      <c r="F1502" s="1147"/>
      <c r="G1502" s="255">
        <f>G1501*0.15</f>
        <v>21364.44</v>
      </c>
    </row>
    <row r="1503" spans="1:8" s="265" customFormat="1">
      <c r="A1503" s="294" t="s">
        <v>711</v>
      </c>
      <c r="B1503" s="1149" t="s">
        <v>4104</v>
      </c>
      <c r="C1503" s="1149"/>
      <c r="D1503" s="1149"/>
      <c r="E1503" s="1149"/>
      <c r="F1503" s="1149"/>
      <c r="G1503" s="255">
        <f>ROUND(SUM(G1501:G1502),2)</f>
        <v>163794.04</v>
      </c>
      <c r="H1503" s="255">
        <f>SUM(G1501:G1502)</f>
        <v>163794.04</v>
      </c>
    </row>
    <row r="1505" spans="1:7">
      <c r="A1505" s="684" t="s">
        <v>3510</v>
      </c>
    </row>
    <row r="1506" spans="1:7" s="689" customFormat="1">
      <c r="A1506" s="685" t="s">
        <v>3511</v>
      </c>
      <c r="B1506" s="686" t="s">
        <v>3512</v>
      </c>
      <c r="C1506" s="685" t="s">
        <v>3511</v>
      </c>
      <c r="D1506" s="1184" t="s">
        <v>3512</v>
      </c>
      <c r="E1506" s="1184"/>
      <c r="F1506" s="687"/>
      <c r="G1506" s="688"/>
    </row>
    <row r="1507" spans="1:7">
      <c r="A1507" s="690">
        <v>1</v>
      </c>
      <c r="B1507" s="691">
        <v>1</v>
      </c>
      <c r="C1507" s="690">
        <v>13</v>
      </c>
      <c r="D1507" s="1185">
        <v>1.1140000000000001</v>
      </c>
      <c r="E1507" s="1185"/>
    </row>
    <row r="1508" spans="1:7">
      <c r="A1508" s="690">
        <v>2</v>
      </c>
      <c r="B1508" s="691">
        <v>1</v>
      </c>
      <c r="C1508" s="690">
        <v>14</v>
      </c>
      <c r="D1508" s="1185">
        <v>1.1339999999999999</v>
      </c>
      <c r="E1508" s="1185"/>
    </row>
    <row r="1509" spans="1:7">
      <c r="A1509" s="690">
        <v>3</v>
      </c>
      <c r="B1509" s="691">
        <v>1</v>
      </c>
      <c r="C1509" s="690">
        <v>15</v>
      </c>
      <c r="D1509" s="1185">
        <v>1.155</v>
      </c>
      <c r="E1509" s="1185"/>
    </row>
    <row r="1510" spans="1:7">
      <c r="A1510" s="690">
        <v>4</v>
      </c>
      <c r="B1510" s="691">
        <v>1</v>
      </c>
      <c r="C1510" s="690">
        <v>16</v>
      </c>
      <c r="D1510" s="1185">
        <v>1.1759999999999999</v>
      </c>
      <c r="E1510" s="1185"/>
    </row>
    <row r="1511" spans="1:7">
      <c r="A1511" s="690">
        <v>5</v>
      </c>
      <c r="B1511" s="691">
        <v>1</v>
      </c>
      <c r="C1511" s="690">
        <v>17</v>
      </c>
      <c r="D1511" s="1185">
        <v>1.1970000000000001</v>
      </c>
      <c r="E1511" s="1185"/>
    </row>
    <row r="1512" spans="1:7">
      <c r="A1512" s="690">
        <v>6</v>
      </c>
      <c r="B1512" s="691">
        <v>1</v>
      </c>
      <c r="C1512" s="690">
        <v>18</v>
      </c>
      <c r="D1512" s="1185">
        <v>1.2190000000000001</v>
      </c>
      <c r="E1512" s="1185"/>
    </row>
    <row r="1513" spans="1:7">
      <c r="A1513" s="690">
        <v>7</v>
      </c>
      <c r="B1513" s="691">
        <v>1</v>
      </c>
      <c r="C1513" s="690">
        <v>19</v>
      </c>
      <c r="D1513" s="1185">
        <v>1.2410000000000001</v>
      </c>
      <c r="E1513" s="1185"/>
    </row>
    <row r="1514" spans="1:7">
      <c r="A1514" s="690">
        <v>8</v>
      </c>
      <c r="B1514" s="691">
        <v>1.018</v>
      </c>
      <c r="C1514" s="690">
        <v>20</v>
      </c>
      <c r="D1514" s="1185">
        <v>1.264</v>
      </c>
      <c r="E1514" s="1185"/>
    </row>
    <row r="1515" spans="1:7">
      <c r="A1515" s="690">
        <v>9</v>
      </c>
      <c r="B1515" s="691">
        <v>1.0369999999999999</v>
      </c>
      <c r="C1515" s="690">
        <v>21</v>
      </c>
      <c r="D1515" s="1185">
        <v>1.2869999999999999</v>
      </c>
      <c r="E1515" s="1185"/>
    </row>
    <row r="1516" spans="1:7">
      <c r="A1516" s="690">
        <v>10</v>
      </c>
      <c r="B1516" s="691">
        <v>1.0549999999999999</v>
      </c>
      <c r="C1516" s="690">
        <v>22</v>
      </c>
      <c r="D1516" s="1186">
        <v>1.31</v>
      </c>
      <c r="E1516" s="1186"/>
    </row>
    <row r="1517" spans="1:7">
      <c r="A1517" s="690">
        <v>11</v>
      </c>
      <c r="B1517" s="691">
        <v>1.075</v>
      </c>
      <c r="C1517" s="690">
        <v>23</v>
      </c>
      <c r="D1517" s="1185">
        <v>1.3340000000000001</v>
      </c>
      <c r="E1517" s="1185"/>
    </row>
    <row r="1518" spans="1:7">
      <c r="A1518" s="690">
        <v>12</v>
      </c>
      <c r="B1518" s="691">
        <v>1.0940000000000001</v>
      </c>
      <c r="C1518" s="690">
        <v>24</v>
      </c>
      <c r="D1518" s="1185">
        <v>1.3580000000000001</v>
      </c>
      <c r="E1518" s="1185"/>
    </row>
    <row r="1520" spans="1:7">
      <c r="A1520" s="286" t="s">
        <v>4105</v>
      </c>
      <c r="B1520" s="265" t="s">
        <v>2862</v>
      </c>
    </row>
    <row r="1521" spans="1:7" s="292" customFormat="1" ht="24.95" customHeight="1">
      <c r="A1521" s="290" t="s">
        <v>1003</v>
      </c>
      <c r="B1521" s="290" t="s">
        <v>1004</v>
      </c>
      <c r="C1521" s="290" t="s">
        <v>1005</v>
      </c>
      <c r="D1521" s="290" t="s">
        <v>1006</v>
      </c>
      <c r="E1521" s="373" t="s">
        <v>1007</v>
      </c>
      <c r="F1521" s="363" t="s">
        <v>2637</v>
      </c>
      <c r="G1521" s="291" t="s">
        <v>2638</v>
      </c>
    </row>
    <row r="1522" spans="1:7">
      <c r="A1522" s="294" t="s">
        <v>671</v>
      </c>
      <c r="B1522" s="411" t="s">
        <v>672</v>
      </c>
      <c r="C1522" s="247"/>
      <c r="D1522" s="247"/>
      <c r="E1522" s="372"/>
      <c r="F1522" s="360"/>
      <c r="G1522" s="248"/>
    </row>
    <row r="1523" spans="1:7">
      <c r="A1523" s="247"/>
      <c r="B1523" s="410" t="s">
        <v>673</v>
      </c>
      <c r="C1523" s="247" t="s">
        <v>674</v>
      </c>
      <c r="D1523" s="247" t="s">
        <v>675</v>
      </c>
      <c r="E1523" s="372">
        <v>6.0999999999999999E-2</v>
      </c>
      <c r="F1523" s="360">
        <f>'UPAD-BAHAN-ALAT'!$I$12</f>
        <v>110000</v>
      </c>
      <c r="G1523" s="248">
        <f t="shared" ref="G1523:G1529" si="20">F1523*E1523</f>
        <v>6710</v>
      </c>
    </row>
    <row r="1524" spans="1:7">
      <c r="A1524" s="247"/>
      <c r="B1524" s="410" t="s">
        <v>731</v>
      </c>
      <c r="C1524" s="247" t="s">
        <v>678</v>
      </c>
      <c r="D1524" s="247" t="s">
        <v>675</v>
      </c>
      <c r="E1524" s="372">
        <v>6.0999999999999999E-2</v>
      </c>
      <c r="F1524" s="360">
        <f>'UPAD-BAHAN-ALAT'!$I$13</f>
        <v>140000</v>
      </c>
      <c r="G1524" s="248">
        <f t="shared" si="20"/>
        <v>8540</v>
      </c>
    </row>
    <row r="1525" spans="1:7">
      <c r="A1525" s="247"/>
      <c r="B1525" s="410" t="s">
        <v>4013</v>
      </c>
      <c r="C1525" s="247" t="s">
        <v>678</v>
      </c>
      <c r="D1525" s="247" t="s">
        <v>675</v>
      </c>
      <c r="E1525" s="372">
        <v>0.122</v>
      </c>
      <c r="F1525" s="360">
        <f>'UPAD-BAHAN-ALAT'!$I$13</f>
        <v>140000</v>
      </c>
      <c r="G1525" s="248">
        <f t="shared" si="20"/>
        <v>17080</v>
      </c>
    </row>
    <row r="1526" spans="1:7">
      <c r="A1526" s="247"/>
      <c r="B1526" s="410" t="s">
        <v>931</v>
      </c>
      <c r="C1526" s="247"/>
      <c r="D1526" s="247" t="s">
        <v>675</v>
      </c>
      <c r="E1526" s="372">
        <v>6.0999999999999999E-2</v>
      </c>
      <c r="F1526" s="360">
        <f>'UPAD-BAHAN-ALAT'!I16</f>
        <v>150000</v>
      </c>
      <c r="G1526" s="248">
        <f t="shared" si="20"/>
        <v>9150</v>
      </c>
    </row>
    <row r="1527" spans="1:7">
      <c r="A1527" s="247"/>
      <c r="B1527" s="256" t="s">
        <v>934</v>
      </c>
      <c r="C1527" s="247"/>
      <c r="D1527" s="247" t="s">
        <v>675</v>
      </c>
      <c r="E1527" s="372">
        <v>6.0999999999999999E-2</v>
      </c>
      <c r="F1527" s="360">
        <f>'UPAD-BAHAN-ALAT'!I17</f>
        <v>110000</v>
      </c>
      <c r="G1527" s="248">
        <f t="shared" si="20"/>
        <v>6710</v>
      </c>
    </row>
    <row r="1528" spans="1:7">
      <c r="A1528" s="247"/>
      <c r="B1528" s="410" t="s">
        <v>680</v>
      </c>
      <c r="C1528" s="247" t="s">
        <v>681</v>
      </c>
      <c r="D1528" s="247" t="s">
        <v>675</v>
      </c>
      <c r="E1528" s="372">
        <v>6.0999999999999999E-2</v>
      </c>
      <c r="F1528" s="360">
        <f>'UPAD-BAHAN-ALAT'!$I$15</f>
        <v>150000</v>
      </c>
      <c r="G1528" s="248">
        <f t="shared" si="20"/>
        <v>9150</v>
      </c>
    </row>
    <row r="1529" spans="1:7">
      <c r="A1529" s="247"/>
      <c r="B1529" s="410" t="s">
        <v>683</v>
      </c>
      <c r="C1529" s="247" t="s">
        <v>684</v>
      </c>
      <c r="D1529" s="247" t="s">
        <v>675</v>
      </c>
      <c r="E1529" s="372">
        <v>6.0999999999999999E-2</v>
      </c>
      <c r="F1529" s="360">
        <f>'UPAD-BAHAN-ALAT'!$I$14</f>
        <v>140000</v>
      </c>
      <c r="G1529" s="248">
        <f t="shared" si="20"/>
        <v>8540</v>
      </c>
    </row>
    <row r="1530" spans="1:7">
      <c r="A1530" s="247"/>
      <c r="B1530" s="410"/>
      <c r="C1530" s="247"/>
      <c r="D1530" s="247"/>
      <c r="E1530" s="1146" t="s">
        <v>685</v>
      </c>
      <c r="F1530" s="1146"/>
      <c r="G1530" s="248">
        <f>SUM(G1523:G1529)</f>
        <v>65880</v>
      </c>
    </row>
    <row r="1531" spans="1:7">
      <c r="A1531" s="294" t="s">
        <v>686</v>
      </c>
      <c r="B1531" s="411" t="s">
        <v>687</v>
      </c>
      <c r="C1531" s="247"/>
      <c r="D1531" s="247"/>
      <c r="E1531" s="372"/>
      <c r="F1531" s="360"/>
      <c r="G1531" s="248"/>
    </row>
    <row r="1532" spans="1:7">
      <c r="A1532" s="247"/>
      <c r="B1532" s="410" t="s">
        <v>926</v>
      </c>
      <c r="C1532" s="247"/>
      <c r="D1532" s="247" t="s">
        <v>896</v>
      </c>
      <c r="E1532" s="372">
        <v>6.11</v>
      </c>
      <c r="F1532" s="360">
        <f>'UPAD-BAHAN-ALAT'!$I$515</f>
        <v>9600</v>
      </c>
      <c r="G1532" s="248">
        <f>F1532*E1532</f>
        <v>58656</v>
      </c>
    </row>
    <row r="1533" spans="1:7">
      <c r="A1533" s="247"/>
      <c r="B1533" s="410"/>
      <c r="C1533" s="247"/>
      <c r="D1533" s="247"/>
      <c r="E1533" s="1146" t="s">
        <v>702</v>
      </c>
      <c r="F1533" s="1146"/>
      <c r="G1533" s="248">
        <f>SUM(G1532)</f>
        <v>58656</v>
      </c>
    </row>
    <row r="1534" spans="1:7">
      <c r="A1534" s="294" t="s">
        <v>703</v>
      </c>
      <c r="B1534" s="411" t="s">
        <v>704</v>
      </c>
      <c r="C1534" s="247"/>
      <c r="D1534" s="247"/>
      <c r="E1534" s="372"/>
      <c r="F1534" s="360"/>
      <c r="G1534" s="248"/>
    </row>
    <row r="1535" spans="1:7">
      <c r="A1535" s="247"/>
      <c r="B1535" s="410" t="s">
        <v>927</v>
      </c>
      <c r="C1535" s="247"/>
      <c r="D1535" s="247" t="s">
        <v>928</v>
      </c>
      <c r="E1535" s="372">
        <v>6.0999999999999999E-2</v>
      </c>
      <c r="F1535" s="360">
        <f>'UPAD-BAHAN-ALAT'!$I$580</f>
        <v>300000</v>
      </c>
      <c r="G1535" s="248">
        <f>F1535*E1535</f>
        <v>18300</v>
      </c>
    </row>
    <row r="1536" spans="1:7">
      <c r="A1536" s="247"/>
      <c r="B1536" s="410" t="s">
        <v>932</v>
      </c>
      <c r="C1536" s="247"/>
      <c r="D1536" s="247" t="s">
        <v>928</v>
      </c>
      <c r="E1536" s="372">
        <v>1.1000000000000001</v>
      </c>
      <c r="F1536" s="360">
        <f>'UPAD-BAHAN-ALAT'!$I$581</f>
        <v>3000</v>
      </c>
      <c r="G1536" s="248">
        <f>F1536*E1536</f>
        <v>3300.0000000000005</v>
      </c>
    </row>
    <row r="1537" spans="1:8">
      <c r="A1537" s="247"/>
      <c r="B1537" s="410"/>
      <c r="C1537" s="247"/>
      <c r="D1537" s="247"/>
      <c r="E1537" s="1146" t="s">
        <v>705</v>
      </c>
      <c r="F1537" s="1146"/>
      <c r="G1537" s="248">
        <f>SUM(G1535:G1536)</f>
        <v>21600</v>
      </c>
    </row>
    <row r="1538" spans="1:8">
      <c r="A1538" s="247"/>
      <c r="B1538" s="410"/>
      <c r="C1538" s="247"/>
      <c r="D1538" s="247"/>
      <c r="E1538" s="372"/>
      <c r="F1538" s="360"/>
      <c r="G1538" s="248"/>
    </row>
    <row r="1539" spans="1:8" s="265" customFormat="1">
      <c r="A1539" s="294" t="s">
        <v>706</v>
      </c>
      <c r="B1539" s="1151" t="s">
        <v>707</v>
      </c>
      <c r="C1539" s="1151"/>
      <c r="D1539" s="1151"/>
      <c r="E1539" s="1151"/>
      <c r="F1539" s="1151"/>
      <c r="G1539" s="255">
        <f>G1530+G1533+G1537</f>
        <v>146136</v>
      </c>
    </row>
    <row r="1540" spans="1:8" s="265" customFormat="1">
      <c r="A1540" s="294" t="s">
        <v>708</v>
      </c>
      <c r="B1540" s="1148" t="s">
        <v>876</v>
      </c>
      <c r="C1540" s="1148"/>
      <c r="D1540" s="1148"/>
      <c r="E1540" s="1147" t="s">
        <v>710</v>
      </c>
      <c r="F1540" s="1147"/>
      <c r="G1540" s="255">
        <f>G1539*15%</f>
        <v>21920.399999999998</v>
      </c>
    </row>
    <row r="1541" spans="1:8" s="265" customFormat="1">
      <c r="A1541" s="294" t="s">
        <v>711</v>
      </c>
      <c r="B1541" s="1149" t="s">
        <v>4104</v>
      </c>
      <c r="C1541" s="1149"/>
      <c r="D1541" s="1149"/>
      <c r="E1541" s="1149"/>
      <c r="F1541" s="1149"/>
      <c r="G1541" s="255">
        <f>ROUND(SUM(G1539:G1540),2)</f>
        <v>168056.4</v>
      </c>
      <c r="H1541" s="255">
        <f>SUM(G1539:G1540)</f>
        <v>168056.4</v>
      </c>
    </row>
    <row r="1542" spans="1:8">
      <c r="A1542" s="268"/>
      <c r="B1542" s="269"/>
      <c r="C1542" s="268"/>
      <c r="D1542" s="268"/>
      <c r="E1542" s="380"/>
      <c r="F1542" s="365"/>
      <c r="G1542" s="270"/>
    </row>
    <row r="1543" spans="1:8">
      <c r="A1543" s="285" t="s">
        <v>4106</v>
      </c>
      <c r="B1543" s="250" t="s">
        <v>2863</v>
      </c>
      <c r="C1543" s="252"/>
      <c r="D1543" s="252"/>
      <c r="E1543" s="374"/>
      <c r="F1543" s="361"/>
      <c r="G1543" s="253"/>
    </row>
    <row r="1544" spans="1:8" s="292" customFormat="1" ht="24.95" customHeight="1">
      <c r="A1544" s="290" t="s">
        <v>1003</v>
      </c>
      <c r="B1544" s="290" t="s">
        <v>1004</v>
      </c>
      <c r="C1544" s="290" t="s">
        <v>1005</v>
      </c>
      <c r="D1544" s="290" t="s">
        <v>1006</v>
      </c>
      <c r="E1544" s="373" t="s">
        <v>1007</v>
      </c>
      <c r="F1544" s="363" t="s">
        <v>2637</v>
      </c>
      <c r="G1544" s="291" t="s">
        <v>2638</v>
      </c>
    </row>
    <row r="1545" spans="1:8">
      <c r="A1545" s="294" t="s">
        <v>671</v>
      </c>
      <c r="B1545" s="411" t="s">
        <v>672</v>
      </c>
      <c r="C1545" s="247"/>
      <c r="D1545" s="247"/>
      <c r="E1545" s="372"/>
      <c r="F1545" s="360"/>
      <c r="G1545" s="248"/>
    </row>
    <row r="1546" spans="1:8">
      <c r="A1546" s="247"/>
      <c r="B1546" s="410" t="s">
        <v>673</v>
      </c>
      <c r="C1546" s="247" t="s">
        <v>674</v>
      </c>
      <c r="D1546" s="247" t="s">
        <v>675</v>
      </c>
      <c r="E1546" s="372">
        <v>8.3000000000000004E-2</v>
      </c>
      <c r="F1546" s="360">
        <f>'UPAD-BAHAN-ALAT'!$I$12</f>
        <v>110000</v>
      </c>
      <c r="G1546" s="248">
        <f>F1546*E1546</f>
        <v>9130</v>
      </c>
    </row>
    <row r="1547" spans="1:8">
      <c r="A1547" s="247"/>
      <c r="B1547" s="410" t="s">
        <v>731</v>
      </c>
      <c r="C1547" s="247" t="s">
        <v>678</v>
      </c>
      <c r="D1547" s="247" t="s">
        <v>675</v>
      </c>
      <c r="E1547" s="372">
        <v>8.3000000000000004E-2</v>
      </c>
      <c r="F1547" s="360">
        <f>'UPAD-BAHAN-ALAT'!$I$13</f>
        <v>140000</v>
      </c>
      <c r="G1547" s="248">
        <f t="shared" ref="G1547:G1552" si="21">F1547*E1547</f>
        <v>11620</v>
      </c>
    </row>
    <row r="1548" spans="1:8">
      <c r="A1548" s="247"/>
      <c r="B1548" s="410" t="s">
        <v>4013</v>
      </c>
      <c r="C1548" s="247" t="s">
        <v>678</v>
      </c>
      <c r="D1548" s="247" t="s">
        <v>675</v>
      </c>
      <c r="E1548" s="372">
        <v>0.16600000000000001</v>
      </c>
      <c r="F1548" s="360">
        <f>'UPAD-BAHAN-ALAT'!$I$13</f>
        <v>140000</v>
      </c>
      <c r="G1548" s="248">
        <f t="shared" si="21"/>
        <v>23240</v>
      </c>
    </row>
    <row r="1549" spans="1:8">
      <c r="A1549" s="247"/>
      <c r="B1549" s="410" t="s">
        <v>931</v>
      </c>
      <c r="C1549" s="247"/>
      <c r="D1549" s="247" t="s">
        <v>675</v>
      </c>
      <c r="E1549" s="372">
        <v>8.3000000000000004E-2</v>
      </c>
      <c r="F1549" s="360">
        <f>'UPAD-BAHAN-ALAT'!I40</f>
        <v>27500</v>
      </c>
      <c r="G1549" s="248">
        <f t="shared" si="21"/>
        <v>2282.5</v>
      </c>
    </row>
    <row r="1550" spans="1:8">
      <c r="A1550" s="247"/>
      <c r="B1550" s="410" t="s">
        <v>934</v>
      </c>
      <c r="C1550" s="247"/>
      <c r="D1550" s="247" t="s">
        <v>675</v>
      </c>
      <c r="E1550" s="372">
        <v>8.3000000000000004E-2</v>
      </c>
      <c r="F1550" s="360">
        <f>'UPAD-BAHAN-ALAT'!I41</f>
        <v>11000</v>
      </c>
      <c r="G1550" s="248">
        <f t="shared" si="21"/>
        <v>913</v>
      </c>
    </row>
    <row r="1551" spans="1:8">
      <c r="A1551" s="247"/>
      <c r="B1551" s="410" t="s">
        <v>680</v>
      </c>
      <c r="C1551" s="247" t="s">
        <v>681</v>
      </c>
      <c r="D1551" s="247" t="s">
        <v>675</v>
      </c>
      <c r="E1551" s="372">
        <v>8.3000000000000004E-2</v>
      </c>
      <c r="F1551" s="360">
        <f>'UPAD-BAHAN-ALAT'!$I$15</f>
        <v>150000</v>
      </c>
      <c r="G1551" s="248">
        <f t="shared" si="21"/>
        <v>12450</v>
      </c>
    </row>
    <row r="1552" spans="1:8">
      <c r="A1552" s="247"/>
      <c r="B1552" s="410" t="s">
        <v>683</v>
      </c>
      <c r="C1552" s="247" t="s">
        <v>684</v>
      </c>
      <c r="D1552" s="247" t="s">
        <v>675</v>
      </c>
      <c r="E1552" s="372">
        <v>8.3000000000000004E-2</v>
      </c>
      <c r="F1552" s="360">
        <f>'UPAD-BAHAN-ALAT'!$I$14</f>
        <v>140000</v>
      </c>
      <c r="G1552" s="248">
        <f t="shared" si="21"/>
        <v>11620</v>
      </c>
    </row>
    <row r="1553" spans="1:8">
      <c r="A1553" s="247"/>
      <c r="B1553" s="410"/>
      <c r="C1553" s="247"/>
      <c r="D1553" s="247"/>
      <c r="E1553" s="1146" t="s">
        <v>685</v>
      </c>
      <c r="F1553" s="1146"/>
      <c r="G1553" s="248">
        <f>SUM(G1546:G1552)</f>
        <v>71255.5</v>
      </c>
    </row>
    <row r="1554" spans="1:8">
      <c r="A1554" s="294" t="s">
        <v>686</v>
      </c>
      <c r="B1554" s="411" t="s">
        <v>687</v>
      </c>
      <c r="C1554" s="247"/>
      <c r="D1554" s="247"/>
      <c r="E1554" s="372"/>
      <c r="F1554" s="360"/>
      <c r="G1554" s="248"/>
    </row>
    <row r="1555" spans="1:8">
      <c r="A1555" s="247"/>
      <c r="B1555" s="410" t="s">
        <v>926</v>
      </c>
      <c r="C1555" s="247"/>
      <c r="D1555" s="247" t="s">
        <v>896</v>
      </c>
      <c r="E1555" s="372">
        <v>8.2769999999999992</v>
      </c>
      <c r="F1555" s="360">
        <f>'UPAD-BAHAN-ALAT'!$I$515</f>
        <v>9600</v>
      </c>
      <c r="G1555" s="248">
        <f>F1555*E1555</f>
        <v>79459.199999999997</v>
      </c>
    </row>
    <row r="1556" spans="1:8">
      <c r="A1556" s="247"/>
      <c r="B1556" s="410"/>
      <c r="C1556" s="247"/>
      <c r="D1556" s="247"/>
      <c r="E1556" s="1146" t="s">
        <v>702</v>
      </c>
      <c r="F1556" s="1146"/>
      <c r="G1556" s="248">
        <f>SUM(G1555)</f>
        <v>79459.199999999997</v>
      </c>
    </row>
    <row r="1557" spans="1:8">
      <c r="A1557" s="294" t="s">
        <v>703</v>
      </c>
      <c r="B1557" s="411" t="s">
        <v>704</v>
      </c>
      <c r="C1557" s="247"/>
      <c r="D1557" s="247"/>
      <c r="E1557" s="372"/>
      <c r="F1557" s="360"/>
      <c r="G1557" s="248"/>
    </row>
    <row r="1558" spans="1:8">
      <c r="A1558" s="247"/>
      <c r="B1558" s="410" t="s">
        <v>927</v>
      </c>
      <c r="C1558" s="247"/>
      <c r="D1558" s="247" t="s">
        <v>928</v>
      </c>
      <c r="E1558" s="372">
        <v>8.3000000000000004E-2</v>
      </c>
      <c r="F1558" s="360">
        <f>'UPAD-BAHAN-ALAT'!$I$580</f>
        <v>300000</v>
      </c>
      <c r="G1558" s="248">
        <f>F1558*E1558</f>
        <v>24900</v>
      </c>
    </row>
    <row r="1559" spans="1:8">
      <c r="A1559" s="247"/>
      <c r="B1559" s="410" t="s">
        <v>929</v>
      </c>
      <c r="C1559" s="247"/>
      <c r="D1559" s="247" t="s">
        <v>928</v>
      </c>
      <c r="E1559" s="372">
        <v>2.2000000000000002</v>
      </c>
      <c r="F1559" s="360">
        <f>'UPAD-BAHAN-ALAT'!$I$581</f>
        <v>3000</v>
      </c>
      <c r="G1559" s="248">
        <f>F1559*E1559</f>
        <v>6600.0000000000009</v>
      </c>
    </row>
    <row r="1560" spans="1:8">
      <c r="A1560" s="247"/>
      <c r="B1560" s="410"/>
      <c r="C1560" s="247"/>
      <c r="D1560" s="247"/>
      <c r="E1560" s="1146" t="s">
        <v>705</v>
      </c>
      <c r="F1560" s="1146"/>
      <c r="G1560" s="248">
        <f>SUM(G1558:G1559)</f>
        <v>31500</v>
      </c>
    </row>
    <row r="1561" spans="1:8">
      <c r="A1561" s="247"/>
      <c r="B1561" s="410"/>
      <c r="C1561" s="247"/>
      <c r="D1561" s="247"/>
      <c r="E1561" s="372"/>
      <c r="F1561" s="360"/>
      <c r="G1561" s="248"/>
    </row>
    <row r="1562" spans="1:8" s="265" customFormat="1">
      <c r="A1562" s="294" t="s">
        <v>706</v>
      </c>
      <c r="B1562" s="1151" t="s">
        <v>707</v>
      </c>
      <c r="C1562" s="1151"/>
      <c r="D1562" s="1151"/>
      <c r="E1562" s="1151"/>
      <c r="F1562" s="1151"/>
      <c r="G1562" s="255">
        <f>G1553+G1556+G1560</f>
        <v>182214.7</v>
      </c>
    </row>
    <row r="1563" spans="1:8" s="265" customFormat="1">
      <c r="A1563" s="294" t="s">
        <v>708</v>
      </c>
      <c r="B1563" s="1148" t="s">
        <v>876</v>
      </c>
      <c r="C1563" s="1148"/>
      <c r="D1563" s="1148"/>
      <c r="E1563" s="1147" t="s">
        <v>710</v>
      </c>
      <c r="F1563" s="1147"/>
      <c r="G1563" s="255">
        <f>G1562*15%</f>
        <v>27332.205000000002</v>
      </c>
    </row>
    <row r="1564" spans="1:8" s="265" customFormat="1">
      <c r="A1564" s="294" t="s">
        <v>711</v>
      </c>
      <c r="B1564" s="1149" t="s">
        <v>4104</v>
      </c>
      <c r="C1564" s="1149"/>
      <c r="D1564" s="1149"/>
      <c r="E1564" s="1149"/>
      <c r="F1564" s="1149"/>
      <c r="G1564" s="255">
        <f>ROUND(SUM(G1562:G1563),2)</f>
        <v>209546.91</v>
      </c>
      <c r="H1564" s="255">
        <f>SUM(G1562:G1563)</f>
        <v>209546.90500000003</v>
      </c>
    </row>
    <row r="1566" spans="1:8">
      <c r="A1566" s="286" t="s">
        <v>4107</v>
      </c>
      <c r="B1566" s="265" t="s">
        <v>2864</v>
      </c>
    </row>
    <row r="1567" spans="1:8" s="292" customFormat="1" ht="24.95" customHeight="1">
      <c r="A1567" s="290" t="s">
        <v>1003</v>
      </c>
      <c r="B1567" s="290" t="s">
        <v>1004</v>
      </c>
      <c r="C1567" s="290" t="s">
        <v>1005</v>
      </c>
      <c r="D1567" s="290" t="s">
        <v>1006</v>
      </c>
      <c r="E1567" s="373" t="s">
        <v>1007</v>
      </c>
      <c r="F1567" s="363" t="s">
        <v>2637</v>
      </c>
      <c r="G1567" s="291" t="s">
        <v>2638</v>
      </c>
    </row>
    <row r="1568" spans="1:8">
      <c r="A1568" s="294" t="s">
        <v>671</v>
      </c>
      <c r="B1568" s="411" t="s">
        <v>672</v>
      </c>
      <c r="C1568" s="247"/>
      <c r="D1568" s="247"/>
      <c r="E1568" s="372"/>
      <c r="F1568" s="360"/>
      <c r="G1568" s="248"/>
    </row>
    <row r="1569" spans="1:8">
      <c r="A1569" s="247"/>
      <c r="B1569" s="410" t="s">
        <v>673</v>
      </c>
      <c r="C1569" s="247" t="s">
        <v>674</v>
      </c>
      <c r="D1569" s="247" t="s">
        <v>675</v>
      </c>
      <c r="E1569" s="372">
        <v>1.9E-2</v>
      </c>
      <c r="F1569" s="360">
        <f>'UPAD-BAHAN-ALAT'!$I$12</f>
        <v>110000</v>
      </c>
      <c r="G1569" s="248">
        <f>F1569*E1569</f>
        <v>2090</v>
      </c>
    </row>
    <row r="1570" spans="1:8">
      <c r="A1570" s="247"/>
      <c r="B1570" s="410" t="s">
        <v>731</v>
      </c>
      <c r="C1570" s="247" t="s">
        <v>678</v>
      </c>
      <c r="D1570" s="247" t="s">
        <v>675</v>
      </c>
      <c r="E1570" s="372">
        <v>3.7999999999999999E-2</v>
      </c>
      <c r="F1570" s="360">
        <f>'UPAD-BAHAN-ALAT'!$I$13</f>
        <v>140000</v>
      </c>
      <c r="G1570" s="248">
        <f>F1570*E1570</f>
        <v>5320</v>
      </c>
    </row>
    <row r="1571" spans="1:8">
      <c r="A1571" s="247"/>
      <c r="B1571" s="410" t="s">
        <v>931</v>
      </c>
      <c r="C1571" s="247"/>
      <c r="D1571" s="247" t="s">
        <v>675</v>
      </c>
      <c r="E1571" s="372">
        <v>1.9E-2</v>
      </c>
      <c r="F1571" s="360">
        <f>'UPAD-BAHAN-ALAT'!I71</f>
        <v>176000</v>
      </c>
      <c r="G1571" s="248">
        <f>F1571*E1571</f>
        <v>3344</v>
      </c>
    </row>
    <row r="1572" spans="1:8">
      <c r="A1572" s="247"/>
      <c r="B1572" s="410" t="s">
        <v>934</v>
      </c>
      <c r="C1572" s="247"/>
      <c r="D1572" s="247" t="s">
        <v>675</v>
      </c>
      <c r="E1572" s="372">
        <v>1.9E-2</v>
      </c>
      <c r="F1572" s="360">
        <f>'UPAD-BAHAN-ALAT'!I73</f>
        <v>126500</v>
      </c>
      <c r="G1572" s="248">
        <f>F1572*E1572</f>
        <v>2403.5</v>
      </c>
    </row>
    <row r="1573" spans="1:8">
      <c r="A1573" s="247"/>
      <c r="B1573" s="410"/>
      <c r="C1573" s="247"/>
      <c r="D1573" s="247"/>
      <c r="E1573" s="1146" t="s">
        <v>685</v>
      </c>
      <c r="F1573" s="1146"/>
      <c r="G1573" s="248">
        <f>SUM(G1569:G1572)</f>
        <v>13157.5</v>
      </c>
    </row>
    <row r="1574" spans="1:8">
      <c r="A1574" s="294" t="s">
        <v>686</v>
      </c>
      <c r="B1574" s="411" t="s">
        <v>687</v>
      </c>
      <c r="C1574" s="247"/>
      <c r="D1574" s="247"/>
      <c r="E1574" s="372"/>
      <c r="F1574" s="360"/>
      <c r="G1574" s="248"/>
    </row>
    <row r="1575" spans="1:8">
      <c r="A1575" s="247"/>
      <c r="B1575" s="410" t="s">
        <v>926</v>
      </c>
      <c r="C1575" s="247"/>
      <c r="D1575" s="247" t="s">
        <v>896</v>
      </c>
      <c r="E1575" s="372">
        <v>1.897</v>
      </c>
      <c r="F1575" s="360">
        <f>'UPAD-BAHAN-ALAT'!$I$515</f>
        <v>9600</v>
      </c>
      <c r="G1575" s="248">
        <f>F1575*E1575</f>
        <v>18211.2</v>
      </c>
    </row>
    <row r="1576" spans="1:8">
      <c r="A1576" s="247"/>
      <c r="B1576" s="410"/>
      <c r="C1576" s="247"/>
      <c r="D1576" s="247"/>
      <c r="E1576" s="1146" t="s">
        <v>702</v>
      </c>
      <c r="F1576" s="1146"/>
      <c r="G1576" s="248">
        <f>SUM(G1575)</f>
        <v>18211.2</v>
      </c>
    </row>
    <row r="1577" spans="1:8">
      <c r="A1577" s="294" t="s">
        <v>703</v>
      </c>
      <c r="B1577" s="411" t="s">
        <v>704</v>
      </c>
      <c r="C1577" s="247"/>
      <c r="D1577" s="247"/>
      <c r="E1577" s="372"/>
      <c r="F1577" s="360"/>
      <c r="G1577" s="248"/>
    </row>
    <row r="1578" spans="1:8">
      <c r="A1578" s="247"/>
      <c r="B1578" s="410" t="s">
        <v>927</v>
      </c>
      <c r="C1578" s="247"/>
      <c r="D1578" s="247" t="s">
        <v>928</v>
      </c>
      <c r="E1578" s="372">
        <v>1.9E-2</v>
      </c>
      <c r="F1578" s="360">
        <f>'UPAD-BAHAN-ALAT'!$I$580</f>
        <v>300000</v>
      </c>
      <c r="G1578" s="248">
        <f>F1578*E1578</f>
        <v>5700</v>
      </c>
    </row>
    <row r="1579" spans="1:8">
      <c r="A1579" s="247"/>
      <c r="B1579" s="410"/>
      <c r="C1579" s="247"/>
      <c r="D1579" s="247"/>
      <c r="E1579" s="1146" t="s">
        <v>705</v>
      </c>
      <c r="F1579" s="1146"/>
      <c r="G1579" s="248">
        <f>SUM(G1578)</f>
        <v>5700</v>
      </c>
    </row>
    <row r="1580" spans="1:8">
      <c r="A1580" s="247"/>
      <c r="B1580" s="410"/>
      <c r="C1580" s="247"/>
      <c r="D1580" s="247"/>
      <c r="E1580" s="372"/>
      <c r="F1580" s="360"/>
      <c r="G1580" s="248"/>
    </row>
    <row r="1581" spans="1:8" s="265" customFormat="1">
      <c r="A1581" s="294" t="s">
        <v>706</v>
      </c>
      <c r="B1581" s="1151" t="s">
        <v>707</v>
      </c>
      <c r="C1581" s="1151"/>
      <c r="D1581" s="1151"/>
      <c r="E1581" s="1151"/>
      <c r="F1581" s="1151"/>
      <c r="G1581" s="255">
        <f>G1573+G1576+G1579</f>
        <v>37068.699999999997</v>
      </c>
    </row>
    <row r="1582" spans="1:8" s="265" customFormat="1">
      <c r="A1582" s="294" t="s">
        <v>708</v>
      </c>
      <c r="B1582" s="1148" t="s">
        <v>876</v>
      </c>
      <c r="C1582" s="1148"/>
      <c r="D1582" s="1148"/>
      <c r="E1582" s="1147" t="s">
        <v>710</v>
      </c>
      <c r="F1582" s="1147"/>
      <c r="G1582" s="255">
        <f>G1581*0.15</f>
        <v>5560.3049999999994</v>
      </c>
    </row>
    <row r="1583" spans="1:8" s="265" customFormat="1">
      <c r="A1583" s="294" t="s">
        <v>711</v>
      </c>
      <c r="B1583" s="1149" t="s">
        <v>4104</v>
      </c>
      <c r="C1583" s="1149"/>
      <c r="D1583" s="1149"/>
      <c r="E1583" s="1149"/>
      <c r="F1583" s="1149"/>
      <c r="G1583" s="255">
        <f>ROUND(SUM(G1581:G1582),2)</f>
        <v>42629.01</v>
      </c>
      <c r="H1583" s="255">
        <f>SUM(G1581:G1582)</f>
        <v>42629.004999999997</v>
      </c>
    </row>
    <row r="1584" spans="1:8">
      <c r="A1584" s="268"/>
      <c r="B1584" s="269"/>
      <c r="C1584" s="268"/>
      <c r="D1584" s="268"/>
      <c r="E1584" s="380"/>
      <c r="F1584" s="365"/>
      <c r="G1584" s="270"/>
    </row>
    <row r="1585" spans="1:7">
      <c r="A1585" s="285" t="s">
        <v>4108</v>
      </c>
      <c r="B1585" s="250" t="s">
        <v>2865</v>
      </c>
      <c r="C1585" s="252"/>
      <c r="D1585" s="252"/>
      <c r="E1585" s="374"/>
      <c r="F1585" s="361"/>
      <c r="G1585" s="253"/>
    </row>
    <row r="1586" spans="1:7" s="292" customFormat="1" ht="24.95" customHeight="1">
      <c r="A1586" s="290" t="s">
        <v>1003</v>
      </c>
      <c r="B1586" s="290" t="s">
        <v>1004</v>
      </c>
      <c r="C1586" s="290" t="s">
        <v>1005</v>
      </c>
      <c r="D1586" s="290" t="s">
        <v>1006</v>
      </c>
      <c r="E1586" s="373" t="s">
        <v>1007</v>
      </c>
      <c r="F1586" s="363" t="s">
        <v>2637</v>
      </c>
      <c r="G1586" s="291" t="s">
        <v>2638</v>
      </c>
    </row>
    <row r="1587" spans="1:7">
      <c r="A1587" s="294" t="s">
        <v>671</v>
      </c>
      <c r="B1587" s="411" t="s">
        <v>672</v>
      </c>
      <c r="C1587" s="247"/>
      <c r="D1587" s="247"/>
      <c r="E1587" s="372"/>
      <c r="F1587" s="360"/>
      <c r="G1587" s="248"/>
    </row>
    <row r="1588" spans="1:7">
      <c r="A1588" s="247"/>
      <c r="B1588" s="410" t="s">
        <v>673</v>
      </c>
      <c r="C1588" s="247" t="s">
        <v>674</v>
      </c>
      <c r="D1588" s="247" t="s">
        <v>675</v>
      </c>
      <c r="E1588" s="372">
        <v>1.9E-2</v>
      </c>
      <c r="F1588" s="360">
        <f>'UPAD-BAHAN-ALAT'!$I$12</f>
        <v>110000</v>
      </c>
      <c r="G1588" s="248">
        <f>F1588*E1588</f>
        <v>2090</v>
      </c>
    </row>
    <row r="1589" spans="1:7">
      <c r="A1589" s="247"/>
      <c r="B1589" s="410" t="s">
        <v>731</v>
      </c>
      <c r="C1589" s="247" t="s">
        <v>678</v>
      </c>
      <c r="D1589" s="247" t="s">
        <v>675</v>
      </c>
      <c r="E1589" s="372">
        <v>3.7999999999999999E-2</v>
      </c>
      <c r="F1589" s="360">
        <f>'UPAD-BAHAN-ALAT'!$I$13</f>
        <v>140000</v>
      </c>
      <c r="G1589" s="248">
        <f>F1589*E1589</f>
        <v>5320</v>
      </c>
    </row>
    <row r="1590" spans="1:7">
      <c r="A1590" s="247"/>
      <c r="B1590" s="410" t="s">
        <v>931</v>
      </c>
      <c r="C1590" s="247"/>
      <c r="D1590" s="247" t="s">
        <v>675</v>
      </c>
      <c r="E1590" s="372">
        <v>1.9E-2</v>
      </c>
      <c r="F1590" s="360">
        <f>'UPAD-BAHAN-ALAT'!I98</f>
        <v>33000</v>
      </c>
      <c r="G1590" s="248">
        <f>F1590*E1590</f>
        <v>627</v>
      </c>
    </row>
    <row r="1591" spans="1:7">
      <c r="A1591" s="247"/>
      <c r="B1591" s="410" t="s">
        <v>934</v>
      </c>
      <c r="C1591" s="247"/>
      <c r="D1591" s="247" t="s">
        <v>675</v>
      </c>
      <c r="E1591" s="372">
        <v>1.9E-2</v>
      </c>
      <c r="F1591" s="360">
        <f>'UPAD-BAHAN-ALAT'!I99</f>
        <v>71500</v>
      </c>
      <c r="G1591" s="248">
        <f>F1591*E1591</f>
        <v>1358.5</v>
      </c>
    </row>
    <row r="1592" spans="1:7">
      <c r="A1592" s="247"/>
      <c r="B1592" s="410"/>
      <c r="C1592" s="247"/>
      <c r="D1592" s="247"/>
      <c r="E1592" s="1146" t="s">
        <v>685</v>
      </c>
      <c r="F1592" s="1146"/>
      <c r="G1592" s="248">
        <f>SUM(G1588:G1591)</f>
        <v>9395.5</v>
      </c>
    </row>
    <row r="1593" spans="1:7">
      <c r="A1593" s="294" t="s">
        <v>686</v>
      </c>
      <c r="B1593" s="411" t="s">
        <v>687</v>
      </c>
      <c r="C1593" s="247"/>
      <c r="D1593" s="247"/>
      <c r="E1593" s="372"/>
      <c r="F1593" s="360"/>
      <c r="G1593" s="248"/>
    </row>
    <row r="1594" spans="1:7">
      <c r="A1594" s="247"/>
      <c r="B1594" s="410" t="s">
        <v>926</v>
      </c>
      <c r="C1594" s="247"/>
      <c r="D1594" s="247" t="s">
        <v>896</v>
      </c>
      <c r="E1594" s="372">
        <v>1.897</v>
      </c>
      <c r="F1594" s="360">
        <f>'UPAD-BAHAN-ALAT'!$I$515</f>
        <v>9600</v>
      </c>
      <c r="G1594" s="248">
        <f>F1594*E1594</f>
        <v>18211.2</v>
      </c>
    </row>
    <row r="1595" spans="1:7">
      <c r="A1595" s="247"/>
      <c r="B1595" s="410"/>
      <c r="C1595" s="247"/>
      <c r="D1595" s="247"/>
      <c r="E1595" s="1146" t="s">
        <v>702</v>
      </c>
      <c r="F1595" s="1146"/>
      <c r="G1595" s="248">
        <f>SUM(G1594)</f>
        <v>18211.2</v>
      </c>
    </row>
    <row r="1596" spans="1:7">
      <c r="A1596" s="294" t="s">
        <v>703</v>
      </c>
      <c r="B1596" s="411" t="s">
        <v>704</v>
      </c>
      <c r="C1596" s="247"/>
      <c r="D1596" s="247"/>
      <c r="E1596" s="372"/>
      <c r="F1596" s="360"/>
      <c r="G1596" s="248"/>
    </row>
    <row r="1597" spans="1:7">
      <c r="A1597" s="247"/>
      <c r="B1597" s="410" t="s">
        <v>927</v>
      </c>
      <c r="C1597" s="247"/>
      <c r="D1597" s="247" t="s">
        <v>928</v>
      </c>
      <c r="E1597" s="372">
        <v>1.9E-2</v>
      </c>
      <c r="F1597" s="360">
        <f>'UPAD-BAHAN-ALAT'!$I$580</f>
        <v>300000</v>
      </c>
      <c r="G1597" s="248">
        <f>F1597*E1597</f>
        <v>5700</v>
      </c>
    </row>
    <row r="1598" spans="1:7">
      <c r="A1598" s="247"/>
      <c r="B1598" s="410"/>
      <c r="C1598" s="247"/>
      <c r="D1598" s="247"/>
      <c r="E1598" s="1146" t="s">
        <v>705</v>
      </c>
      <c r="F1598" s="1146"/>
      <c r="G1598" s="248">
        <f>SUM(G1597)</f>
        <v>5700</v>
      </c>
    </row>
    <row r="1599" spans="1:7">
      <c r="A1599" s="247"/>
      <c r="B1599" s="410"/>
      <c r="C1599" s="247"/>
      <c r="D1599" s="247"/>
      <c r="E1599" s="372"/>
      <c r="F1599" s="360"/>
      <c r="G1599" s="248"/>
    </row>
    <row r="1600" spans="1:7" s="265" customFormat="1">
      <c r="A1600" s="294" t="s">
        <v>706</v>
      </c>
      <c r="B1600" s="1151" t="s">
        <v>707</v>
      </c>
      <c r="C1600" s="1151"/>
      <c r="D1600" s="1151"/>
      <c r="E1600" s="1151"/>
      <c r="F1600" s="1151"/>
      <c r="G1600" s="255">
        <f>G1592+G1595+G1598</f>
        <v>33306.699999999997</v>
      </c>
    </row>
    <row r="1601" spans="1:8" s="265" customFormat="1">
      <c r="A1601" s="294" t="s">
        <v>708</v>
      </c>
      <c r="B1601" s="1148" t="s">
        <v>876</v>
      </c>
      <c r="C1601" s="1148"/>
      <c r="D1601" s="1148"/>
      <c r="E1601" s="1147" t="s">
        <v>710</v>
      </c>
      <c r="F1601" s="1147"/>
      <c r="G1601" s="255">
        <f>G1600*0.15</f>
        <v>4996.0049999999992</v>
      </c>
    </row>
    <row r="1602" spans="1:8" s="265" customFormat="1">
      <c r="A1602" s="294" t="s">
        <v>711</v>
      </c>
      <c r="B1602" s="1149" t="s">
        <v>4104</v>
      </c>
      <c r="C1602" s="1149"/>
      <c r="D1602" s="1149"/>
      <c r="E1602" s="1149"/>
      <c r="F1602" s="1149"/>
      <c r="G1602" s="255">
        <f>ROUND(SUM(G1600:G1601),2)</f>
        <v>38302.71</v>
      </c>
      <c r="H1602" s="255">
        <f>SUM(G1600:G1601)</f>
        <v>38302.704999999994</v>
      </c>
    </row>
    <row r="1604" spans="1:8">
      <c r="A1604" s="286" t="s">
        <v>4109</v>
      </c>
      <c r="B1604" s="265" t="s">
        <v>2866</v>
      </c>
    </row>
    <row r="1605" spans="1:8" s="292" customFormat="1" ht="24.95" customHeight="1">
      <c r="A1605" s="290" t="s">
        <v>1003</v>
      </c>
      <c r="B1605" s="290" t="s">
        <v>1004</v>
      </c>
      <c r="C1605" s="290" t="s">
        <v>1005</v>
      </c>
      <c r="D1605" s="290" t="s">
        <v>1006</v>
      </c>
      <c r="E1605" s="373" t="s">
        <v>1007</v>
      </c>
      <c r="F1605" s="363" t="s">
        <v>2637</v>
      </c>
      <c r="G1605" s="291" t="s">
        <v>2638</v>
      </c>
    </row>
    <row r="1606" spans="1:8">
      <c r="A1606" s="294" t="s">
        <v>671</v>
      </c>
      <c r="B1606" s="411" t="s">
        <v>672</v>
      </c>
      <c r="C1606" s="247"/>
      <c r="D1606" s="247"/>
      <c r="E1606" s="372"/>
      <c r="F1606" s="360"/>
      <c r="G1606" s="248"/>
    </row>
    <row r="1607" spans="1:8">
      <c r="A1607" s="247"/>
      <c r="B1607" s="410" t="s">
        <v>673</v>
      </c>
      <c r="C1607" s="247" t="s">
        <v>674</v>
      </c>
      <c r="D1607" s="247" t="s">
        <v>675</v>
      </c>
      <c r="E1607" s="372">
        <v>1.9E-2</v>
      </c>
      <c r="F1607" s="360">
        <f>'UPAD-BAHAN-ALAT'!$I$12</f>
        <v>110000</v>
      </c>
      <c r="G1607" s="248">
        <f>F1607*E1607</f>
        <v>2090</v>
      </c>
    </row>
    <row r="1608" spans="1:8">
      <c r="A1608" s="247"/>
      <c r="B1608" s="410" t="s">
        <v>731</v>
      </c>
      <c r="C1608" s="247" t="s">
        <v>678</v>
      </c>
      <c r="D1608" s="247" t="s">
        <v>675</v>
      </c>
      <c r="E1608" s="372">
        <v>3.7999999999999999E-2</v>
      </c>
      <c r="F1608" s="360">
        <f>'UPAD-BAHAN-ALAT'!$I$13</f>
        <v>140000</v>
      </c>
      <c r="G1608" s="248">
        <f>F1608*E1608</f>
        <v>5320</v>
      </c>
    </row>
    <row r="1609" spans="1:8">
      <c r="A1609" s="247"/>
      <c r="B1609" s="410" t="s">
        <v>931</v>
      </c>
      <c r="C1609" s="247"/>
      <c r="D1609" s="247" t="s">
        <v>675</v>
      </c>
      <c r="E1609" s="372">
        <v>1.9E-2</v>
      </c>
      <c r="F1609" s="360">
        <f>'UPAD-BAHAN-ALAT'!I122</f>
        <v>303450</v>
      </c>
      <c r="G1609" s="248">
        <f>F1609*E1609</f>
        <v>5765.55</v>
      </c>
    </row>
    <row r="1610" spans="1:8">
      <c r="A1610" s="247"/>
      <c r="B1610" s="410" t="s">
        <v>934</v>
      </c>
      <c r="C1610" s="247"/>
      <c r="D1610" s="247" t="s">
        <v>675</v>
      </c>
      <c r="E1610" s="372">
        <v>1.9E-2</v>
      </c>
      <c r="F1610" s="360">
        <f>'UPAD-BAHAN-ALAT'!I124</f>
        <v>750000</v>
      </c>
      <c r="G1610" s="248">
        <f>F1610*E1610</f>
        <v>14250</v>
      </c>
    </row>
    <row r="1611" spans="1:8">
      <c r="A1611" s="247"/>
      <c r="B1611" s="410"/>
      <c r="C1611" s="247"/>
      <c r="D1611" s="247"/>
      <c r="E1611" s="1146" t="s">
        <v>685</v>
      </c>
      <c r="F1611" s="1146"/>
      <c r="G1611" s="248">
        <f>SUM(G1607:G1610)</f>
        <v>27425.55</v>
      </c>
    </row>
    <row r="1612" spans="1:8">
      <c r="A1612" s="294" t="s">
        <v>686</v>
      </c>
      <c r="B1612" s="411" t="s">
        <v>687</v>
      </c>
      <c r="C1612" s="247"/>
      <c r="D1612" s="247"/>
      <c r="E1612" s="372"/>
      <c r="F1612" s="360"/>
      <c r="G1612" s="248"/>
    </row>
    <row r="1613" spans="1:8">
      <c r="A1613" s="247"/>
      <c r="B1613" s="410" t="s">
        <v>926</v>
      </c>
      <c r="C1613" s="247"/>
      <c r="D1613" s="247" t="s">
        <v>896</v>
      </c>
      <c r="E1613" s="372">
        <v>1.897</v>
      </c>
      <c r="F1613" s="360">
        <f>'UPAD-BAHAN-ALAT'!$I$515</f>
        <v>9600</v>
      </c>
      <c r="G1613" s="248">
        <f>F1613*E1613</f>
        <v>18211.2</v>
      </c>
    </row>
    <row r="1614" spans="1:8">
      <c r="A1614" s="247"/>
      <c r="B1614" s="410"/>
      <c r="C1614" s="247"/>
      <c r="D1614" s="247"/>
      <c r="E1614" s="1146" t="s">
        <v>702</v>
      </c>
      <c r="F1614" s="1146"/>
      <c r="G1614" s="248">
        <f>SUM(G1613)</f>
        <v>18211.2</v>
      </c>
    </row>
    <row r="1615" spans="1:8">
      <c r="A1615" s="294" t="s">
        <v>703</v>
      </c>
      <c r="B1615" s="411" t="s">
        <v>704</v>
      </c>
      <c r="C1615" s="247"/>
      <c r="D1615" s="247"/>
      <c r="E1615" s="372"/>
      <c r="F1615" s="360"/>
      <c r="G1615" s="248"/>
    </row>
    <row r="1616" spans="1:8">
      <c r="A1616" s="247"/>
      <c r="B1616" s="410" t="s">
        <v>927</v>
      </c>
      <c r="C1616" s="247"/>
      <c r="D1616" s="247" t="s">
        <v>928</v>
      </c>
      <c r="E1616" s="372">
        <v>1.9E-2</v>
      </c>
      <c r="F1616" s="360">
        <f>'UPAD-BAHAN-ALAT'!$I$580</f>
        <v>300000</v>
      </c>
      <c r="G1616" s="248">
        <f>F1616*E1616</f>
        <v>5700</v>
      </c>
    </row>
    <row r="1617" spans="1:8">
      <c r="A1617" s="247"/>
      <c r="B1617" s="410"/>
      <c r="C1617" s="247"/>
      <c r="D1617" s="247"/>
      <c r="E1617" s="1146" t="s">
        <v>705</v>
      </c>
      <c r="F1617" s="1146"/>
      <c r="G1617" s="248">
        <f>SUM(G1616)</f>
        <v>5700</v>
      </c>
    </row>
    <row r="1618" spans="1:8">
      <c r="A1618" s="247"/>
      <c r="B1618" s="410"/>
      <c r="C1618" s="247"/>
      <c r="D1618" s="247"/>
      <c r="E1618" s="372"/>
      <c r="F1618" s="360"/>
      <c r="G1618" s="248"/>
    </row>
    <row r="1619" spans="1:8" s="265" customFormat="1">
      <c r="A1619" s="294" t="s">
        <v>706</v>
      </c>
      <c r="B1619" s="1151" t="s">
        <v>707</v>
      </c>
      <c r="C1619" s="1151"/>
      <c r="D1619" s="1151"/>
      <c r="E1619" s="1151"/>
      <c r="F1619" s="1151"/>
      <c r="G1619" s="255">
        <f>G1611+G1614+G1617</f>
        <v>51336.75</v>
      </c>
    </row>
    <row r="1620" spans="1:8" s="265" customFormat="1">
      <c r="A1620" s="294" t="s">
        <v>708</v>
      </c>
      <c r="B1620" s="1148" t="s">
        <v>876</v>
      </c>
      <c r="C1620" s="1148"/>
      <c r="D1620" s="1148"/>
      <c r="E1620" s="1147" t="s">
        <v>710</v>
      </c>
      <c r="F1620" s="1147"/>
      <c r="G1620" s="255">
        <f>G1619*0.15</f>
        <v>7700.5124999999998</v>
      </c>
    </row>
    <row r="1621" spans="1:8" s="265" customFormat="1">
      <c r="A1621" s="294" t="s">
        <v>711</v>
      </c>
      <c r="B1621" s="1149" t="s">
        <v>4104</v>
      </c>
      <c r="C1621" s="1149"/>
      <c r="D1621" s="1149"/>
      <c r="E1621" s="1149"/>
      <c r="F1621" s="1149"/>
      <c r="G1621" s="255">
        <f>ROUND(SUM(G1619:G1620),2)</f>
        <v>59037.26</v>
      </c>
      <c r="H1621" s="255">
        <f>SUM(G1619:G1620)</f>
        <v>59037.262499999997</v>
      </c>
    </row>
    <row r="1622" spans="1:8">
      <c r="A1622" s="268"/>
      <c r="B1622" s="269"/>
      <c r="C1622" s="268"/>
      <c r="D1622" s="268"/>
      <c r="E1622" s="380"/>
      <c r="F1622" s="365"/>
      <c r="G1622" s="270"/>
    </row>
    <row r="1623" spans="1:8">
      <c r="A1623" s="285" t="s">
        <v>4110</v>
      </c>
      <c r="B1623" s="250" t="s">
        <v>2867</v>
      </c>
      <c r="C1623" s="252"/>
      <c r="D1623" s="252"/>
      <c r="E1623" s="374"/>
      <c r="F1623" s="361"/>
      <c r="G1623" s="253"/>
    </row>
    <row r="1624" spans="1:8" s="292" customFormat="1" ht="24.95" customHeight="1">
      <c r="A1624" s="290" t="s">
        <v>1003</v>
      </c>
      <c r="B1624" s="290" t="s">
        <v>1004</v>
      </c>
      <c r="C1624" s="290" t="s">
        <v>1005</v>
      </c>
      <c r="D1624" s="290" t="s">
        <v>1006</v>
      </c>
      <c r="E1624" s="373" t="s">
        <v>1007</v>
      </c>
      <c r="F1624" s="363" t="s">
        <v>2637</v>
      </c>
      <c r="G1624" s="291" t="s">
        <v>2638</v>
      </c>
    </row>
    <row r="1625" spans="1:8">
      <c r="A1625" s="294" t="s">
        <v>671</v>
      </c>
      <c r="B1625" s="411" t="s">
        <v>672</v>
      </c>
      <c r="C1625" s="247"/>
      <c r="D1625" s="247"/>
      <c r="E1625" s="372"/>
      <c r="F1625" s="360"/>
      <c r="G1625" s="248"/>
    </row>
    <row r="1626" spans="1:8">
      <c r="A1626" s="247"/>
      <c r="B1626" s="410"/>
      <c r="C1626" s="247"/>
      <c r="D1626" s="247"/>
      <c r="E1626" s="1146" t="s">
        <v>685</v>
      </c>
      <c r="F1626" s="1146"/>
      <c r="G1626" s="248"/>
    </row>
    <row r="1627" spans="1:8">
      <c r="A1627" s="294" t="s">
        <v>686</v>
      </c>
      <c r="B1627" s="411" t="s">
        <v>687</v>
      </c>
      <c r="C1627" s="247"/>
      <c r="D1627" s="247"/>
      <c r="E1627" s="372"/>
      <c r="F1627" s="360"/>
      <c r="G1627" s="248"/>
    </row>
    <row r="1628" spans="1:8">
      <c r="A1628" s="247"/>
      <c r="B1628" s="410" t="s">
        <v>936</v>
      </c>
      <c r="C1628" s="247"/>
      <c r="D1628" s="247" t="s">
        <v>690</v>
      </c>
      <c r="E1628" s="360">
        <v>1200</v>
      </c>
      <c r="F1628" s="360">
        <f>'UPAD-BAHAN-ALAT'!I79</f>
        <v>6000</v>
      </c>
      <c r="G1628" s="692">
        <f>E1628*F1628</f>
        <v>7200000</v>
      </c>
    </row>
    <row r="1629" spans="1:8">
      <c r="A1629" s="247"/>
      <c r="B1629" s="410" t="s">
        <v>937</v>
      </c>
      <c r="C1629" s="247"/>
      <c r="D1629" s="247" t="s">
        <v>690</v>
      </c>
      <c r="E1629" s="360">
        <v>650</v>
      </c>
      <c r="F1629" s="360">
        <f>'UPAD-BAHAN-ALAT'!I87</f>
        <v>4900</v>
      </c>
      <c r="G1629" s="692">
        <f>E1629*F1629</f>
        <v>3185000</v>
      </c>
    </row>
    <row r="1630" spans="1:8">
      <c r="A1630" s="247"/>
      <c r="B1630" s="410" t="s">
        <v>842</v>
      </c>
      <c r="C1630" s="247"/>
      <c r="D1630" s="247" t="s">
        <v>896</v>
      </c>
      <c r="E1630" s="360">
        <v>350</v>
      </c>
      <c r="F1630" s="360">
        <f>'UPAD-BAHAN-ALAT'!$I$46</f>
        <v>35</v>
      </c>
      <c r="G1630" s="692">
        <f>E1630*F1630</f>
        <v>12250</v>
      </c>
    </row>
    <row r="1631" spans="1:8">
      <c r="A1631" s="247"/>
      <c r="B1631" s="295"/>
      <c r="C1631" s="296"/>
      <c r="D1631" s="296"/>
      <c r="E1631" s="1146" t="s">
        <v>702</v>
      </c>
      <c r="F1631" s="1146"/>
      <c r="G1631" s="248">
        <f>SUM(G1628:G1630)</f>
        <v>10397250</v>
      </c>
    </row>
    <row r="1632" spans="1:8" s="265" customFormat="1">
      <c r="A1632" s="294" t="s">
        <v>703</v>
      </c>
      <c r="B1632" s="1147" t="s">
        <v>3910</v>
      </c>
      <c r="C1632" s="1147"/>
      <c r="D1632" s="1147"/>
      <c r="E1632" s="1147"/>
      <c r="F1632" s="1147"/>
      <c r="G1632" s="255">
        <f>G1626+G1631</f>
        <v>10397250</v>
      </c>
    </row>
    <row r="1633" spans="1:8" s="265" customFormat="1">
      <c r="A1633" s="294" t="s">
        <v>706</v>
      </c>
      <c r="B1633" s="1148" t="s">
        <v>876</v>
      </c>
      <c r="C1633" s="1148"/>
      <c r="D1633" s="1148"/>
      <c r="E1633" s="1147" t="s">
        <v>4030</v>
      </c>
      <c r="F1633" s="1147"/>
      <c r="G1633" s="255">
        <f>G1632*0.15</f>
        <v>1559587.5</v>
      </c>
    </row>
    <row r="1634" spans="1:8" s="265" customFormat="1">
      <c r="A1634" s="294" t="s">
        <v>708</v>
      </c>
      <c r="B1634" s="1149" t="s">
        <v>3911</v>
      </c>
      <c r="C1634" s="1149"/>
      <c r="D1634" s="1149"/>
      <c r="E1634" s="1149"/>
      <c r="F1634" s="1149"/>
      <c r="G1634" s="255">
        <f>ROUND(SUM(G1632:G1633),2)</f>
        <v>11956837.5</v>
      </c>
      <c r="H1634" s="255">
        <f>SUM(G1632:G1633)</f>
        <v>11956837.5</v>
      </c>
    </row>
    <row r="1636" spans="1:8">
      <c r="A1636" s="286" t="s">
        <v>4111</v>
      </c>
      <c r="B1636" s="265" t="s">
        <v>2868</v>
      </c>
    </row>
    <row r="1637" spans="1:8" s="292" customFormat="1" ht="24.95" customHeight="1">
      <c r="A1637" s="290" t="s">
        <v>1003</v>
      </c>
      <c r="B1637" s="290" t="s">
        <v>1004</v>
      </c>
      <c r="C1637" s="290" t="s">
        <v>1005</v>
      </c>
      <c r="D1637" s="290" t="s">
        <v>1006</v>
      </c>
      <c r="E1637" s="373" t="s">
        <v>1007</v>
      </c>
      <c r="F1637" s="363" t="s">
        <v>2637</v>
      </c>
      <c r="G1637" s="291" t="s">
        <v>2638</v>
      </c>
    </row>
    <row r="1638" spans="1:8">
      <c r="A1638" s="294" t="s">
        <v>671</v>
      </c>
      <c r="B1638" s="411" t="s">
        <v>672</v>
      </c>
      <c r="C1638" s="247"/>
      <c r="D1638" s="247"/>
      <c r="E1638" s="372"/>
      <c r="F1638" s="360"/>
      <c r="G1638" s="248"/>
    </row>
    <row r="1639" spans="1:8">
      <c r="A1639" s="247"/>
      <c r="B1639" s="410"/>
      <c r="C1639" s="247"/>
      <c r="D1639" s="247"/>
      <c r="E1639" s="1146" t="s">
        <v>685</v>
      </c>
      <c r="F1639" s="1146"/>
      <c r="G1639" s="248"/>
    </row>
    <row r="1640" spans="1:8">
      <c r="A1640" s="294" t="s">
        <v>686</v>
      </c>
      <c r="B1640" s="411" t="s">
        <v>687</v>
      </c>
      <c r="C1640" s="247"/>
      <c r="D1640" s="247"/>
      <c r="E1640" s="372"/>
      <c r="F1640" s="360"/>
      <c r="G1640" s="248"/>
    </row>
    <row r="1641" spans="1:8">
      <c r="A1641" s="247"/>
      <c r="B1641" s="410" t="s">
        <v>936</v>
      </c>
      <c r="C1641" s="247"/>
      <c r="D1641" s="247" t="s">
        <v>690</v>
      </c>
      <c r="E1641" s="372">
        <v>1.85</v>
      </c>
      <c r="F1641" s="360">
        <f>'UPAD-BAHAN-ALAT'!$I$79</f>
        <v>6000</v>
      </c>
      <c r="G1641" s="248">
        <f>F1641*E1641</f>
        <v>11100</v>
      </c>
    </row>
    <row r="1642" spans="1:8">
      <c r="A1642" s="247"/>
      <c r="B1642" s="410" t="s">
        <v>842</v>
      </c>
      <c r="C1642" s="247"/>
      <c r="D1642" s="247" t="s">
        <v>896</v>
      </c>
      <c r="E1642" s="360">
        <v>400</v>
      </c>
      <c r="F1642" s="360">
        <f>'UPAD-BAHAN-ALAT'!$I$46</f>
        <v>35</v>
      </c>
      <c r="G1642" s="248">
        <f>F1642*E1642</f>
        <v>14000</v>
      </c>
    </row>
    <row r="1643" spans="1:8">
      <c r="A1643" s="247"/>
      <c r="B1643" s="410"/>
      <c r="C1643" s="247"/>
      <c r="D1643" s="247"/>
      <c r="E1643" s="1144" t="s">
        <v>702</v>
      </c>
      <c r="F1643" s="1144"/>
      <c r="G1643" s="248">
        <f>SUM(G1641:G1642)</f>
        <v>25100</v>
      </c>
    </row>
    <row r="1644" spans="1:8" s="265" customFormat="1">
      <c r="A1644" s="294" t="s">
        <v>703</v>
      </c>
      <c r="B1644" s="1147" t="s">
        <v>3910</v>
      </c>
      <c r="C1644" s="1147"/>
      <c r="D1644" s="1147"/>
      <c r="E1644" s="1147"/>
      <c r="F1644" s="1147"/>
      <c r="G1644" s="255">
        <f>G1643</f>
        <v>25100</v>
      </c>
    </row>
    <row r="1645" spans="1:8" s="265" customFormat="1">
      <c r="A1645" s="294" t="s">
        <v>706</v>
      </c>
      <c r="B1645" s="1148" t="s">
        <v>876</v>
      </c>
      <c r="C1645" s="1148"/>
      <c r="D1645" s="1148"/>
      <c r="E1645" s="1147" t="s">
        <v>4030</v>
      </c>
      <c r="F1645" s="1147"/>
      <c r="G1645" s="255">
        <f>G1644*0.15</f>
        <v>3765</v>
      </c>
    </row>
    <row r="1646" spans="1:8" s="265" customFormat="1">
      <c r="A1646" s="294" t="s">
        <v>708</v>
      </c>
      <c r="B1646" s="1149" t="s">
        <v>3911</v>
      </c>
      <c r="C1646" s="1149"/>
      <c r="D1646" s="1149"/>
      <c r="E1646" s="1149"/>
      <c r="F1646" s="1149"/>
      <c r="G1646" s="255">
        <f>ROUND(SUM(G1644:G1645),2)</f>
        <v>28865</v>
      </c>
      <c r="H1646" s="255">
        <f>SUM(G1644:G1645)</f>
        <v>28865</v>
      </c>
    </row>
    <row r="1647" spans="1:8">
      <c r="A1647" s="268"/>
      <c r="B1647" s="269"/>
      <c r="C1647" s="268"/>
      <c r="D1647" s="268"/>
      <c r="E1647" s="380"/>
      <c r="F1647" s="365"/>
      <c r="G1647" s="270"/>
    </row>
    <row r="1648" spans="1:8">
      <c r="A1648" s="285" t="s">
        <v>4112</v>
      </c>
      <c r="B1648" s="250" t="s">
        <v>2869</v>
      </c>
      <c r="C1648" s="252"/>
      <c r="D1648" s="252"/>
      <c r="E1648" s="374"/>
      <c r="F1648" s="361"/>
      <c r="G1648" s="253"/>
    </row>
    <row r="1649" spans="1:8" s="292" customFormat="1" ht="24.95" customHeight="1">
      <c r="A1649" s="290" t="s">
        <v>1003</v>
      </c>
      <c r="B1649" s="290" t="s">
        <v>1004</v>
      </c>
      <c r="C1649" s="290" t="s">
        <v>1005</v>
      </c>
      <c r="D1649" s="290" t="s">
        <v>1006</v>
      </c>
      <c r="E1649" s="373" t="s">
        <v>1007</v>
      </c>
      <c r="F1649" s="363" t="s">
        <v>2637</v>
      </c>
      <c r="G1649" s="291" t="s">
        <v>2638</v>
      </c>
    </row>
    <row r="1650" spans="1:8">
      <c r="A1650" s="294" t="s">
        <v>671</v>
      </c>
      <c r="B1650" s="411" t="s">
        <v>672</v>
      </c>
      <c r="C1650" s="247"/>
      <c r="D1650" s="247"/>
      <c r="E1650" s="372"/>
      <c r="F1650" s="360"/>
      <c r="G1650" s="248"/>
    </row>
    <row r="1651" spans="1:8">
      <c r="A1651" s="247"/>
      <c r="B1651" s="410" t="s">
        <v>731</v>
      </c>
      <c r="C1651" s="247" t="s">
        <v>678</v>
      </c>
      <c r="D1651" s="247" t="s">
        <v>675</v>
      </c>
      <c r="E1651" s="372">
        <v>0.36699999999999999</v>
      </c>
      <c r="F1651" s="360">
        <f>'UPAD-BAHAN-ALAT'!$I$13</f>
        <v>140000</v>
      </c>
      <c r="G1651" s="248">
        <f>F1651*E1651</f>
        <v>51380</v>
      </c>
    </row>
    <row r="1652" spans="1:8">
      <c r="A1652" s="247"/>
      <c r="B1652" s="410" t="s">
        <v>939</v>
      </c>
      <c r="C1652" s="247" t="s">
        <v>681</v>
      </c>
      <c r="D1652" s="247" t="s">
        <v>675</v>
      </c>
      <c r="E1652" s="372">
        <v>7.3999999999999996E-2</v>
      </c>
      <c r="F1652" s="360">
        <f>'UPAD-BAHAN-ALAT'!$I$15</f>
        <v>150000</v>
      </c>
      <c r="G1652" s="248">
        <f>F1652*E1652</f>
        <v>11100</v>
      </c>
    </row>
    <row r="1653" spans="1:8">
      <c r="A1653" s="247"/>
      <c r="B1653" s="410" t="s">
        <v>683</v>
      </c>
      <c r="C1653" s="247" t="s">
        <v>684</v>
      </c>
      <c r="D1653" s="247" t="s">
        <v>675</v>
      </c>
      <c r="E1653" s="372">
        <v>3.6999999999999998E-2</v>
      </c>
      <c r="F1653" s="360">
        <f>'UPAD-BAHAN-ALAT'!$I$14</f>
        <v>140000</v>
      </c>
      <c r="G1653" s="248">
        <f>F1653*E1653</f>
        <v>5180</v>
      </c>
    </row>
    <row r="1654" spans="1:8">
      <c r="A1654" s="247"/>
      <c r="B1654" s="410"/>
      <c r="C1654" s="247"/>
      <c r="D1654" s="247"/>
      <c r="E1654" s="1155" t="s">
        <v>685</v>
      </c>
      <c r="F1654" s="1155"/>
      <c r="G1654" s="248">
        <f>SUM(G1651:G1653)</f>
        <v>67660</v>
      </c>
    </row>
    <row r="1655" spans="1:8">
      <c r="A1655" s="294" t="s">
        <v>686</v>
      </c>
      <c r="B1655" s="411" t="s">
        <v>687</v>
      </c>
      <c r="C1655" s="247"/>
      <c r="D1655" s="247"/>
      <c r="E1655" s="619"/>
      <c r="F1655" s="392"/>
      <c r="G1655" s="248"/>
    </row>
    <row r="1656" spans="1:8">
      <c r="A1656" s="247"/>
      <c r="B1656" s="410"/>
      <c r="C1656" s="247"/>
      <c r="D1656" s="247"/>
      <c r="E1656" s="1155" t="s">
        <v>702</v>
      </c>
      <c r="F1656" s="1155"/>
      <c r="G1656" s="248"/>
    </row>
    <row r="1657" spans="1:8" s="265" customFormat="1">
      <c r="A1657" s="294" t="s">
        <v>703</v>
      </c>
      <c r="B1657" s="1151" t="s">
        <v>3910</v>
      </c>
      <c r="C1657" s="1151"/>
      <c r="D1657" s="1151"/>
      <c r="E1657" s="1151"/>
      <c r="F1657" s="1151"/>
      <c r="G1657" s="255">
        <f>G1654+G1656</f>
        <v>67660</v>
      </c>
    </row>
    <row r="1658" spans="1:8" s="265" customFormat="1">
      <c r="A1658" s="294" t="s">
        <v>706</v>
      </c>
      <c r="B1658" s="1148" t="s">
        <v>876</v>
      </c>
      <c r="C1658" s="1148"/>
      <c r="D1658" s="1148"/>
      <c r="E1658" s="1147" t="s">
        <v>4030</v>
      </c>
      <c r="F1658" s="1147"/>
      <c r="G1658" s="255">
        <f>G1657*0.15</f>
        <v>10149</v>
      </c>
    </row>
    <row r="1659" spans="1:8" s="265" customFormat="1">
      <c r="A1659" s="294" t="s">
        <v>708</v>
      </c>
      <c r="B1659" s="1149" t="s">
        <v>3911</v>
      </c>
      <c r="C1659" s="1149"/>
      <c r="D1659" s="1149"/>
      <c r="E1659" s="1149"/>
      <c r="F1659" s="1149"/>
      <c r="G1659" s="255">
        <f>ROUND(SUM(G1657:G1658),2)</f>
        <v>77809</v>
      </c>
      <c r="H1659" s="255">
        <f>SUM(G1657:G1658)</f>
        <v>77809</v>
      </c>
    </row>
    <row r="1660" spans="1:8">
      <c r="A1660" s="268"/>
      <c r="B1660" s="269"/>
      <c r="C1660" s="268"/>
      <c r="D1660" s="268"/>
      <c r="E1660" s="380"/>
      <c r="F1660" s="365"/>
      <c r="G1660" s="270"/>
    </row>
    <row r="1661" spans="1:8">
      <c r="A1661" s="285" t="s">
        <v>4113</v>
      </c>
      <c r="B1661" s="250" t="s">
        <v>2870</v>
      </c>
      <c r="C1661" s="252"/>
      <c r="D1661" s="252"/>
      <c r="E1661" s="374"/>
      <c r="F1661" s="361"/>
      <c r="G1661" s="253"/>
    </row>
    <row r="1662" spans="1:8" s="292" customFormat="1" ht="24.95" customHeight="1">
      <c r="A1662" s="290" t="s">
        <v>1003</v>
      </c>
      <c r="B1662" s="290" t="s">
        <v>1004</v>
      </c>
      <c r="C1662" s="290" t="s">
        <v>1005</v>
      </c>
      <c r="D1662" s="290" t="s">
        <v>1006</v>
      </c>
      <c r="E1662" s="373" t="s">
        <v>1007</v>
      </c>
      <c r="F1662" s="363" t="s">
        <v>2637</v>
      </c>
      <c r="G1662" s="291" t="s">
        <v>2638</v>
      </c>
    </row>
    <row r="1663" spans="1:8">
      <c r="A1663" s="294" t="s">
        <v>671</v>
      </c>
      <c r="B1663" s="411" t="s">
        <v>672</v>
      </c>
      <c r="C1663" s="247"/>
      <c r="D1663" s="247"/>
      <c r="E1663" s="372"/>
      <c r="F1663" s="360"/>
      <c r="G1663" s="248"/>
    </row>
    <row r="1664" spans="1:8">
      <c r="A1664" s="247"/>
      <c r="B1664" s="410" t="s">
        <v>673</v>
      </c>
      <c r="C1664" s="247" t="s">
        <v>674</v>
      </c>
      <c r="D1664" s="247" t="s">
        <v>675</v>
      </c>
      <c r="E1664" s="372">
        <v>0.14699999999999999</v>
      </c>
      <c r="F1664" s="360">
        <f>'UPAD-BAHAN-ALAT'!$I$12</f>
        <v>110000</v>
      </c>
      <c r="G1664" s="248">
        <f>F1664*E1664</f>
        <v>16170</v>
      </c>
    </row>
    <row r="1665" spans="1:8">
      <c r="A1665" s="247"/>
      <c r="B1665" s="410" t="s">
        <v>871</v>
      </c>
      <c r="C1665" s="247" t="s">
        <v>678</v>
      </c>
      <c r="D1665" s="247" t="s">
        <v>675</v>
      </c>
      <c r="E1665" s="372">
        <v>0.14699999999999999</v>
      </c>
      <c r="F1665" s="360">
        <f>'UPAD-BAHAN-ALAT'!$I$13</f>
        <v>140000</v>
      </c>
      <c r="G1665" s="248">
        <f>F1665*E1665</f>
        <v>20580</v>
      </c>
    </row>
    <row r="1666" spans="1:8">
      <c r="A1666" s="247"/>
      <c r="B1666" s="410" t="s">
        <v>751</v>
      </c>
      <c r="C1666" s="247" t="s">
        <v>681</v>
      </c>
      <c r="D1666" s="247" t="s">
        <v>675</v>
      </c>
      <c r="E1666" s="372">
        <v>1.4999999999999999E-2</v>
      </c>
      <c r="F1666" s="360">
        <f>'UPAD-BAHAN-ALAT'!$I$15</f>
        <v>150000</v>
      </c>
      <c r="G1666" s="248">
        <f>F1666*E1666</f>
        <v>2250</v>
      </c>
    </row>
    <row r="1667" spans="1:8">
      <c r="A1667" s="247"/>
      <c r="B1667" s="410" t="s">
        <v>683</v>
      </c>
      <c r="C1667" s="247" t="s">
        <v>684</v>
      </c>
      <c r="D1667" s="247" t="s">
        <v>675</v>
      </c>
      <c r="E1667" s="372">
        <v>5.0000000000000001E-3</v>
      </c>
      <c r="F1667" s="360">
        <f>'UPAD-BAHAN-ALAT'!$I$14</f>
        <v>140000</v>
      </c>
      <c r="G1667" s="248">
        <f>F1667*E1667</f>
        <v>700</v>
      </c>
    </row>
    <row r="1668" spans="1:8">
      <c r="A1668" s="247"/>
      <c r="B1668" s="410"/>
      <c r="C1668" s="247"/>
      <c r="D1668" s="247"/>
      <c r="E1668" s="1146" t="s">
        <v>685</v>
      </c>
      <c r="F1668" s="1146"/>
      <c r="G1668" s="248">
        <f>SUM(G1664:G1667)</f>
        <v>39700</v>
      </c>
    </row>
    <row r="1669" spans="1:8">
      <c r="A1669" s="294" t="s">
        <v>686</v>
      </c>
      <c r="B1669" s="411" t="s">
        <v>687</v>
      </c>
      <c r="C1669" s="247"/>
      <c r="D1669" s="247"/>
      <c r="E1669" s="372"/>
      <c r="F1669" s="360"/>
      <c r="G1669" s="248"/>
    </row>
    <row r="1670" spans="1:8">
      <c r="A1670" s="247"/>
      <c r="B1670" s="410" t="s">
        <v>904</v>
      </c>
      <c r="C1670" s="247"/>
      <c r="D1670" s="247" t="s">
        <v>2646</v>
      </c>
      <c r="E1670" s="372">
        <v>1.2E-2</v>
      </c>
      <c r="F1670" s="360">
        <f>'UPAD-BAHAN-ALAT'!$I$96</f>
        <v>3465000</v>
      </c>
      <c r="G1670" s="248">
        <f>F1670*E1670</f>
        <v>41580</v>
      </c>
    </row>
    <row r="1671" spans="1:8">
      <c r="A1671" s="247"/>
      <c r="B1671" s="410" t="s">
        <v>940</v>
      </c>
      <c r="C1671" s="247"/>
      <c r="D1671" s="247" t="s">
        <v>2646</v>
      </c>
      <c r="E1671" s="372">
        <v>4.0000000000000001E-3</v>
      </c>
      <c r="F1671" s="360">
        <f>'UPAD-BAHAN-ALAT'!$I$96</f>
        <v>3465000</v>
      </c>
      <c r="G1671" s="248">
        <f>F1671*E1671</f>
        <v>13860</v>
      </c>
    </row>
    <row r="1672" spans="1:8">
      <c r="A1672" s="247"/>
      <c r="B1672" s="410" t="s">
        <v>910</v>
      </c>
      <c r="C1672" s="247"/>
      <c r="D1672" s="247" t="s">
        <v>690</v>
      </c>
      <c r="E1672" s="372">
        <v>0.26400000000000001</v>
      </c>
      <c r="F1672" s="360">
        <f>'UPAD-BAHAN-ALAT'!$I$139</f>
        <v>21000</v>
      </c>
      <c r="G1672" s="248">
        <f>F1672*E1672</f>
        <v>5544</v>
      </c>
    </row>
    <row r="1673" spans="1:8">
      <c r="A1673" s="247"/>
      <c r="B1673" s="410"/>
      <c r="C1673" s="247"/>
      <c r="D1673" s="247"/>
      <c r="E1673" s="1155" t="s">
        <v>702</v>
      </c>
      <c r="F1673" s="1155"/>
      <c r="G1673" s="248">
        <f>SUM(G1670:G1672)</f>
        <v>60984</v>
      </c>
    </row>
    <row r="1674" spans="1:8" s="265" customFormat="1">
      <c r="A1674" s="294" t="s">
        <v>703</v>
      </c>
      <c r="B1674" s="1147" t="s">
        <v>3910</v>
      </c>
      <c r="C1674" s="1147"/>
      <c r="D1674" s="1147"/>
      <c r="E1674" s="1147"/>
      <c r="F1674" s="1147"/>
      <c r="G1674" s="255">
        <f>G1668+G1673</f>
        <v>100684</v>
      </c>
    </row>
    <row r="1675" spans="1:8" s="265" customFormat="1">
      <c r="A1675" s="294" t="s">
        <v>706</v>
      </c>
      <c r="B1675" s="1147" t="s">
        <v>796</v>
      </c>
      <c r="C1675" s="1147"/>
      <c r="D1675" s="294"/>
      <c r="E1675" s="1147" t="s">
        <v>4030</v>
      </c>
      <c r="F1675" s="1147"/>
      <c r="G1675" s="255">
        <f>G1674*0.15</f>
        <v>15102.599999999999</v>
      </c>
    </row>
    <row r="1676" spans="1:8" s="265" customFormat="1">
      <c r="A1676" s="294" t="s">
        <v>708</v>
      </c>
      <c r="B1676" s="1149" t="s">
        <v>3911</v>
      </c>
      <c r="C1676" s="1149"/>
      <c r="D1676" s="1149"/>
      <c r="E1676" s="1149"/>
      <c r="F1676" s="1149"/>
      <c r="G1676" s="255">
        <f>ROUND(SUM(G1674:G1675),2)</f>
        <v>115786.6</v>
      </c>
      <c r="H1676" s="255">
        <f>SUM(G1674:G1675)</f>
        <v>115786.6</v>
      </c>
    </row>
    <row r="1678" spans="1:8">
      <c r="A1678" s="286" t="s">
        <v>4114</v>
      </c>
      <c r="B1678" s="265" t="s">
        <v>2871</v>
      </c>
    </row>
    <row r="1679" spans="1:8" s="292" customFormat="1" ht="24.95" customHeight="1">
      <c r="A1679" s="290" t="s">
        <v>1003</v>
      </c>
      <c r="B1679" s="293" t="s">
        <v>1004</v>
      </c>
      <c r="C1679" s="293" t="s">
        <v>1005</v>
      </c>
      <c r="D1679" s="293" t="s">
        <v>1006</v>
      </c>
      <c r="E1679" s="373" t="s">
        <v>1007</v>
      </c>
      <c r="F1679" s="389" t="s">
        <v>2637</v>
      </c>
      <c r="G1679" s="291" t="s">
        <v>2638</v>
      </c>
    </row>
    <row r="1680" spans="1:8">
      <c r="A1680" s="294" t="s">
        <v>671</v>
      </c>
      <c r="B1680" s="357" t="s">
        <v>672</v>
      </c>
      <c r="C1680" s="283"/>
      <c r="D1680" s="283"/>
      <c r="E1680" s="372"/>
      <c r="F1680" s="360"/>
      <c r="G1680" s="248"/>
    </row>
    <row r="1681" spans="1:8">
      <c r="A1681" s="247"/>
      <c r="B1681" s="355" t="s">
        <v>673</v>
      </c>
      <c r="C1681" s="283" t="s">
        <v>674</v>
      </c>
      <c r="D1681" s="283" t="s">
        <v>675</v>
      </c>
      <c r="E1681" s="372">
        <v>0.22</v>
      </c>
      <c r="F1681" s="360">
        <f>'UPAD-BAHAN-ALAT'!$I$12</f>
        <v>110000</v>
      </c>
      <c r="G1681" s="248">
        <f>F1681*E1681</f>
        <v>24200</v>
      </c>
    </row>
    <row r="1682" spans="1:8">
      <c r="A1682" s="247"/>
      <c r="B1682" s="355" t="s">
        <v>871</v>
      </c>
      <c r="C1682" s="283" t="s">
        <v>678</v>
      </c>
      <c r="D1682" s="283" t="s">
        <v>675</v>
      </c>
      <c r="E1682" s="372">
        <v>0.22</v>
      </c>
      <c r="F1682" s="360">
        <f>'UPAD-BAHAN-ALAT'!$I$13</f>
        <v>140000</v>
      </c>
      <c r="G1682" s="248">
        <f>F1682*E1682</f>
        <v>30800</v>
      </c>
    </row>
    <row r="1683" spans="1:8">
      <c r="A1683" s="247"/>
      <c r="B1683" s="355" t="s">
        <v>872</v>
      </c>
      <c r="C1683" s="283" t="s">
        <v>678</v>
      </c>
      <c r="D1683" s="283" t="s">
        <v>675</v>
      </c>
      <c r="E1683" s="372">
        <v>0.22</v>
      </c>
      <c r="F1683" s="360">
        <f>'UPAD-BAHAN-ALAT'!$I$13</f>
        <v>140000</v>
      </c>
      <c r="G1683" s="248">
        <f>F1683*E1683</f>
        <v>30800</v>
      </c>
    </row>
    <row r="1684" spans="1:8">
      <c r="A1684" s="247"/>
      <c r="B1684" s="355" t="s">
        <v>683</v>
      </c>
      <c r="C1684" s="283" t="s">
        <v>684</v>
      </c>
      <c r="D1684" s="283" t="s">
        <v>675</v>
      </c>
      <c r="E1684" s="372">
        <v>1.0999999999999999E-2</v>
      </c>
      <c r="F1684" s="360">
        <f>'UPAD-BAHAN-ALAT'!$I$14</f>
        <v>140000</v>
      </c>
      <c r="G1684" s="248">
        <f>F1684*E1684</f>
        <v>1540</v>
      </c>
    </row>
    <row r="1685" spans="1:8">
      <c r="A1685" s="247"/>
      <c r="B1685" s="355"/>
      <c r="C1685" s="283"/>
      <c r="D1685" s="283"/>
      <c r="E1685" s="428" t="s">
        <v>685</v>
      </c>
      <c r="F1685" s="390"/>
      <c r="G1685" s="248">
        <f>SUM(G1681:G1684)</f>
        <v>87340</v>
      </c>
    </row>
    <row r="1686" spans="1:8">
      <c r="A1686" s="294" t="s">
        <v>686</v>
      </c>
      <c r="B1686" s="357" t="s">
        <v>687</v>
      </c>
      <c r="C1686" s="283"/>
      <c r="D1686" s="283"/>
      <c r="E1686" s="372"/>
      <c r="F1686" s="360"/>
      <c r="G1686" s="248"/>
    </row>
    <row r="1687" spans="1:8">
      <c r="A1687" s="247"/>
      <c r="B1687" s="355"/>
      <c r="C1687" s="283"/>
      <c r="D1687" s="283"/>
      <c r="E1687" s="428" t="s">
        <v>702</v>
      </c>
      <c r="F1687" s="390"/>
      <c r="G1687" s="248"/>
    </row>
    <row r="1688" spans="1:8" s="265" customFormat="1">
      <c r="A1688" s="294" t="s">
        <v>703</v>
      </c>
      <c r="B1688" s="357" t="s">
        <v>3910</v>
      </c>
      <c r="C1688" s="294"/>
      <c r="D1688" s="294"/>
      <c r="E1688" s="611"/>
      <c r="F1688" s="612"/>
      <c r="G1688" s="255">
        <f>G1685+G1687</f>
        <v>87340</v>
      </c>
    </row>
    <row r="1689" spans="1:8" s="265" customFormat="1">
      <c r="A1689" s="294" t="s">
        <v>706</v>
      </c>
      <c r="B1689" s="617" t="s">
        <v>876</v>
      </c>
      <c r="C1689" s="673"/>
      <c r="D1689" s="673"/>
      <c r="E1689" s="611" t="s">
        <v>4030</v>
      </c>
      <c r="F1689" s="612"/>
      <c r="G1689" s="255">
        <f>G1688*0.15</f>
        <v>13101</v>
      </c>
    </row>
    <row r="1690" spans="1:8" s="265" customFormat="1">
      <c r="A1690" s="294" t="s">
        <v>708</v>
      </c>
      <c r="B1690" s="357" t="s">
        <v>3911</v>
      </c>
      <c r="C1690" s="294"/>
      <c r="D1690" s="294"/>
      <c r="E1690" s="611"/>
      <c r="F1690" s="612"/>
      <c r="G1690" s="255">
        <f>ROUND(SUM(G1688:G1689),2)</f>
        <v>100441</v>
      </c>
      <c r="H1690" s="255">
        <f>SUM(G1688:G1689)</f>
        <v>100441</v>
      </c>
    </row>
    <row r="1692" spans="1:8">
      <c r="A1692" s="600" t="s">
        <v>4115</v>
      </c>
      <c r="B1692" s="265" t="s">
        <v>2872</v>
      </c>
    </row>
    <row r="1693" spans="1:8">
      <c r="A1693" s="600" t="s">
        <v>4649</v>
      </c>
      <c r="B1693" s="265" t="s">
        <v>2873</v>
      </c>
    </row>
    <row r="1694" spans="1:8" s="292" customFormat="1" ht="24.95" customHeight="1">
      <c r="A1694" s="290" t="s">
        <v>1003</v>
      </c>
      <c r="B1694" s="290" t="s">
        <v>1004</v>
      </c>
      <c r="C1694" s="293" t="s">
        <v>1005</v>
      </c>
      <c r="D1694" s="293" t="s">
        <v>1006</v>
      </c>
      <c r="E1694" s="379" t="s">
        <v>1007</v>
      </c>
      <c r="F1694" s="389" t="s">
        <v>2637</v>
      </c>
      <c r="G1694" s="623" t="s">
        <v>2638</v>
      </c>
    </row>
    <row r="1695" spans="1:8">
      <c r="A1695" s="294" t="s">
        <v>671</v>
      </c>
      <c r="B1695" s="411" t="s">
        <v>672</v>
      </c>
      <c r="C1695" s="283"/>
      <c r="D1695" s="283"/>
      <c r="E1695" s="428"/>
      <c r="F1695" s="360"/>
      <c r="G1695" s="625"/>
    </row>
    <row r="1696" spans="1:8">
      <c r="A1696" s="247"/>
      <c r="B1696" s="410" t="s">
        <v>673</v>
      </c>
      <c r="C1696" s="283" t="s">
        <v>674</v>
      </c>
      <c r="D1696" s="283" t="s">
        <v>675</v>
      </c>
      <c r="E1696" s="428">
        <v>0.06</v>
      </c>
      <c r="F1696" s="360">
        <f>'UPAD-BAHAN-ALAT'!$I$12</f>
        <v>110000</v>
      </c>
      <c r="G1696" s="248">
        <f>F1696*E1696</f>
        <v>6600</v>
      </c>
    </row>
    <row r="1697" spans="1:8">
      <c r="A1697" s="247"/>
      <c r="B1697" s="256" t="s">
        <v>4116</v>
      </c>
      <c r="C1697" s="283" t="s">
        <v>681</v>
      </c>
      <c r="D1697" s="430" t="s">
        <v>675</v>
      </c>
      <c r="E1697" s="428">
        <v>0.06</v>
      </c>
      <c r="F1697" s="360">
        <f>'UPAD-BAHAN-ALAT'!$I$15</f>
        <v>150000</v>
      </c>
      <c r="G1697" s="248">
        <f>F1697*E1697</f>
        <v>9000</v>
      </c>
    </row>
    <row r="1698" spans="1:8">
      <c r="A1698" s="247"/>
      <c r="B1698" s="410" t="s">
        <v>751</v>
      </c>
      <c r="C1698" s="283" t="s">
        <v>681</v>
      </c>
      <c r="D1698" s="283" t="s">
        <v>675</v>
      </c>
      <c r="E1698" s="428">
        <v>6.0000000000000001E-3</v>
      </c>
      <c r="F1698" s="360">
        <f>'UPAD-BAHAN-ALAT'!$I$15</f>
        <v>150000</v>
      </c>
      <c r="G1698" s="248">
        <f>F1698*E1698</f>
        <v>900</v>
      </c>
    </row>
    <row r="1699" spans="1:8">
      <c r="A1699" s="247"/>
      <c r="B1699" s="410" t="s">
        <v>683</v>
      </c>
      <c r="C1699" s="283" t="s">
        <v>684</v>
      </c>
      <c r="D1699" s="283" t="s">
        <v>675</v>
      </c>
      <c r="E1699" s="428">
        <v>3.0000000000000001E-3</v>
      </c>
      <c r="F1699" s="360">
        <f>'UPAD-BAHAN-ALAT'!$I$14</f>
        <v>140000</v>
      </c>
      <c r="G1699" s="248">
        <f>F1699*E1699</f>
        <v>420</v>
      </c>
    </row>
    <row r="1700" spans="1:8">
      <c r="A1700" s="247"/>
      <c r="B1700" s="410"/>
      <c r="C1700" s="283"/>
      <c r="D1700" s="283"/>
      <c r="E1700" s="428" t="s">
        <v>685</v>
      </c>
      <c r="F1700" s="390"/>
      <c r="G1700" s="625">
        <f>SUM(G1696:G1699)</f>
        <v>16920</v>
      </c>
    </row>
    <row r="1701" spans="1:8">
      <c r="A1701" s="294" t="s">
        <v>686</v>
      </c>
      <c r="B1701" s="411" t="s">
        <v>687</v>
      </c>
      <c r="C1701" s="283"/>
      <c r="D1701" s="283"/>
      <c r="E1701" s="428"/>
      <c r="F1701" s="360"/>
      <c r="G1701" s="625"/>
    </row>
    <row r="1702" spans="1:8">
      <c r="A1702" s="247"/>
      <c r="B1702" s="410" t="s">
        <v>945</v>
      </c>
      <c r="C1702" s="283"/>
      <c r="D1702" s="283" t="s">
        <v>690</v>
      </c>
      <c r="E1702" s="428">
        <v>1.1499999999999999</v>
      </c>
      <c r="F1702" s="360">
        <f>'UPAD-BAHAN-ALAT'!$I$114</f>
        <v>15750</v>
      </c>
      <c r="G1702" s="248">
        <f>F1702*E1702</f>
        <v>18112.5</v>
      </c>
    </row>
    <row r="1703" spans="1:8">
      <c r="A1703" s="247"/>
      <c r="B1703" s="410"/>
      <c r="C1703" s="283"/>
      <c r="D1703" s="283"/>
      <c r="E1703" s="428" t="s">
        <v>702</v>
      </c>
      <c r="F1703" s="390"/>
      <c r="G1703" s="625">
        <f>SUM(G1702)</f>
        <v>18112.5</v>
      </c>
    </row>
    <row r="1704" spans="1:8" s="265" customFormat="1">
      <c r="A1704" s="294" t="s">
        <v>703</v>
      </c>
      <c r="B1704" s="357" t="s">
        <v>3910</v>
      </c>
      <c r="C1704" s="610"/>
      <c r="D1704" s="610"/>
      <c r="E1704" s="611"/>
      <c r="F1704" s="612"/>
      <c r="G1704" s="693">
        <f>G1700+G1703</f>
        <v>35032.5</v>
      </c>
    </row>
    <row r="1705" spans="1:8" s="265" customFormat="1">
      <c r="A1705" s="294" t="s">
        <v>706</v>
      </c>
      <c r="B1705" s="617" t="s">
        <v>876</v>
      </c>
      <c r="C1705" s="618"/>
      <c r="D1705" s="618"/>
      <c r="E1705" s="613" t="s">
        <v>4030</v>
      </c>
      <c r="F1705" s="612"/>
      <c r="G1705" s="255">
        <f>G1704*0.15</f>
        <v>5254.875</v>
      </c>
    </row>
    <row r="1706" spans="1:8" s="265" customFormat="1">
      <c r="A1706" s="294" t="s">
        <v>708</v>
      </c>
      <c r="B1706" s="1149" t="s">
        <v>3911</v>
      </c>
      <c r="C1706" s="1149"/>
      <c r="D1706" s="1149"/>
      <c r="E1706" s="1149"/>
      <c r="F1706" s="1149"/>
      <c r="G1706" s="255">
        <f>ROUND(SUM(G1704:G1705),2)</f>
        <v>40287.379999999997</v>
      </c>
      <c r="H1706" s="693">
        <f>SUM(G1704:G1705)</f>
        <v>40287.375</v>
      </c>
    </row>
    <row r="1708" spans="1:8">
      <c r="A1708" s="286" t="s">
        <v>4117</v>
      </c>
      <c r="B1708" s="265" t="s">
        <v>4724</v>
      </c>
    </row>
    <row r="1709" spans="1:8">
      <c r="A1709" s="254" t="s">
        <v>1003</v>
      </c>
      <c r="B1709" s="694" t="s">
        <v>1004</v>
      </c>
      <c r="C1709" s="695" t="s">
        <v>1005</v>
      </c>
      <c r="D1709" s="695" t="s">
        <v>1006</v>
      </c>
      <c r="E1709" s="696" t="s">
        <v>1007</v>
      </c>
      <c r="F1709" s="393" t="s">
        <v>2637</v>
      </c>
      <c r="G1709" s="255" t="s">
        <v>2638</v>
      </c>
    </row>
    <row r="1710" spans="1:8">
      <c r="A1710" s="294" t="s">
        <v>671</v>
      </c>
      <c r="B1710" s="357" t="s">
        <v>672</v>
      </c>
      <c r="C1710" s="283"/>
      <c r="D1710" s="283"/>
      <c r="E1710" s="428"/>
      <c r="F1710" s="360"/>
      <c r="G1710" s="248"/>
    </row>
    <row r="1711" spans="1:8">
      <c r="A1711" s="247"/>
      <c r="B1711" s="355" t="s">
        <v>673</v>
      </c>
      <c r="C1711" s="283" t="s">
        <v>674</v>
      </c>
      <c r="D1711" s="283" t="s">
        <v>675</v>
      </c>
      <c r="E1711" s="428">
        <v>0.06</v>
      </c>
      <c r="F1711" s="360">
        <f>'UPAD-BAHAN-ALAT'!$I$12</f>
        <v>110000</v>
      </c>
      <c r="G1711" s="248">
        <f>F1711*E1711</f>
        <v>6600</v>
      </c>
    </row>
    <row r="1712" spans="1:8">
      <c r="A1712" s="247"/>
      <c r="B1712" s="614" t="s">
        <v>4118</v>
      </c>
      <c r="C1712" s="283" t="s">
        <v>681</v>
      </c>
      <c r="D1712" s="430" t="s">
        <v>675</v>
      </c>
      <c r="E1712" s="428">
        <v>0.06</v>
      </c>
      <c r="F1712" s="360">
        <f>'UPAD-BAHAN-ALAT'!$I$15</f>
        <v>150000</v>
      </c>
      <c r="G1712" s="248">
        <f>F1712*E1712</f>
        <v>9000</v>
      </c>
    </row>
    <row r="1713" spans="1:8">
      <c r="A1713" s="247"/>
      <c r="B1713" s="355" t="s">
        <v>751</v>
      </c>
      <c r="C1713" s="283" t="s">
        <v>681</v>
      </c>
      <c r="D1713" s="283" t="s">
        <v>675</v>
      </c>
      <c r="E1713" s="428">
        <v>6.0000000000000001E-3</v>
      </c>
      <c r="F1713" s="360">
        <f>'UPAD-BAHAN-ALAT'!$I$15</f>
        <v>150000</v>
      </c>
      <c r="G1713" s="248">
        <f>F1713*E1713</f>
        <v>900</v>
      </c>
    </row>
    <row r="1714" spans="1:8">
      <c r="A1714" s="247"/>
      <c r="B1714" s="355" t="s">
        <v>683</v>
      </c>
      <c r="C1714" s="283" t="s">
        <v>684</v>
      </c>
      <c r="D1714" s="283" t="s">
        <v>675</v>
      </c>
      <c r="E1714" s="428">
        <v>3.0000000000000001E-3</v>
      </c>
      <c r="F1714" s="360">
        <f>'UPAD-BAHAN-ALAT'!$I$14</f>
        <v>140000</v>
      </c>
      <c r="G1714" s="248">
        <f>F1714*E1714</f>
        <v>420</v>
      </c>
    </row>
    <row r="1715" spans="1:8">
      <c r="A1715" s="247"/>
      <c r="B1715" s="355"/>
      <c r="C1715" s="283"/>
      <c r="D1715" s="283"/>
      <c r="E1715" s="428" t="s">
        <v>685</v>
      </c>
      <c r="F1715" s="390"/>
      <c r="G1715" s="248">
        <f>SUM(G1711:G1714)</f>
        <v>16920</v>
      </c>
    </row>
    <row r="1716" spans="1:8">
      <c r="A1716" s="294" t="s">
        <v>686</v>
      </c>
      <c r="B1716" s="357" t="s">
        <v>687</v>
      </c>
      <c r="C1716" s="283"/>
      <c r="D1716" s="283"/>
      <c r="E1716" s="428"/>
      <c r="F1716" s="360"/>
      <c r="G1716" s="248"/>
    </row>
    <row r="1717" spans="1:8">
      <c r="A1717" s="247"/>
      <c r="B1717" s="355" t="s">
        <v>946</v>
      </c>
      <c r="C1717" s="283"/>
      <c r="D1717" s="430" t="s">
        <v>690</v>
      </c>
      <c r="E1717" s="431">
        <v>1.1499999999999999</v>
      </c>
      <c r="F1717" s="360">
        <f>'UPAD-BAHAN-ALAT'!$I$115</f>
        <v>15750</v>
      </c>
      <c r="G1717" s="248">
        <f>F1717*E1717</f>
        <v>18112.5</v>
      </c>
    </row>
    <row r="1718" spans="1:8">
      <c r="A1718" s="247"/>
      <c r="B1718" s="355"/>
      <c r="C1718" s="283"/>
      <c r="D1718" s="283"/>
      <c r="E1718" s="428" t="s">
        <v>702</v>
      </c>
      <c r="F1718" s="390"/>
      <c r="G1718" s="248">
        <f>SUM(G1717)</f>
        <v>18112.5</v>
      </c>
    </row>
    <row r="1719" spans="1:8" s="265" customFormat="1">
      <c r="A1719" s="294" t="s">
        <v>703</v>
      </c>
      <c r="B1719" s="357" t="s">
        <v>3910</v>
      </c>
      <c r="C1719" s="610"/>
      <c r="D1719" s="610"/>
      <c r="E1719" s="611"/>
      <c r="F1719" s="612"/>
      <c r="G1719" s="255">
        <f>G1715+G1718</f>
        <v>35032.5</v>
      </c>
    </row>
    <row r="1720" spans="1:8" s="265" customFormat="1">
      <c r="A1720" s="294" t="s">
        <v>706</v>
      </c>
      <c r="B1720" s="617" t="s">
        <v>876</v>
      </c>
      <c r="C1720" s="618"/>
      <c r="D1720" s="618"/>
      <c r="E1720" s="613" t="s">
        <v>4030</v>
      </c>
      <c r="F1720" s="612"/>
      <c r="G1720" s="255">
        <f>G1719*0.15</f>
        <v>5254.875</v>
      </c>
    </row>
    <row r="1721" spans="1:8" s="265" customFormat="1">
      <c r="A1721" s="294" t="s">
        <v>708</v>
      </c>
      <c r="B1721" s="357" t="s">
        <v>3911</v>
      </c>
      <c r="C1721" s="610"/>
      <c r="D1721" s="610"/>
      <c r="E1721" s="611"/>
      <c r="F1721" s="612"/>
      <c r="G1721" s="255">
        <f>ROUND(SUM(G1719:G1720),2)</f>
        <v>40287.379999999997</v>
      </c>
      <c r="H1721" s="255">
        <f>SUM(G1719:G1720)</f>
        <v>40287.375</v>
      </c>
    </row>
    <row r="1722" spans="1:8">
      <c r="A1722" s="268"/>
      <c r="B1722" s="269"/>
      <c r="C1722" s="268"/>
      <c r="D1722" s="268"/>
      <c r="E1722" s="380"/>
      <c r="F1722" s="365"/>
      <c r="G1722" s="270"/>
    </row>
    <row r="1723" spans="1:8">
      <c r="A1723" s="285" t="s">
        <v>4119</v>
      </c>
      <c r="B1723" s="250" t="s">
        <v>4725</v>
      </c>
      <c r="C1723" s="252"/>
      <c r="D1723" s="252"/>
      <c r="E1723" s="374"/>
      <c r="F1723" s="361"/>
      <c r="G1723" s="253"/>
    </row>
    <row r="1724" spans="1:8" s="292" customFormat="1" ht="24.95" customHeight="1">
      <c r="A1724" s="290" t="s">
        <v>1003</v>
      </c>
      <c r="B1724" s="290" t="s">
        <v>1004</v>
      </c>
      <c r="C1724" s="293" t="s">
        <v>1005</v>
      </c>
      <c r="D1724" s="293" t="s">
        <v>1006</v>
      </c>
      <c r="E1724" s="379" t="s">
        <v>1007</v>
      </c>
      <c r="F1724" s="427" t="s">
        <v>2637</v>
      </c>
      <c r="G1724" s="291" t="s">
        <v>2638</v>
      </c>
    </row>
    <row r="1725" spans="1:8">
      <c r="A1725" s="294" t="s">
        <v>671</v>
      </c>
      <c r="B1725" s="411" t="s">
        <v>672</v>
      </c>
      <c r="C1725" s="283"/>
      <c r="D1725" s="283"/>
      <c r="E1725" s="428"/>
      <c r="F1725" s="429"/>
      <c r="G1725" s="248"/>
    </row>
    <row r="1726" spans="1:8">
      <c r="A1726" s="247"/>
      <c r="B1726" s="410" t="s">
        <v>673</v>
      </c>
      <c r="C1726" s="283" t="s">
        <v>674</v>
      </c>
      <c r="D1726" s="283" t="s">
        <v>675</v>
      </c>
      <c r="E1726" s="428">
        <v>0.1</v>
      </c>
      <c r="F1726" s="360">
        <f>'UPAD-BAHAN-ALAT'!$I$12</f>
        <v>110000</v>
      </c>
      <c r="G1726" s="248">
        <f>F1726*E1726</f>
        <v>11000</v>
      </c>
    </row>
    <row r="1727" spans="1:8">
      <c r="A1727" s="247"/>
      <c r="B1727" s="256" t="s">
        <v>3536</v>
      </c>
      <c r="C1727" s="283" t="s">
        <v>681</v>
      </c>
      <c r="D1727" s="430" t="s">
        <v>675</v>
      </c>
      <c r="E1727" s="428">
        <v>0.1</v>
      </c>
      <c r="F1727" s="360">
        <f>'UPAD-BAHAN-ALAT'!$I$15</f>
        <v>150000</v>
      </c>
      <c r="G1727" s="248">
        <f>F1727*E1727</f>
        <v>15000</v>
      </c>
    </row>
    <row r="1728" spans="1:8">
      <c r="A1728" s="247"/>
      <c r="B1728" s="410" t="s">
        <v>751</v>
      </c>
      <c r="C1728" s="283" t="s">
        <v>681</v>
      </c>
      <c r="D1728" s="283" t="s">
        <v>675</v>
      </c>
      <c r="E1728" s="428">
        <v>1E-3</v>
      </c>
      <c r="F1728" s="360">
        <f>'UPAD-BAHAN-ALAT'!$I$15</f>
        <v>150000</v>
      </c>
      <c r="G1728" s="248">
        <f>F1728*E1728</f>
        <v>150</v>
      </c>
    </row>
    <row r="1729" spans="1:8">
      <c r="A1729" s="247"/>
      <c r="B1729" s="410" t="s">
        <v>683</v>
      </c>
      <c r="C1729" s="283" t="s">
        <v>684</v>
      </c>
      <c r="D1729" s="283" t="s">
        <v>675</v>
      </c>
      <c r="E1729" s="428">
        <v>5.0000000000000001E-3</v>
      </c>
      <c r="F1729" s="360">
        <f>'UPAD-BAHAN-ALAT'!$I$14</f>
        <v>140000</v>
      </c>
      <c r="G1729" s="248">
        <f>F1729*E1729</f>
        <v>700</v>
      </c>
    </row>
    <row r="1730" spans="1:8">
      <c r="A1730" s="247"/>
      <c r="B1730" s="410"/>
      <c r="C1730" s="288"/>
      <c r="D1730" s="283"/>
      <c r="E1730" s="428" t="s">
        <v>685</v>
      </c>
      <c r="F1730" s="429"/>
      <c r="G1730" s="248">
        <f>SUM(G1726:G1729)</f>
        <v>26850</v>
      </c>
    </row>
    <row r="1731" spans="1:8">
      <c r="A1731" s="294" t="s">
        <v>686</v>
      </c>
      <c r="B1731" s="411" t="s">
        <v>687</v>
      </c>
      <c r="C1731" s="288"/>
      <c r="D1731" s="283"/>
      <c r="E1731" s="428"/>
      <c r="F1731" s="429"/>
      <c r="G1731" s="248"/>
    </row>
    <row r="1732" spans="1:8">
      <c r="A1732" s="247"/>
      <c r="B1732" s="410" t="s">
        <v>926</v>
      </c>
      <c r="C1732" s="288"/>
      <c r="D1732" s="283" t="s">
        <v>701</v>
      </c>
      <c r="E1732" s="428">
        <v>1</v>
      </c>
      <c r="F1732" s="429">
        <f>'UPAD-BAHAN-ALAT'!$I$515</f>
        <v>9600</v>
      </c>
      <c r="G1732" s="248">
        <f>F1732*E1732</f>
        <v>9600</v>
      </c>
    </row>
    <row r="1733" spans="1:8">
      <c r="A1733" s="247"/>
      <c r="B1733" s="410" t="s">
        <v>947</v>
      </c>
      <c r="C1733" s="288"/>
      <c r="D1733" s="283" t="s">
        <v>701</v>
      </c>
      <c r="E1733" s="428">
        <v>0.1</v>
      </c>
      <c r="F1733" s="429">
        <f>'UPAD-BAHAN-ALAT'!$I$513</f>
        <v>50000</v>
      </c>
      <c r="G1733" s="248">
        <f>F1733*E1733</f>
        <v>5000</v>
      </c>
    </row>
    <row r="1734" spans="1:8">
      <c r="A1734" s="247"/>
      <c r="B1734" s="410"/>
      <c r="C1734" s="288"/>
      <c r="D1734" s="283"/>
      <c r="E1734" s="428" t="s">
        <v>702</v>
      </c>
      <c r="F1734" s="429"/>
      <c r="G1734" s="248">
        <f>SUM(G1732:G1733)</f>
        <v>14600</v>
      </c>
    </row>
    <row r="1735" spans="1:8" s="265" customFormat="1">
      <c r="A1735" s="294" t="s">
        <v>703</v>
      </c>
      <c r="B1735" s="357" t="s">
        <v>3910</v>
      </c>
      <c r="C1735" s="610"/>
      <c r="D1735" s="610"/>
      <c r="E1735" s="611"/>
      <c r="F1735" s="639"/>
      <c r="G1735" s="255">
        <f>G1730+G1734</f>
        <v>41450</v>
      </c>
    </row>
    <row r="1736" spans="1:8" s="265" customFormat="1">
      <c r="A1736" s="294" t="s">
        <v>706</v>
      </c>
      <c r="B1736" s="617" t="s">
        <v>876</v>
      </c>
      <c r="C1736" s="618"/>
      <c r="D1736" s="633"/>
      <c r="E1736" s="613" t="s">
        <v>4030</v>
      </c>
      <c r="F1736" s="639"/>
      <c r="G1736" s="255">
        <f>G1735*0.15</f>
        <v>6217.5</v>
      </c>
    </row>
    <row r="1737" spans="1:8" s="265" customFormat="1">
      <c r="A1737" s="294" t="s">
        <v>708</v>
      </c>
      <c r="B1737" s="1149" t="s">
        <v>3911</v>
      </c>
      <c r="C1737" s="1149"/>
      <c r="D1737" s="1149"/>
      <c r="E1737" s="1149"/>
      <c r="F1737" s="1149"/>
      <c r="G1737" s="255">
        <f>ROUND(SUM(G1735:G1736),2)</f>
        <v>47667.5</v>
      </c>
      <c r="H1737" s="255">
        <f>SUM(G1735:G1736)</f>
        <v>47667.5</v>
      </c>
    </row>
    <row r="1739" spans="1:8">
      <c r="A1739" s="286" t="s">
        <v>4120</v>
      </c>
      <c r="B1739" s="265" t="s">
        <v>4726</v>
      </c>
    </row>
    <row r="1740" spans="1:8" s="292" customFormat="1" ht="24.95" customHeight="1">
      <c r="A1740" s="290" t="s">
        <v>1003</v>
      </c>
      <c r="B1740" s="290" t="s">
        <v>1004</v>
      </c>
      <c r="C1740" s="293" t="s">
        <v>1005</v>
      </c>
      <c r="D1740" s="293" t="s">
        <v>1006</v>
      </c>
      <c r="E1740" s="379" t="s">
        <v>1007</v>
      </c>
      <c r="F1740" s="389" t="s">
        <v>2637</v>
      </c>
      <c r="G1740" s="291" t="s">
        <v>2638</v>
      </c>
    </row>
    <row r="1741" spans="1:8">
      <c r="A1741" s="294" t="s">
        <v>671</v>
      </c>
      <c r="B1741" s="411" t="s">
        <v>672</v>
      </c>
      <c r="C1741" s="283"/>
      <c r="D1741" s="283"/>
      <c r="E1741" s="428"/>
      <c r="F1741" s="429"/>
      <c r="G1741" s="248"/>
    </row>
    <row r="1742" spans="1:8">
      <c r="A1742" s="247"/>
      <c r="B1742" s="410" t="s">
        <v>673</v>
      </c>
      <c r="C1742" s="283" t="s">
        <v>674</v>
      </c>
      <c r="D1742" s="283" t="s">
        <v>675</v>
      </c>
      <c r="E1742" s="428">
        <v>1.05</v>
      </c>
      <c r="F1742" s="360">
        <f>'UPAD-BAHAN-ALAT'!$I$12</f>
        <v>110000</v>
      </c>
      <c r="G1742" s="248">
        <f>F1742*E1742</f>
        <v>115500</v>
      </c>
    </row>
    <row r="1743" spans="1:8">
      <c r="A1743" s="247"/>
      <c r="B1743" s="410" t="s">
        <v>949</v>
      </c>
      <c r="C1743" s="283" t="s">
        <v>678</v>
      </c>
      <c r="D1743" s="283" t="s">
        <v>675</v>
      </c>
      <c r="E1743" s="428">
        <v>1.05</v>
      </c>
      <c r="F1743" s="360">
        <f>'UPAD-BAHAN-ALAT'!$I$13</f>
        <v>140000</v>
      </c>
      <c r="G1743" s="248">
        <f>F1743*E1743</f>
        <v>147000</v>
      </c>
    </row>
    <row r="1744" spans="1:8">
      <c r="A1744" s="247"/>
      <c r="B1744" s="410" t="s">
        <v>751</v>
      </c>
      <c r="C1744" s="283" t="s">
        <v>681</v>
      </c>
      <c r="D1744" s="283" t="s">
        <v>675</v>
      </c>
      <c r="E1744" s="428">
        <v>0.105</v>
      </c>
      <c r="F1744" s="360">
        <f>'UPAD-BAHAN-ALAT'!$I$15</f>
        <v>150000</v>
      </c>
      <c r="G1744" s="248">
        <f>F1744*E1744</f>
        <v>15750</v>
      </c>
    </row>
    <row r="1745" spans="1:8">
      <c r="A1745" s="247"/>
      <c r="B1745" s="410" t="s">
        <v>683</v>
      </c>
      <c r="C1745" s="283" t="s">
        <v>684</v>
      </c>
      <c r="D1745" s="283" t="s">
        <v>675</v>
      </c>
      <c r="E1745" s="428">
        <v>5.1999999999999998E-2</v>
      </c>
      <c r="F1745" s="360">
        <f>'UPAD-BAHAN-ALAT'!$I$14</f>
        <v>140000</v>
      </c>
      <c r="G1745" s="248">
        <f>F1745*E1745</f>
        <v>7280</v>
      </c>
    </row>
    <row r="1746" spans="1:8">
      <c r="A1746" s="247"/>
      <c r="B1746" s="410"/>
      <c r="C1746" s="283"/>
      <c r="D1746" s="283"/>
      <c r="E1746" s="428" t="s">
        <v>685</v>
      </c>
      <c r="F1746" s="429"/>
      <c r="G1746" s="248">
        <f>SUM(G1742:G1745)</f>
        <v>285530</v>
      </c>
    </row>
    <row r="1747" spans="1:8">
      <c r="A1747" s="294" t="s">
        <v>686</v>
      </c>
      <c r="B1747" s="411" t="s">
        <v>687</v>
      </c>
      <c r="C1747" s="283"/>
      <c r="D1747" s="283"/>
      <c r="E1747" s="428"/>
      <c r="F1747" s="429"/>
      <c r="G1747" s="248"/>
    </row>
    <row r="1748" spans="1:8">
      <c r="A1748" s="247"/>
      <c r="B1748" s="410" t="s">
        <v>951</v>
      </c>
      <c r="C1748" s="283"/>
      <c r="D1748" s="283" t="s">
        <v>690</v>
      </c>
      <c r="E1748" s="428">
        <v>15</v>
      </c>
      <c r="F1748" s="429">
        <f>'UPAD-BAHAN-ALAT'!$I$114</f>
        <v>15750</v>
      </c>
      <c r="G1748" s="248">
        <f>F1748*E1748</f>
        <v>236250</v>
      </c>
    </row>
    <row r="1749" spans="1:8">
      <c r="A1749" s="247"/>
      <c r="B1749" s="410" t="s">
        <v>953</v>
      </c>
      <c r="C1749" s="288"/>
      <c r="D1749" s="283" t="s">
        <v>690</v>
      </c>
      <c r="E1749" s="428">
        <v>32.799999999999997</v>
      </c>
      <c r="F1749" s="429">
        <f>'UPAD-BAHAN-ALAT'!$I$116</f>
        <v>15750</v>
      </c>
      <c r="G1749" s="248">
        <f>F1749*E1749</f>
        <v>516599.99999999994</v>
      </c>
    </row>
    <row r="1750" spans="1:8">
      <c r="A1750" s="247"/>
      <c r="B1750" s="410" t="s">
        <v>954</v>
      </c>
      <c r="C1750" s="247"/>
      <c r="D1750" s="283" t="s">
        <v>690</v>
      </c>
      <c r="E1750" s="428">
        <v>0.05</v>
      </c>
      <c r="F1750" s="429">
        <f>'UPAD-BAHAN-ALAT'!$I$121</f>
        <v>44000</v>
      </c>
      <c r="G1750" s="248">
        <f>F1750*E1750</f>
        <v>2200</v>
      </c>
    </row>
    <row r="1751" spans="1:8">
      <c r="A1751" s="247"/>
      <c r="B1751" s="410"/>
      <c r="C1751" s="247"/>
      <c r="D1751" s="283"/>
      <c r="E1751" s="428" t="s">
        <v>702</v>
      </c>
      <c r="F1751" s="429"/>
      <c r="G1751" s="248">
        <f>SUM(G1748:G1750)</f>
        <v>755050</v>
      </c>
    </row>
    <row r="1752" spans="1:8" s="265" customFormat="1">
      <c r="A1752" s="294" t="s">
        <v>703</v>
      </c>
      <c r="B1752" s="357" t="s">
        <v>3910</v>
      </c>
      <c r="C1752" s="610"/>
      <c r="D1752" s="610"/>
      <c r="E1752" s="611"/>
      <c r="F1752" s="639"/>
      <c r="G1752" s="255">
        <f>G1746+G1751</f>
        <v>1040580</v>
      </c>
    </row>
    <row r="1753" spans="1:8" s="265" customFormat="1">
      <c r="A1753" s="294" t="s">
        <v>706</v>
      </c>
      <c r="B1753" s="617" t="s">
        <v>876</v>
      </c>
      <c r="C1753" s="618"/>
      <c r="D1753" s="633"/>
      <c r="E1753" s="613" t="s">
        <v>4030</v>
      </c>
      <c r="F1753" s="639"/>
      <c r="G1753" s="255">
        <f>G1752*0.15</f>
        <v>156087</v>
      </c>
    </row>
    <row r="1754" spans="1:8" s="265" customFormat="1">
      <c r="A1754" s="294" t="s">
        <v>708</v>
      </c>
      <c r="B1754" s="1149" t="s">
        <v>3911</v>
      </c>
      <c r="C1754" s="1149"/>
      <c r="D1754" s="1149"/>
      <c r="E1754" s="1149"/>
      <c r="F1754" s="1149"/>
      <c r="G1754" s="255">
        <f>ROUND(SUM(G1752:G1753),2)</f>
        <v>1196667</v>
      </c>
      <c r="H1754" s="255">
        <f>SUM(G1752:G1753)</f>
        <v>1196667</v>
      </c>
    </row>
    <row r="1755" spans="1:8">
      <c r="A1755" s="268"/>
      <c r="B1755" s="269"/>
      <c r="C1755" s="268"/>
      <c r="D1755" s="268"/>
      <c r="E1755" s="380"/>
      <c r="F1755" s="365"/>
      <c r="G1755" s="270"/>
    </row>
    <row r="1756" spans="1:8">
      <c r="A1756" s="285" t="s">
        <v>4121</v>
      </c>
      <c r="B1756" s="250" t="s">
        <v>2874</v>
      </c>
      <c r="C1756" s="252"/>
      <c r="D1756" s="252"/>
      <c r="E1756" s="374"/>
      <c r="F1756" s="361"/>
      <c r="G1756" s="253"/>
    </row>
    <row r="1757" spans="1:8" s="292" customFormat="1" ht="24.95" customHeight="1">
      <c r="A1757" s="290" t="s">
        <v>1003</v>
      </c>
      <c r="B1757" s="290" t="s">
        <v>1004</v>
      </c>
      <c r="C1757" s="290" t="s">
        <v>1005</v>
      </c>
      <c r="D1757" s="293" t="s">
        <v>1006</v>
      </c>
      <c r="E1757" s="379" t="s">
        <v>1007</v>
      </c>
      <c r="F1757" s="427" t="s">
        <v>2637</v>
      </c>
      <c r="G1757" s="291" t="s">
        <v>2638</v>
      </c>
    </row>
    <row r="1758" spans="1:8">
      <c r="A1758" s="294" t="s">
        <v>671</v>
      </c>
      <c r="B1758" s="411" t="s">
        <v>672</v>
      </c>
      <c r="C1758" s="247"/>
      <c r="D1758" s="283"/>
      <c r="E1758" s="428"/>
      <c r="F1758" s="429"/>
      <c r="G1758" s="248"/>
    </row>
    <row r="1759" spans="1:8">
      <c r="A1759" s="247"/>
      <c r="B1759" s="410" t="s">
        <v>673</v>
      </c>
      <c r="C1759" s="247" t="s">
        <v>674</v>
      </c>
      <c r="D1759" s="283" t="s">
        <v>675</v>
      </c>
      <c r="E1759" s="428">
        <v>0.04</v>
      </c>
      <c r="F1759" s="360">
        <f>'UPAD-BAHAN-ALAT'!$I$12</f>
        <v>110000</v>
      </c>
      <c r="G1759" s="248">
        <f>F1759*E1759</f>
        <v>4400</v>
      </c>
    </row>
    <row r="1760" spans="1:8">
      <c r="A1760" s="247"/>
      <c r="B1760" s="256" t="s">
        <v>3536</v>
      </c>
      <c r="C1760" s="257" t="s">
        <v>681</v>
      </c>
      <c r="D1760" s="430" t="s">
        <v>675</v>
      </c>
      <c r="E1760" s="431">
        <v>0.02</v>
      </c>
      <c r="F1760" s="360">
        <f>'UPAD-BAHAN-ALAT'!$I$15</f>
        <v>150000</v>
      </c>
      <c r="G1760" s="248">
        <f>F1760*E1760</f>
        <v>3000</v>
      </c>
    </row>
    <row r="1761" spans="1:8">
      <c r="A1761" s="247"/>
      <c r="B1761" s="410" t="s">
        <v>751</v>
      </c>
      <c r="C1761" s="247" t="s">
        <v>681</v>
      </c>
      <c r="D1761" s="283" t="s">
        <v>675</v>
      </c>
      <c r="E1761" s="428">
        <v>2E-3</v>
      </c>
      <c r="F1761" s="360">
        <f>'UPAD-BAHAN-ALAT'!$I$15</f>
        <v>150000</v>
      </c>
      <c r="G1761" s="248">
        <f>F1761*E1761</f>
        <v>300</v>
      </c>
    </row>
    <row r="1762" spans="1:8">
      <c r="A1762" s="247"/>
      <c r="B1762" s="410" t="s">
        <v>683</v>
      </c>
      <c r="C1762" s="247" t="s">
        <v>684</v>
      </c>
      <c r="D1762" s="283" t="s">
        <v>675</v>
      </c>
      <c r="E1762" s="428">
        <v>2E-3</v>
      </c>
      <c r="F1762" s="360">
        <f>'UPAD-BAHAN-ALAT'!$I$14</f>
        <v>140000</v>
      </c>
      <c r="G1762" s="248">
        <f>F1762*E1762</f>
        <v>280</v>
      </c>
    </row>
    <row r="1763" spans="1:8">
      <c r="A1763" s="247"/>
      <c r="B1763" s="410"/>
      <c r="C1763" s="247"/>
      <c r="D1763" s="283"/>
      <c r="E1763" s="428" t="s">
        <v>685</v>
      </c>
      <c r="F1763" s="429"/>
      <c r="G1763" s="248">
        <f>SUM(G1759:G1762)</f>
        <v>7980</v>
      </c>
    </row>
    <row r="1764" spans="1:8">
      <c r="A1764" s="294" t="s">
        <v>686</v>
      </c>
      <c r="B1764" s="411" t="s">
        <v>687</v>
      </c>
      <c r="C1764" s="247"/>
      <c r="D1764" s="283"/>
      <c r="E1764" s="428"/>
      <c r="F1764" s="429"/>
      <c r="G1764" s="248"/>
    </row>
    <row r="1765" spans="1:8">
      <c r="A1765" s="247"/>
      <c r="B1765" s="410" t="s">
        <v>955</v>
      </c>
      <c r="C1765" s="247"/>
      <c r="D1765" s="283" t="s">
        <v>690</v>
      </c>
      <c r="E1765" s="428">
        <v>0.4</v>
      </c>
      <c r="F1765" s="429">
        <f>'UPAD-BAHAN-ALAT'!$I$121</f>
        <v>44000</v>
      </c>
      <c r="G1765" s="248">
        <f>F1765*E1765</f>
        <v>17600</v>
      </c>
    </row>
    <row r="1766" spans="1:8">
      <c r="A1766" s="247"/>
      <c r="B1766" s="410" t="s">
        <v>926</v>
      </c>
      <c r="C1766" s="247"/>
      <c r="D1766" s="283" t="s">
        <v>701</v>
      </c>
      <c r="E1766" s="428">
        <v>0.3</v>
      </c>
      <c r="F1766" s="429">
        <f>'UPAD-BAHAN-ALAT'!$I$515</f>
        <v>9600</v>
      </c>
      <c r="G1766" s="248">
        <f>F1766*E1766</f>
        <v>2880</v>
      </c>
    </row>
    <row r="1767" spans="1:8">
      <c r="A1767" s="247"/>
      <c r="B1767" s="410" t="s">
        <v>947</v>
      </c>
      <c r="C1767" s="247"/>
      <c r="D1767" s="283" t="s">
        <v>701</v>
      </c>
      <c r="E1767" s="428">
        <v>0.04</v>
      </c>
      <c r="F1767" s="429">
        <f>'UPAD-BAHAN-ALAT'!$I$513</f>
        <v>50000</v>
      </c>
      <c r="G1767" s="248">
        <f>F1767*E1767</f>
        <v>2000</v>
      </c>
    </row>
    <row r="1768" spans="1:8">
      <c r="A1768" s="247"/>
      <c r="B1768" s="410"/>
      <c r="C1768" s="247"/>
      <c r="D1768" s="283"/>
      <c r="E1768" s="428" t="s">
        <v>702</v>
      </c>
      <c r="F1768" s="429"/>
      <c r="G1768" s="248">
        <f>SUM(G1765:G1767)</f>
        <v>22480</v>
      </c>
    </row>
    <row r="1769" spans="1:8">
      <c r="A1769" s="294" t="s">
        <v>703</v>
      </c>
      <c r="B1769" s="411" t="s">
        <v>704</v>
      </c>
      <c r="C1769" s="247"/>
      <c r="D1769" s="283"/>
      <c r="E1769" s="428"/>
      <c r="F1769" s="429"/>
      <c r="G1769" s="248"/>
    </row>
    <row r="1770" spans="1:8">
      <c r="A1770" s="247"/>
      <c r="B1770" s="410" t="s">
        <v>956</v>
      </c>
      <c r="C1770" s="247"/>
      <c r="D1770" s="283" t="s">
        <v>948</v>
      </c>
      <c r="E1770" s="428">
        <v>0.17</v>
      </c>
      <c r="F1770" s="429">
        <f>'UPAD-BAHAN-ALAT'!$I$569</f>
        <v>85000</v>
      </c>
      <c r="G1770" s="248">
        <f>F1770*E1770</f>
        <v>14450.000000000002</v>
      </c>
    </row>
    <row r="1771" spans="1:8">
      <c r="A1771" s="247"/>
      <c r="B1771" s="410"/>
      <c r="C1771" s="247"/>
      <c r="D1771" s="283"/>
      <c r="E1771" s="428" t="s">
        <v>705</v>
      </c>
      <c r="F1771" s="429"/>
      <c r="G1771" s="248">
        <f>SUM(G1770)</f>
        <v>14450.000000000002</v>
      </c>
    </row>
    <row r="1772" spans="1:8">
      <c r="A1772" s="247"/>
      <c r="B1772" s="410"/>
      <c r="C1772" s="247"/>
      <c r="D1772" s="247"/>
      <c r="E1772" s="428"/>
      <c r="F1772" s="429"/>
      <c r="G1772" s="248"/>
    </row>
    <row r="1773" spans="1:8" s="265" customFormat="1">
      <c r="A1773" s="294" t="s">
        <v>706</v>
      </c>
      <c r="B1773" s="1151" t="s">
        <v>707</v>
      </c>
      <c r="C1773" s="1151"/>
      <c r="D1773" s="1151"/>
      <c r="E1773" s="1151"/>
      <c r="F1773" s="1151"/>
      <c r="G1773" s="255">
        <f>G1763+G1768+G1771</f>
        <v>44910</v>
      </c>
    </row>
    <row r="1774" spans="1:8" s="265" customFormat="1">
      <c r="A1774" s="294" t="s">
        <v>708</v>
      </c>
      <c r="B1774" s="1148" t="s">
        <v>876</v>
      </c>
      <c r="C1774" s="1148"/>
      <c r="D1774" s="1148"/>
      <c r="E1774" s="1147" t="s">
        <v>710</v>
      </c>
      <c r="F1774" s="1147"/>
      <c r="G1774" s="255">
        <f>G1773*0.15</f>
        <v>6736.5</v>
      </c>
    </row>
    <row r="1775" spans="1:8" s="265" customFormat="1">
      <c r="A1775" s="294" t="s">
        <v>711</v>
      </c>
      <c r="B1775" s="1149" t="s">
        <v>4104</v>
      </c>
      <c r="C1775" s="1149"/>
      <c r="D1775" s="1149"/>
      <c r="E1775" s="1149"/>
      <c r="F1775" s="1149"/>
      <c r="G1775" s="255">
        <f>ROUND(SUM(G1773:G1774),2)</f>
        <v>51646.5</v>
      </c>
      <c r="H1775" s="255">
        <f>SUM(G1773:G1774)</f>
        <v>51646.5</v>
      </c>
    </row>
    <row r="1776" spans="1:8" s="265" customFormat="1">
      <c r="A1776" s="432"/>
      <c r="B1776" s="412" t="s">
        <v>4648</v>
      </c>
      <c r="C1776" s="412"/>
      <c r="D1776" s="412"/>
      <c r="E1776" s="412"/>
      <c r="F1776" s="412"/>
      <c r="G1776" s="255">
        <f>G1775/10</f>
        <v>5164.6499999999996</v>
      </c>
      <c r="H1776" s="352"/>
    </row>
    <row r="1778" spans="1:7">
      <c r="A1778" s="286" t="s">
        <v>4122</v>
      </c>
      <c r="B1778" s="265" t="s">
        <v>2875</v>
      </c>
    </row>
    <row r="1779" spans="1:7" s="292" customFormat="1" ht="24.95" customHeight="1">
      <c r="A1779" s="290" t="s">
        <v>1003</v>
      </c>
      <c r="B1779" s="290" t="s">
        <v>1004</v>
      </c>
      <c r="C1779" s="290" t="s">
        <v>1005</v>
      </c>
      <c r="D1779" s="290" t="s">
        <v>1006</v>
      </c>
      <c r="E1779" s="373" t="s">
        <v>1007</v>
      </c>
      <c r="F1779" s="363" t="s">
        <v>2637</v>
      </c>
      <c r="G1779" s="291" t="s">
        <v>2638</v>
      </c>
    </row>
    <row r="1780" spans="1:7">
      <c r="A1780" s="294" t="s">
        <v>671</v>
      </c>
      <c r="B1780" s="411" t="s">
        <v>672</v>
      </c>
      <c r="C1780" s="247"/>
      <c r="D1780" s="247"/>
      <c r="E1780" s="372"/>
      <c r="F1780" s="360"/>
      <c r="G1780" s="248"/>
    </row>
    <row r="1781" spans="1:7">
      <c r="A1781" s="247"/>
      <c r="B1781" s="410" t="s">
        <v>673</v>
      </c>
      <c r="C1781" s="247" t="s">
        <v>674</v>
      </c>
      <c r="D1781" s="247" t="s">
        <v>675</v>
      </c>
      <c r="E1781" s="372">
        <v>0.65</v>
      </c>
      <c r="F1781" s="360">
        <f>'UPAD-BAHAN-ALAT'!$I$12</f>
        <v>110000</v>
      </c>
      <c r="G1781" s="248">
        <f>F1781*E1781</f>
        <v>71500</v>
      </c>
    </row>
    <row r="1782" spans="1:7">
      <c r="A1782" s="247"/>
      <c r="B1782" s="410" t="s">
        <v>949</v>
      </c>
      <c r="C1782" s="247" t="s">
        <v>678</v>
      </c>
      <c r="D1782" s="247" t="s">
        <v>675</v>
      </c>
      <c r="E1782" s="372">
        <v>0.65</v>
      </c>
      <c r="F1782" s="360">
        <f>'UPAD-BAHAN-ALAT'!$I$13</f>
        <v>140000</v>
      </c>
      <c r="G1782" s="248">
        <f>F1782*E1782</f>
        <v>91000</v>
      </c>
    </row>
    <row r="1783" spans="1:7">
      <c r="A1783" s="247"/>
      <c r="B1783" s="410" t="s">
        <v>751</v>
      </c>
      <c r="C1783" s="247" t="s">
        <v>681</v>
      </c>
      <c r="D1783" s="247" t="s">
        <v>675</v>
      </c>
      <c r="E1783" s="372">
        <v>6.5000000000000002E-2</v>
      </c>
      <c r="F1783" s="360">
        <f>'UPAD-BAHAN-ALAT'!$I$15</f>
        <v>150000</v>
      </c>
      <c r="G1783" s="248">
        <f>F1783*E1783</f>
        <v>9750</v>
      </c>
    </row>
    <row r="1784" spans="1:7">
      <c r="A1784" s="247"/>
      <c r="B1784" s="410" t="s">
        <v>683</v>
      </c>
      <c r="C1784" s="247" t="s">
        <v>684</v>
      </c>
      <c r="D1784" s="247" t="s">
        <v>675</v>
      </c>
      <c r="E1784" s="372">
        <v>3.2000000000000001E-2</v>
      </c>
      <c r="F1784" s="360">
        <f>'UPAD-BAHAN-ALAT'!$I$14</f>
        <v>140000</v>
      </c>
      <c r="G1784" s="248">
        <f>F1784*E1784</f>
        <v>4480</v>
      </c>
    </row>
    <row r="1785" spans="1:7">
      <c r="A1785" s="247"/>
      <c r="B1785" s="410"/>
      <c r="C1785" s="247"/>
      <c r="D1785" s="247"/>
      <c r="E1785" s="1146" t="s">
        <v>685</v>
      </c>
      <c r="F1785" s="1146"/>
      <c r="G1785" s="248">
        <f>SUM(G1781:G1784)</f>
        <v>176730</v>
      </c>
    </row>
    <row r="1786" spans="1:7">
      <c r="A1786" s="294" t="s">
        <v>686</v>
      </c>
      <c r="B1786" s="411" t="s">
        <v>687</v>
      </c>
      <c r="C1786" s="247"/>
      <c r="D1786" s="247"/>
      <c r="E1786" s="372"/>
      <c r="F1786" s="360"/>
      <c r="G1786" s="248"/>
    </row>
    <row r="1787" spans="1:7">
      <c r="A1787" s="247"/>
      <c r="B1787" s="410" t="s">
        <v>4014</v>
      </c>
      <c r="C1787" s="247"/>
      <c r="D1787" s="247" t="s">
        <v>853</v>
      </c>
      <c r="E1787" s="372">
        <v>4.76</v>
      </c>
      <c r="F1787" s="360">
        <f>'UPAD-BAHAN-ALAT'!$I$174</f>
        <v>150000</v>
      </c>
      <c r="G1787" s="248">
        <f>F1787*E1787</f>
        <v>714000</v>
      </c>
    </row>
    <row r="1788" spans="1:7">
      <c r="A1788" s="247"/>
      <c r="B1788" s="256" t="s">
        <v>3454</v>
      </c>
      <c r="C1788" s="247"/>
      <c r="D1788" s="247" t="s">
        <v>853</v>
      </c>
      <c r="E1788" s="372">
        <v>4.5220000000000002</v>
      </c>
      <c r="F1788" s="360">
        <f>'UPAD-BAHAN-ALAT'!$I$176</f>
        <v>10000</v>
      </c>
      <c r="G1788" s="248">
        <f>F1788*E1788</f>
        <v>45220</v>
      </c>
    </row>
    <row r="1789" spans="1:7">
      <c r="A1789" s="247"/>
      <c r="B1789" s="410" t="s">
        <v>3636</v>
      </c>
      <c r="C1789" s="247"/>
      <c r="D1789" s="247" t="s">
        <v>959</v>
      </c>
      <c r="E1789" s="372">
        <v>20</v>
      </c>
      <c r="F1789" s="360">
        <f>$G$1773/10</f>
        <v>4491</v>
      </c>
      <c r="G1789" s="248">
        <f>F1789*E1789</f>
        <v>89820</v>
      </c>
    </row>
    <row r="1790" spans="1:7">
      <c r="A1790" s="247"/>
      <c r="B1790" s="295"/>
      <c r="C1790" s="296"/>
      <c r="D1790" s="296"/>
      <c r="E1790" s="1146" t="s">
        <v>702</v>
      </c>
      <c r="F1790" s="1146"/>
      <c r="G1790" s="248">
        <f>SUM(G1787:G1789)</f>
        <v>849040</v>
      </c>
    </row>
    <row r="1791" spans="1:7" s="265" customFormat="1">
      <c r="A1791" s="294" t="s">
        <v>703</v>
      </c>
      <c r="B1791" s="1147" t="s">
        <v>3910</v>
      </c>
      <c r="C1791" s="1147"/>
      <c r="D1791" s="1147"/>
      <c r="E1791" s="1147"/>
      <c r="F1791" s="1147"/>
      <c r="G1791" s="255">
        <f>G1785+G1790</f>
        <v>1025770</v>
      </c>
    </row>
    <row r="1792" spans="1:7" s="265" customFormat="1">
      <c r="A1792" s="294" t="s">
        <v>706</v>
      </c>
      <c r="B1792" s="1148" t="s">
        <v>876</v>
      </c>
      <c r="C1792" s="1148"/>
      <c r="D1792" s="1148"/>
      <c r="E1792" s="1147" t="s">
        <v>4030</v>
      </c>
      <c r="F1792" s="1147"/>
      <c r="G1792" s="255">
        <f>G1791*0.15</f>
        <v>153865.5</v>
      </c>
    </row>
    <row r="1793" spans="1:8" s="265" customFormat="1">
      <c r="A1793" s="294" t="s">
        <v>708</v>
      </c>
      <c r="B1793" s="1149" t="s">
        <v>3911</v>
      </c>
      <c r="C1793" s="1149"/>
      <c r="D1793" s="1149"/>
      <c r="E1793" s="1149"/>
      <c r="F1793" s="1149"/>
      <c r="G1793" s="255">
        <f>ROUND(SUM(G1791:G1792),2)</f>
        <v>1179635.5</v>
      </c>
      <c r="H1793" s="255">
        <f>SUM(G1791:G1792)</f>
        <v>1179635.5</v>
      </c>
    </row>
    <row r="1794" spans="1:8">
      <c r="A1794" s="268"/>
      <c r="B1794" s="269"/>
      <c r="C1794" s="268"/>
      <c r="D1794" s="268"/>
      <c r="E1794" s="380"/>
      <c r="F1794" s="365"/>
      <c r="G1794" s="270"/>
    </row>
    <row r="1795" spans="1:8">
      <c r="A1795" s="285" t="s">
        <v>4123</v>
      </c>
      <c r="B1795" s="250" t="s">
        <v>2876</v>
      </c>
      <c r="C1795" s="252"/>
      <c r="D1795" s="252"/>
      <c r="E1795" s="374"/>
      <c r="F1795" s="361"/>
      <c r="G1795" s="253"/>
    </row>
    <row r="1796" spans="1:8" s="292" customFormat="1" ht="24.95" customHeight="1">
      <c r="A1796" s="290" t="s">
        <v>1003</v>
      </c>
      <c r="B1796" s="290" t="s">
        <v>1004</v>
      </c>
      <c r="C1796" s="290" t="s">
        <v>1005</v>
      </c>
      <c r="D1796" s="290" t="s">
        <v>1006</v>
      </c>
      <c r="E1796" s="373" t="s">
        <v>1007</v>
      </c>
      <c r="F1796" s="363" t="s">
        <v>2637</v>
      </c>
      <c r="G1796" s="291" t="s">
        <v>2638</v>
      </c>
    </row>
    <row r="1797" spans="1:8">
      <c r="A1797" s="294" t="s">
        <v>671</v>
      </c>
      <c r="B1797" s="411" t="s">
        <v>672</v>
      </c>
      <c r="C1797" s="247"/>
      <c r="D1797" s="247"/>
      <c r="E1797" s="372"/>
      <c r="F1797" s="360"/>
      <c r="G1797" s="248"/>
    </row>
    <row r="1798" spans="1:8">
      <c r="A1798" s="247"/>
      <c r="B1798" s="410" t="s">
        <v>673</v>
      </c>
      <c r="C1798" s="247" t="s">
        <v>674</v>
      </c>
      <c r="D1798" s="247" t="s">
        <v>675</v>
      </c>
      <c r="E1798" s="372">
        <v>1.2</v>
      </c>
      <c r="F1798" s="360">
        <f>'UPAD-BAHAN-ALAT'!$I$12</f>
        <v>110000</v>
      </c>
      <c r="G1798" s="248">
        <f>F1798*E1798</f>
        <v>132000</v>
      </c>
    </row>
    <row r="1799" spans="1:8">
      <c r="A1799" s="247"/>
      <c r="B1799" s="410" t="s">
        <v>949</v>
      </c>
      <c r="C1799" s="247" t="s">
        <v>678</v>
      </c>
      <c r="D1799" s="247" t="s">
        <v>675</v>
      </c>
      <c r="E1799" s="372">
        <v>1.2</v>
      </c>
      <c r="F1799" s="360">
        <f>'UPAD-BAHAN-ALAT'!$I$13</f>
        <v>140000</v>
      </c>
      <c r="G1799" s="248">
        <f>F1799*E1799</f>
        <v>168000</v>
      </c>
    </row>
    <row r="1800" spans="1:8">
      <c r="A1800" s="247"/>
      <c r="B1800" s="410" t="s">
        <v>751</v>
      </c>
      <c r="C1800" s="247" t="s">
        <v>681</v>
      </c>
      <c r="D1800" s="247" t="s">
        <v>675</v>
      </c>
      <c r="E1800" s="372">
        <v>0.12</v>
      </c>
      <c r="F1800" s="360">
        <f>'UPAD-BAHAN-ALAT'!$I$15</f>
        <v>150000</v>
      </c>
      <c r="G1800" s="248">
        <f>F1800*E1800</f>
        <v>18000</v>
      </c>
    </row>
    <row r="1801" spans="1:8">
      <c r="A1801" s="247"/>
      <c r="B1801" s="410" t="s">
        <v>683</v>
      </c>
      <c r="C1801" s="247" t="s">
        <v>684</v>
      </c>
      <c r="D1801" s="247" t="s">
        <v>675</v>
      </c>
      <c r="E1801" s="372">
        <v>6.0000000000000001E-3</v>
      </c>
      <c r="F1801" s="360">
        <f>'UPAD-BAHAN-ALAT'!$I$14</f>
        <v>140000</v>
      </c>
      <c r="G1801" s="248">
        <f>F1801*E1801</f>
        <v>840</v>
      </c>
    </row>
    <row r="1802" spans="1:8">
      <c r="A1802" s="247"/>
      <c r="B1802" s="410"/>
      <c r="C1802" s="247"/>
      <c r="D1802" s="247"/>
      <c r="E1802" s="1146" t="s">
        <v>685</v>
      </c>
      <c r="F1802" s="1146"/>
      <c r="G1802" s="248">
        <f>SUM(G1798:G1801)</f>
        <v>318840</v>
      </c>
    </row>
    <row r="1803" spans="1:8">
      <c r="A1803" s="294" t="s">
        <v>686</v>
      </c>
      <c r="B1803" s="411" t="s">
        <v>687</v>
      </c>
      <c r="C1803" s="247"/>
      <c r="D1803" s="247"/>
      <c r="E1803" s="372"/>
      <c r="F1803" s="360"/>
      <c r="G1803" s="248"/>
    </row>
    <row r="1804" spans="1:8">
      <c r="A1804" s="247"/>
      <c r="B1804" s="410" t="s">
        <v>960</v>
      </c>
      <c r="C1804" s="247"/>
      <c r="D1804" s="247" t="s">
        <v>2647</v>
      </c>
      <c r="E1804" s="372">
        <v>1</v>
      </c>
      <c r="F1804" s="360">
        <f>'UPAD-BAHAN-ALAT'!$I$132</f>
        <v>900000</v>
      </c>
      <c r="G1804" s="248">
        <f>F1804*E1804</f>
        <v>900000</v>
      </c>
    </row>
    <row r="1805" spans="1:8">
      <c r="A1805" s="247"/>
      <c r="B1805" s="295"/>
      <c r="C1805" s="296"/>
      <c r="D1805" s="296"/>
      <c r="E1805" s="1146" t="s">
        <v>702</v>
      </c>
      <c r="F1805" s="1146"/>
      <c r="G1805" s="248">
        <f>SUM(G1804)</f>
        <v>900000</v>
      </c>
    </row>
    <row r="1806" spans="1:8" s="265" customFormat="1">
      <c r="A1806" s="294" t="s">
        <v>703</v>
      </c>
      <c r="B1806" s="1147" t="s">
        <v>3910</v>
      </c>
      <c r="C1806" s="1147"/>
      <c r="D1806" s="1147"/>
      <c r="E1806" s="1147"/>
      <c r="F1806" s="1147"/>
      <c r="G1806" s="255">
        <f>G1802+G1805</f>
        <v>1218840</v>
      </c>
    </row>
    <row r="1807" spans="1:8" s="265" customFormat="1">
      <c r="A1807" s="294" t="s">
        <v>706</v>
      </c>
      <c r="B1807" s="1148" t="s">
        <v>876</v>
      </c>
      <c r="C1807" s="1148"/>
      <c r="D1807" s="1148"/>
      <c r="E1807" s="1147" t="s">
        <v>4030</v>
      </c>
      <c r="F1807" s="1147"/>
      <c r="G1807" s="255">
        <f>G1806*0.15</f>
        <v>182826</v>
      </c>
    </row>
    <row r="1808" spans="1:8" s="265" customFormat="1">
      <c r="A1808" s="294" t="s">
        <v>708</v>
      </c>
      <c r="B1808" s="1149" t="s">
        <v>3911</v>
      </c>
      <c r="C1808" s="1149"/>
      <c r="D1808" s="1149"/>
      <c r="E1808" s="1149"/>
      <c r="F1808" s="1149"/>
      <c r="G1808" s="255">
        <f>ROUND(SUM(G1806:G1807),2)</f>
        <v>1401666</v>
      </c>
      <c r="H1808" s="255">
        <f>SUM(G1806:G1807)</f>
        <v>1401666</v>
      </c>
    </row>
    <row r="1810" spans="1:8">
      <c r="A1810" s="286" t="s">
        <v>4124</v>
      </c>
      <c r="B1810" s="265" t="s">
        <v>3447</v>
      </c>
    </row>
    <row r="1811" spans="1:8" s="292" customFormat="1" ht="24.95" customHeight="1">
      <c r="A1811" s="290" t="s">
        <v>1003</v>
      </c>
      <c r="B1811" s="290" t="s">
        <v>1004</v>
      </c>
      <c r="C1811" s="290" t="s">
        <v>1005</v>
      </c>
      <c r="D1811" s="290" t="s">
        <v>1006</v>
      </c>
      <c r="E1811" s="373" t="s">
        <v>1007</v>
      </c>
      <c r="F1811" s="363" t="s">
        <v>2637</v>
      </c>
      <c r="G1811" s="291" t="s">
        <v>2638</v>
      </c>
    </row>
    <row r="1812" spans="1:8">
      <c r="A1812" s="294" t="s">
        <v>671</v>
      </c>
      <c r="B1812" s="411" t="s">
        <v>672</v>
      </c>
      <c r="C1812" s="247"/>
      <c r="D1812" s="247"/>
      <c r="E1812" s="372"/>
      <c r="F1812" s="360"/>
      <c r="G1812" s="248"/>
    </row>
    <row r="1813" spans="1:8">
      <c r="A1813" s="247"/>
      <c r="B1813" s="410" t="s">
        <v>673</v>
      </c>
      <c r="C1813" s="247" t="s">
        <v>674</v>
      </c>
      <c r="D1813" s="247" t="s">
        <v>675</v>
      </c>
      <c r="E1813" s="372">
        <v>0.44</v>
      </c>
      <c r="F1813" s="360">
        <f>'UPAD-BAHAN-ALAT'!$I$12</f>
        <v>110000</v>
      </c>
      <c r="G1813" s="248">
        <f>F1813*E1813</f>
        <v>48400</v>
      </c>
    </row>
    <row r="1814" spans="1:8">
      <c r="A1814" s="247"/>
      <c r="B1814" s="410" t="s">
        <v>782</v>
      </c>
      <c r="C1814" s="247" t="s">
        <v>678</v>
      </c>
      <c r="D1814" s="247" t="s">
        <v>675</v>
      </c>
      <c r="E1814" s="372">
        <v>0.44</v>
      </c>
      <c r="F1814" s="360">
        <f>'UPAD-BAHAN-ALAT'!$I$13</f>
        <v>140000</v>
      </c>
      <c r="G1814" s="248">
        <f>F1814*E1814</f>
        <v>61600</v>
      </c>
    </row>
    <row r="1815" spans="1:8">
      <c r="A1815" s="247"/>
      <c r="B1815" s="410" t="s">
        <v>751</v>
      </c>
      <c r="C1815" s="247" t="s">
        <v>681</v>
      </c>
      <c r="D1815" s="247" t="s">
        <v>675</v>
      </c>
      <c r="E1815" s="372">
        <v>4.3999999999999997E-2</v>
      </c>
      <c r="F1815" s="360">
        <f>'UPAD-BAHAN-ALAT'!$I$15</f>
        <v>150000</v>
      </c>
      <c r="G1815" s="248">
        <f>F1815*E1815</f>
        <v>6600</v>
      </c>
    </row>
    <row r="1816" spans="1:8">
      <c r="A1816" s="247"/>
      <c r="B1816" s="410" t="s">
        <v>683</v>
      </c>
      <c r="C1816" s="247" t="s">
        <v>684</v>
      </c>
      <c r="D1816" s="247" t="s">
        <v>675</v>
      </c>
      <c r="E1816" s="372">
        <v>2.1999999999999999E-2</v>
      </c>
      <c r="F1816" s="360">
        <f>'UPAD-BAHAN-ALAT'!$I$14</f>
        <v>140000</v>
      </c>
      <c r="G1816" s="248">
        <f>F1816*E1816</f>
        <v>3080</v>
      </c>
    </row>
    <row r="1817" spans="1:8">
      <c r="A1817" s="247"/>
      <c r="B1817" s="410"/>
      <c r="C1817" s="247"/>
      <c r="D1817" s="247"/>
      <c r="E1817" s="1146" t="s">
        <v>685</v>
      </c>
      <c r="F1817" s="1146"/>
      <c r="G1817" s="248">
        <f>SUM(G1813:G1816)</f>
        <v>119680</v>
      </c>
    </row>
    <row r="1818" spans="1:8">
      <c r="A1818" s="294" t="s">
        <v>686</v>
      </c>
      <c r="B1818" s="411" t="s">
        <v>687</v>
      </c>
      <c r="C1818" s="247"/>
      <c r="D1818" s="247"/>
      <c r="E1818" s="372"/>
      <c r="F1818" s="360"/>
      <c r="G1818" s="248"/>
    </row>
    <row r="1819" spans="1:8">
      <c r="A1819" s="247"/>
      <c r="B1819" s="410" t="s">
        <v>964</v>
      </c>
      <c r="C1819" s="247"/>
      <c r="D1819" s="247" t="s">
        <v>2647</v>
      </c>
      <c r="E1819" s="372">
        <v>1</v>
      </c>
      <c r="F1819" s="360">
        <f>'UPAD-BAHAN-ALAT'!$I$134</f>
        <v>1050000</v>
      </c>
      <c r="G1819" s="248">
        <f>F1819*E1819</f>
        <v>1050000</v>
      </c>
    </row>
    <row r="1820" spans="1:8">
      <c r="A1820" s="247"/>
      <c r="B1820" s="295"/>
      <c r="C1820" s="296"/>
      <c r="D1820" s="296"/>
      <c r="E1820" s="1146" t="s">
        <v>702</v>
      </c>
      <c r="F1820" s="1146"/>
      <c r="G1820" s="248">
        <f>SUM(G1819)</f>
        <v>1050000</v>
      </c>
    </row>
    <row r="1821" spans="1:8" s="265" customFormat="1">
      <c r="A1821" s="294" t="s">
        <v>703</v>
      </c>
      <c r="B1821" s="1147" t="s">
        <v>3910</v>
      </c>
      <c r="C1821" s="1147"/>
      <c r="D1821" s="1147"/>
      <c r="E1821" s="1147"/>
      <c r="F1821" s="1147"/>
      <c r="G1821" s="255">
        <f>G1817+G1820</f>
        <v>1169680</v>
      </c>
    </row>
    <row r="1822" spans="1:8" s="265" customFormat="1">
      <c r="A1822" s="294" t="s">
        <v>706</v>
      </c>
      <c r="B1822" s="1148" t="s">
        <v>876</v>
      </c>
      <c r="C1822" s="1148"/>
      <c r="D1822" s="1148"/>
      <c r="E1822" s="1147" t="s">
        <v>4030</v>
      </c>
      <c r="F1822" s="1147"/>
      <c r="G1822" s="255">
        <f>G1821*0.15</f>
        <v>175452</v>
      </c>
    </row>
    <row r="1823" spans="1:8" s="265" customFormat="1">
      <c r="A1823" s="294" t="s">
        <v>708</v>
      </c>
      <c r="B1823" s="1149" t="s">
        <v>3911</v>
      </c>
      <c r="C1823" s="1149"/>
      <c r="D1823" s="1149"/>
      <c r="E1823" s="1149"/>
      <c r="F1823" s="1149"/>
      <c r="G1823" s="255">
        <f>ROUND(SUM(G1821:G1822),2)</f>
        <v>1345132</v>
      </c>
      <c r="H1823" s="255">
        <f>SUM(G1821:G1822)</f>
        <v>1345132</v>
      </c>
    </row>
    <row r="1824" spans="1:8">
      <c r="A1824" s="268"/>
      <c r="B1824" s="269"/>
      <c r="C1824" s="268"/>
      <c r="D1824" s="268"/>
      <c r="E1824" s="380"/>
      <c r="F1824" s="365"/>
      <c r="G1824" s="270"/>
    </row>
    <row r="1825" spans="1:8">
      <c r="A1825" s="285" t="s">
        <v>4125</v>
      </c>
      <c r="B1825" s="250" t="s">
        <v>4721</v>
      </c>
      <c r="C1825" s="252"/>
      <c r="D1825" s="252"/>
      <c r="E1825" s="374"/>
      <c r="F1825" s="361"/>
      <c r="G1825" s="253"/>
    </row>
    <row r="1826" spans="1:8" s="292" customFormat="1" ht="24.95" customHeight="1">
      <c r="A1826" s="290" t="s">
        <v>1003</v>
      </c>
      <c r="B1826" s="293" t="s">
        <v>1004</v>
      </c>
      <c r="C1826" s="290" t="s">
        <v>1005</v>
      </c>
      <c r="D1826" s="290" t="s">
        <v>1006</v>
      </c>
      <c r="E1826" s="373" t="s">
        <v>1007</v>
      </c>
      <c r="F1826" s="363" t="s">
        <v>2637</v>
      </c>
      <c r="G1826" s="291" t="s">
        <v>2638</v>
      </c>
    </row>
    <row r="1827" spans="1:8">
      <c r="A1827" s="294" t="s">
        <v>671</v>
      </c>
      <c r="B1827" s="357" t="s">
        <v>672</v>
      </c>
      <c r="C1827" s="247"/>
      <c r="D1827" s="247"/>
      <c r="E1827" s="372"/>
      <c r="F1827" s="360"/>
      <c r="G1827" s="248"/>
    </row>
    <row r="1828" spans="1:8">
      <c r="A1828" s="247"/>
      <c r="B1828" s="355" t="s">
        <v>673</v>
      </c>
      <c r="C1828" s="247" t="s">
        <v>674</v>
      </c>
      <c r="D1828" s="247" t="s">
        <v>675</v>
      </c>
      <c r="E1828" s="372">
        <v>0.08</v>
      </c>
      <c r="F1828" s="360">
        <f>'UPAD-BAHAN-ALAT'!$I$12</f>
        <v>110000</v>
      </c>
      <c r="G1828" s="248">
        <f>F1828*E1828</f>
        <v>8800</v>
      </c>
    </row>
    <row r="1829" spans="1:8">
      <c r="A1829" s="247"/>
      <c r="B1829" s="355" t="s">
        <v>782</v>
      </c>
      <c r="C1829" s="247" t="s">
        <v>678</v>
      </c>
      <c r="D1829" s="247" t="s">
        <v>675</v>
      </c>
      <c r="E1829" s="372">
        <v>0.8</v>
      </c>
      <c r="F1829" s="360">
        <f>'UPAD-BAHAN-ALAT'!$I$13</f>
        <v>140000</v>
      </c>
      <c r="G1829" s="248">
        <f>F1829*E1829</f>
        <v>112000</v>
      </c>
    </row>
    <row r="1830" spans="1:8">
      <c r="A1830" s="247"/>
      <c r="B1830" s="355" t="s">
        <v>751</v>
      </c>
      <c r="C1830" s="247" t="s">
        <v>681</v>
      </c>
      <c r="D1830" s="247" t="s">
        <v>675</v>
      </c>
      <c r="E1830" s="372">
        <v>0.08</v>
      </c>
      <c r="F1830" s="360">
        <f>'UPAD-BAHAN-ALAT'!$I$15</f>
        <v>150000</v>
      </c>
      <c r="G1830" s="248">
        <f>F1830*E1830</f>
        <v>12000</v>
      </c>
    </row>
    <row r="1831" spans="1:8">
      <c r="A1831" s="247"/>
      <c r="B1831" s="355" t="s">
        <v>683</v>
      </c>
      <c r="C1831" s="247" t="s">
        <v>684</v>
      </c>
      <c r="D1831" s="247" t="s">
        <v>675</v>
      </c>
      <c r="E1831" s="372">
        <v>4.0000000000000001E-3</v>
      </c>
      <c r="F1831" s="360">
        <f>'UPAD-BAHAN-ALAT'!$I$14</f>
        <v>140000</v>
      </c>
      <c r="G1831" s="248">
        <f>F1831*E1831</f>
        <v>560</v>
      </c>
    </row>
    <row r="1832" spans="1:8">
      <c r="A1832" s="247"/>
      <c r="B1832" s="355"/>
      <c r="C1832" s="247"/>
      <c r="D1832" s="247"/>
      <c r="E1832" s="428" t="s">
        <v>685</v>
      </c>
      <c r="F1832" s="390"/>
      <c r="G1832" s="248">
        <f>SUM(G1828:G1831)</f>
        <v>133360</v>
      </c>
    </row>
    <row r="1833" spans="1:8">
      <c r="A1833" s="294" t="s">
        <v>686</v>
      </c>
      <c r="B1833" s="357" t="s">
        <v>687</v>
      </c>
      <c r="C1833" s="247"/>
      <c r="D1833" s="247"/>
      <c r="E1833" s="372"/>
      <c r="F1833" s="360"/>
      <c r="G1833" s="248"/>
    </row>
    <row r="1834" spans="1:8">
      <c r="A1834" s="247"/>
      <c r="B1834" s="614" t="s">
        <v>3448</v>
      </c>
      <c r="C1834" s="247"/>
      <c r="D1834" s="247" t="s">
        <v>2647</v>
      </c>
      <c r="E1834" s="372">
        <v>1</v>
      </c>
      <c r="F1834" s="360">
        <f>'UPAD-BAHAN-ALAT'!$I$168</f>
        <v>350000</v>
      </c>
      <c r="G1834" s="248">
        <f>F1834*E1834</f>
        <v>350000</v>
      </c>
    </row>
    <row r="1835" spans="1:8">
      <c r="A1835" s="247"/>
      <c r="B1835" s="355"/>
      <c r="C1835" s="247"/>
      <c r="D1835" s="247"/>
      <c r="E1835" s="428" t="s">
        <v>702</v>
      </c>
      <c r="F1835" s="390"/>
      <c r="G1835" s="248">
        <f>SUM(G1834)</f>
        <v>350000</v>
      </c>
    </row>
    <row r="1836" spans="1:8" s="265" customFormat="1">
      <c r="A1836" s="294" t="s">
        <v>703</v>
      </c>
      <c r="B1836" s="357" t="s">
        <v>3910</v>
      </c>
      <c r="C1836" s="610"/>
      <c r="D1836" s="610"/>
      <c r="E1836" s="611"/>
      <c r="F1836" s="612"/>
      <c r="G1836" s="255">
        <f>G1832+G1835</f>
        <v>483360</v>
      </c>
    </row>
    <row r="1837" spans="1:8" s="265" customFormat="1">
      <c r="A1837" s="294" t="s">
        <v>706</v>
      </c>
      <c r="B1837" s="617" t="s">
        <v>876</v>
      </c>
      <c r="C1837" s="618"/>
      <c r="D1837" s="633"/>
      <c r="E1837" s="613" t="s">
        <v>4030</v>
      </c>
      <c r="F1837" s="612"/>
      <c r="G1837" s="255">
        <f>G1836*0.15</f>
        <v>72504</v>
      </c>
    </row>
    <row r="1838" spans="1:8" s="265" customFormat="1">
      <c r="A1838" s="294" t="s">
        <v>708</v>
      </c>
      <c r="B1838" s="357" t="s">
        <v>3911</v>
      </c>
      <c r="C1838" s="610"/>
      <c r="D1838" s="610"/>
      <c r="E1838" s="611"/>
      <c r="F1838" s="612"/>
      <c r="G1838" s="255">
        <f>ROUND(SUM(G1836:G1837),2)</f>
        <v>555864</v>
      </c>
      <c r="H1838" s="255">
        <f>SUM(G1836:G1837)</f>
        <v>555864</v>
      </c>
    </row>
    <row r="1840" spans="1:8">
      <c r="A1840" s="286" t="s">
        <v>4126</v>
      </c>
      <c r="B1840" s="265" t="s">
        <v>2877</v>
      </c>
    </row>
    <row r="1841" spans="1:8" s="292" customFormat="1" ht="24.95" customHeight="1">
      <c r="A1841" s="290" t="s">
        <v>1003</v>
      </c>
      <c r="B1841" s="290" t="s">
        <v>1004</v>
      </c>
      <c r="C1841" s="290" t="s">
        <v>1005</v>
      </c>
      <c r="D1841" s="290" t="s">
        <v>1006</v>
      </c>
      <c r="E1841" s="373" t="s">
        <v>1007</v>
      </c>
      <c r="F1841" s="363" t="s">
        <v>2637</v>
      </c>
      <c r="G1841" s="291" t="s">
        <v>2638</v>
      </c>
    </row>
    <row r="1842" spans="1:8">
      <c r="A1842" s="294" t="s">
        <v>671</v>
      </c>
      <c r="B1842" s="411" t="s">
        <v>672</v>
      </c>
      <c r="C1842" s="247"/>
      <c r="D1842" s="247"/>
      <c r="E1842" s="372"/>
      <c r="F1842" s="360"/>
      <c r="G1842" s="248"/>
    </row>
    <row r="1843" spans="1:8">
      <c r="A1843" s="247"/>
      <c r="B1843" s="410" t="s">
        <v>673</v>
      </c>
      <c r="C1843" s="247" t="s">
        <v>674</v>
      </c>
      <c r="D1843" s="247" t="s">
        <v>675</v>
      </c>
      <c r="E1843" s="372">
        <v>1</v>
      </c>
      <c r="F1843" s="360">
        <f>'UPAD-BAHAN-ALAT'!$I$12</f>
        <v>110000</v>
      </c>
      <c r="G1843" s="248">
        <f>F1843*E1843</f>
        <v>110000</v>
      </c>
    </row>
    <row r="1844" spans="1:8">
      <c r="A1844" s="247"/>
      <c r="B1844" s="256" t="s">
        <v>3455</v>
      </c>
      <c r="C1844" s="247" t="s">
        <v>678</v>
      </c>
      <c r="D1844" s="257" t="s">
        <v>675</v>
      </c>
      <c r="E1844" s="372">
        <v>1</v>
      </c>
      <c r="F1844" s="360">
        <f>'UPAD-BAHAN-ALAT'!$I$15</f>
        <v>150000</v>
      </c>
      <c r="G1844" s="248">
        <f>F1844*E1844</f>
        <v>150000</v>
      </c>
    </row>
    <row r="1845" spans="1:8">
      <c r="A1845" s="247"/>
      <c r="B1845" s="410" t="s">
        <v>751</v>
      </c>
      <c r="C1845" s="247" t="s">
        <v>681</v>
      </c>
      <c r="D1845" s="247" t="s">
        <v>675</v>
      </c>
      <c r="E1845" s="372">
        <v>0.1</v>
      </c>
      <c r="F1845" s="360">
        <f>'UPAD-BAHAN-ALAT'!$I$15</f>
        <v>150000</v>
      </c>
      <c r="G1845" s="248">
        <f>F1845*E1845</f>
        <v>15000</v>
      </c>
    </row>
    <row r="1846" spans="1:8">
      <c r="A1846" s="247"/>
      <c r="B1846" s="410" t="s">
        <v>683</v>
      </c>
      <c r="C1846" s="247" t="s">
        <v>684</v>
      </c>
      <c r="D1846" s="247" t="s">
        <v>675</v>
      </c>
      <c r="E1846" s="372">
        <v>0.05</v>
      </c>
      <c r="F1846" s="360">
        <f>'UPAD-BAHAN-ALAT'!$I$14</f>
        <v>140000</v>
      </c>
      <c r="G1846" s="248">
        <f>F1846*E1846</f>
        <v>7000</v>
      </c>
    </row>
    <row r="1847" spans="1:8">
      <c r="A1847" s="247"/>
      <c r="B1847" s="410"/>
      <c r="C1847" s="247"/>
      <c r="D1847" s="247"/>
      <c r="E1847" s="1146" t="s">
        <v>685</v>
      </c>
      <c r="F1847" s="1146"/>
      <c r="G1847" s="248">
        <f>SUM(G1843:G1846)</f>
        <v>282000</v>
      </c>
    </row>
    <row r="1848" spans="1:8">
      <c r="A1848" s="294" t="s">
        <v>686</v>
      </c>
      <c r="B1848" s="411" t="s">
        <v>687</v>
      </c>
      <c r="C1848" s="247"/>
      <c r="D1848" s="247"/>
      <c r="E1848" s="372"/>
      <c r="F1848" s="360"/>
      <c r="G1848" s="248"/>
    </row>
    <row r="1849" spans="1:8">
      <c r="A1849" s="247"/>
      <c r="B1849" s="256" t="s">
        <v>3450</v>
      </c>
      <c r="C1849" s="247"/>
      <c r="D1849" s="247" t="s">
        <v>2647</v>
      </c>
      <c r="E1849" s="372">
        <v>1</v>
      </c>
      <c r="F1849" s="360">
        <f>'UPAD-BAHAN-ALAT'!$I$132</f>
        <v>900000</v>
      </c>
      <c r="G1849" s="248">
        <f>F1849*E1849</f>
        <v>900000</v>
      </c>
    </row>
    <row r="1850" spans="1:8">
      <c r="A1850" s="247"/>
      <c r="B1850" s="295"/>
      <c r="C1850" s="296"/>
      <c r="D1850" s="296"/>
      <c r="E1850" s="1146" t="s">
        <v>702</v>
      </c>
      <c r="F1850" s="1146"/>
      <c r="G1850" s="248">
        <f>SUM(G1849)</f>
        <v>900000</v>
      </c>
    </row>
    <row r="1851" spans="1:8" s="265" customFormat="1">
      <c r="A1851" s="294" t="s">
        <v>703</v>
      </c>
      <c r="B1851" s="1147" t="s">
        <v>3910</v>
      </c>
      <c r="C1851" s="1147"/>
      <c r="D1851" s="1147"/>
      <c r="E1851" s="1147"/>
      <c r="F1851" s="1147"/>
      <c r="G1851" s="255">
        <f>G1847+G1850</f>
        <v>1182000</v>
      </c>
    </row>
    <row r="1852" spans="1:8" s="265" customFormat="1">
      <c r="A1852" s="294" t="s">
        <v>706</v>
      </c>
      <c r="B1852" s="1148" t="s">
        <v>876</v>
      </c>
      <c r="C1852" s="1148"/>
      <c r="D1852" s="1148"/>
      <c r="E1852" s="1147" t="s">
        <v>4030</v>
      </c>
      <c r="F1852" s="1147"/>
      <c r="G1852" s="255">
        <f>G1851*0.15</f>
        <v>177300</v>
      </c>
    </row>
    <row r="1853" spans="1:8" s="265" customFormat="1">
      <c r="A1853" s="294" t="s">
        <v>708</v>
      </c>
      <c r="B1853" s="1149" t="s">
        <v>3911</v>
      </c>
      <c r="C1853" s="1149"/>
      <c r="D1853" s="1149"/>
      <c r="E1853" s="1149"/>
      <c r="F1853" s="1149"/>
      <c r="G1853" s="255">
        <f>ROUND(SUM(G1851:G1852),2)</f>
        <v>1359300</v>
      </c>
      <c r="H1853" s="255">
        <f>SUM(G1851:G1852)</f>
        <v>1359300</v>
      </c>
    </row>
    <row r="1854" spans="1:8">
      <c r="A1854" s="268"/>
      <c r="B1854" s="269"/>
      <c r="C1854" s="268"/>
      <c r="D1854" s="268"/>
      <c r="E1854" s="380"/>
      <c r="F1854" s="365"/>
      <c r="G1854" s="270"/>
    </row>
    <row r="1855" spans="1:8">
      <c r="A1855" s="285" t="s">
        <v>4127</v>
      </c>
      <c r="B1855" s="250" t="s">
        <v>4001</v>
      </c>
      <c r="C1855" s="252"/>
      <c r="D1855" s="252"/>
      <c r="E1855" s="374"/>
      <c r="F1855" s="361"/>
      <c r="G1855" s="253"/>
    </row>
    <row r="1856" spans="1:8" s="292" customFormat="1" ht="24.95" customHeight="1">
      <c r="A1856" s="290" t="s">
        <v>1003</v>
      </c>
      <c r="B1856" s="290" t="s">
        <v>1004</v>
      </c>
      <c r="C1856" s="290" t="s">
        <v>1005</v>
      </c>
      <c r="D1856" s="290" t="s">
        <v>1006</v>
      </c>
      <c r="E1856" s="373" t="s">
        <v>1007</v>
      </c>
      <c r="F1856" s="363" t="s">
        <v>2637</v>
      </c>
      <c r="G1856" s="291" t="s">
        <v>2638</v>
      </c>
    </row>
    <row r="1857" spans="1:8">
      <c r="A1857" s="294" t="s">
        <v>671</v>
      </c>
      <c r="B1857" s="411" t="s">
        <v>672</v>
      </c>
      <c r="C1857" s="247"/>
      <c r="D1857" s="247"/>
      <c r="E1857" s="372"/>
      <c r="F1857" s="360"/>
      <c r="G1857" s="248"/>
    </row>
    <row r="1858" spans="1:8">
      <c r="A1858" s="247"/>
      <c r="B1858" s="410" t="s">
        <v>673</v>
      </c>
      <c r="C1858" s="247" t="s">
        <v>674</v>
      </c>
      <c r="D1858" s="247" t="s">
        <v>675</v>
      </c>
      <c r="E1858" s="372">
        <v>4.2999999999999997E-2</v>
      </c>
      <c r="F1858" s="360">
        <f>'UPAD-BAHAN-ALAT'!$I$12</f>
        <v>110000</v>
      </c>
      <c r="G1858" s="248">
        <f>F1858*E1858</f>
        <v>4730</v>
      </c>
    </row>
    <row r="1859" spans="1:8">
      <c r="A1859" s="247"/>
      <c r="B1859" s="256" t="s">
        <v>3455</v>
      </c>
      <c r="C1859" s="247" t="s">
        <v>678</v>
      </c>
      <c r="D1859" s="257" t="s">
        <v>675</v>
      </c>
      <c r="E1859" s="372">
        <v>4.2999999999999997E-2</v>
      </c>
      <c r="F1859" s="360">
        <f>'UPAD-BAHAN-ALAT'!$I$15</f>
        <v>150000</v>
      </c>
      <c r="G1859" s="248">
        <f>F1859*E1859</f>
        <v>6449.9999999999991</v>
      </c>
    </row>
    <row r="1860" spans="1:8">
      <c r="A1860" s="247"/>
      <c r="B1860" s="410" t="s">
        <v>751</v>
      </c>
      <c r="C1860" s="247" t="s">
        <v>681</v>
      </c>
      <c r="D1860" s="247" t="s">
        <v>675</v>
      </c>
      <c r="E1860" s="372">
        <v>4.3E-3</v>
      </c>
      <c r="F1860" s="360">
        <f>'UPAD-BAHAN-ALAT'!$I$15</f>
        <v>150000</v>
      </c>
      <c r="G1860" s="248">
        <f>F1860*E1860</f>
        <v>645</v>
      </c>
    </row>
    <row r="1861" spans="1:8">
      <c r="A1861" s="247"/>
      <c r="B1861" s="410" t="s">
        <v>683</v>
      </c>
      <c r="C1861" s="247" t="s">
        <v>684</v>
      </c>
      <c r="D1861" s="247" t="s">
        <v>675</v>
      </c>
      <c r="E1861" s="372">
        <v>2.0999999999999999E-3</v>
      </c>
      <c r="F1861" s="360">
        <f>'UPAD-BAHAN-ALAT'!$I$14</f>
        <v>140000</v>
      </c>
      <c r="G1861" s="248">
        <f>F1861*E1861</f>
        <v>294</v>
      </c>
    </row>
    <row r="1862" spans="1:8">
      <c r="A1862" s="247"/>
      <c r="B1862" s="410"/>
      <c r="C1862" s="247"/>
      <c r="D1862" s="247"/>
      <c r="E1862" s="1146" t="s">
        <v>685</v>
      </c>
      <c r="F1862" s="1146"/>
      <c r="G1862" s="248">
        <f>SUM(G1858:G1861)</f>
        <v>12119</v>
      </c>
    </row>
    <row r="1863" spans="1:8">
      <c r="A1863" s="294" t="s">
        <v>686</v>
      </c>
      <c r="B1863" s="411" t="s">
        <v>687</v>
      </c>
      <c r="C1863" s="247"/>
      <c r="D1863" s="247"/>
      <c r="E1863" s="372"/>
      <c r="F1863" s="360"/>
      <c r="G1863" s="248"/>
    </row>
    <row r="1864" spans="1:8">
      <c r="A1864" s="247"/>
      <c r="B1864" s="410" t="s">
        <v>969</v>
      </c>
      <c r="C1864" s="247"/>
      <c r="D1864" s="247" t="s">
        <v>853</v>
      </c>
      <c r="E1864" s="372">
        <v>1.1000000000000001</v>
      </c>
      <c r="F1864" s="360">
        <f>'UPAD-BAHAN-ALAT'!$I$150</f>
        <v>120000</v>
      </c>
      <c r="G1864" s="248">
        <f>F1864*E1864</f>
        <v>132000</v>
      </c>
    </row>
    <row r="1865" spans="1:8">
      <c r="A1865" s="247"/>
      <c r="B1865" s="410" t="s">
        <v>970</v>
      </c>
      <c r="C1865" s="247"/>
      <c r="D1865" s="247" t="s">
        <v>971</v>
      </c>
      <c r="E1865" s="372">
        <v>2</v>
      </c>
      <c r="F1865" s="360">
        <f>'UPAD-BAHAN-ALAT'!$I$146</f>
        <v>250</v>
      </c>
      <c r="G1865" s="248">
        <f>F1865*E1865</f>
        <v>500</v>
      </c>
    </row>
    <row r="1866" spans="1:8">
      <c r="A1866" s="247"/>
      <c r="B1866" s="410" t="s">
        <v>972</v>
      </c>
      <c r="C1866" s="247"/>
      <c r="D1866" s="247" t="s">
        <v>973</v>
      </c>
      <c r="E1866" s="372">
        <v>0.06</v>
      </c>
      <c r="F1866" s="360">
        <f>'UPAD-BAHAN-ALAT'!$I$158</f>
        <v>10000</v>
      </c>
      <c r="G1866" s="248">
        <f>F1866*E1866</f>
        <v>600</v>
      </c>
    </row>
    <row r="1867" spans="1:8">
      <c r="A1867" s="247"/>
      <c r="B1867" s="295"/>
      <c r="C1867" s="296"/>
      <c r="D1867" s="296"/>
      <c r="E1867" s="1146" t="s">
        <v>702</v>
      </c>
      <c r="F1867" s="1146"/>
      <c r="G1867" s="248">
        <f>SUM(G1864:G1866)</f>
        <v>133100</v>
      </c>
    </row>
    <row r="1868" spans="1:8" s="265" customFormat="1">
      <c r="A1868" s="294" t="s">
        <v>703</v>
      </c>
      <c r="B1868" s="1147" t="s">
        <v>3910</v>
      </c>
      <c r="C1868" s="1147"/>
      <c r="D1868" s="1147"/>
      <c r="E1868" s="1147"/>
      <c r="F1868" s="1147"/>
      <c r="G1868" s="255">
        <f>G1862+G1867</f>
        <v>145219</v>
      </c>
    </row>
    <row r="1869" spans="1:8" s="265" customFormat="1">
      <c r="A1869" s="294" t="s">
        <v>706</v>
      </c>
      <c r="B1869" s="1148" t="s">
        <v>876</v>
      </c>
      <c r="C1869" s="1148"/>
      <c r="D1869" s="1148"/>
      <c r="E1869" s="1147" t="s">
        <v>4030</v>
      </c>
      <c r="F1869" s="1147"/>
      <c r="G1869" s="255">
        <f>G1868*0.15</f>
        <v>21782.85</v>
      </c>
    </row>
    <row r="1870" spans="1:8" s="265" customFormat="1">
      <c r="A1870" s="294" t="s">
        <v>708</v>
      </c>
      <c r="B1870" s="1149" t="s">
        <v>3911</v>
      </c>
      <c r="C1870" s="1149"/>
      <c r="D1870" s="1149"/>
      <c r="E1870" s="1149"/>
      <c r="F1870" s="1149"/>
      <c r="G1870" s="255">
        <f>ROUND(SUM(G1868:G1869),2)</f>
        <v>167001.85</v>
      </c>
      <c r="H1870" s="255">
        <f>SUM(G1868:G1869)</f>
        <v>167001.85</v>
      </c>
    </row>
    <row r="1872" spans="1:8">
      <c r="A1872" s="285" t="s">
        <v>4128</v>
      </c>
      <c r="B1872" s="250" t="s">
        <v>4002</v>
      </c>
      <c r="C1872" s="252"/>
      <c r="D1872" s="252"/>
      <c r="E1872" s="374"/>
      <c r="F1872" s="361"/>
      <c r="G1872" s="253"/>
    </row>
    <row r="1873" spans="1:8" s="292" customFormat="1" ht="24.95" customHeight="1">
      <c r="A1873" s="290" t="s">
        <v>1003</v>
      </c>
      <c r="B1873" s="290" t="s">
        <v>1004</v>
      </c>
      <c r="C1873" s="290" t="s">
        <v>1005</v>
      </c>
      <c r="D1873" s="290" t="s">
        <v>1006</v>
      </c>
      <c r="E1873" s="373" t="s">
        <v>1007</v>
      </c>
      <c r="F1873" s="363" t="s">
        <v>2637</v>
      </c>
      <c r="G1873" s="291" t="s">
        <v>2638</v>
      </c>
    </row>
    <row r="1874" spans="1:8">
      <c r="A1874" s="294" t="s">
        <v>671</v>
      </c>
      <c r="B1874" s="411" t="s">
        <v>672</v>
      </c>
      <c r="C1874" s="247"/>
      <c r="D1874" s="247"/>
      <c r="E1874" s="372"/>
      <c r="F1874" s="360"/>
      <c r="G1874" s="248"/>
    </row>
    <row r="1875" spans="1:8">
      <c r="A1875" s="247"/>
      <c r="B1875" s="410" t="s">
        <v>673</v>
      </c>
      <c r="C1875" s="247" t="s">
        <v>674</v>
      </c>
      <c r="D1875" s="247" t="s">
        <v>675</v>
      </c>
      <c r="E1875" s="372">
        <v>4.2999999999999997E-2</v>
      </c>
      <c r="F1875" s="360">
        <f>'UPAD-BAHAN-ALAT'!$I$12</f>
        <v>110000</v>
      </c>
      <c r="G1875" s="248">
        <f>F1875*E1875</f>
        <v>4730</v>
      </c>
    </row>
    <row r="1876" spans="1:8">
      <c r="A1876" s="247"/>
      <c r="B1876" s="256" t="s">
        <v>3455</v>
      </c>
      <c r="C1876" s="247" t="s">
        <v>678</v>
      </c>
      <c r="D1876" s="257" t="s">
        <v>675</v>
      </c>
      <c r="E1876" s="372">
        <v>4.2999999999999997E-2</v>
      </c>
      <c r="F1876" s="360">
        <f>'UPAD-BAHAN-ALAT'!$I$15</f>
        <v>150000</v>
      </c>
      <c r="G1876" s="248">
        <f>F1876*E1876</f>
        <v>6449.9999999999991</v>
      </c>
    </row>
    <row r="1877" spans="1:8">
      <c r="A1877" s="247"/>
      <c r="B1877" s="410" t="s">
        <v>751</v>
      </c>
      <c r="C1877" s="247" t="s">
        <v>681</v>
      </c>
      <c r="D1877" s="247" t="s">
        <v>675</v>
      </c>
      <c r="E1877" s="372">
        <v>4.3E-3</v>
      </c>
      <c r="F1877" s="360">
        <f>'UPAD-BAHAN-ALAT'!$I$15</f>
        <v>150000</v>
      </c>
      <c r="G1877" s="248">
        <f>F1877*E1877</f>
        <v>645</v>
      </c>
    </row>
    <row r="1878" spans="1:8">
      <c r="A1878" s="247"/>
      <c r="B1878" s="410" t="s">
        <v>683</v>
      </c>
      <c r="C1878" s="247" t="s">
        <v>684</v>
      </c>
      <c r="D1878" s="247" t="s">
        <v>675</v>
      </c>
      <c r="E1878" s="372">
        <v>2.0999999999999999E-3</v>
      </c>
      <c r="F1878" s="360">
        <f>'UPAD-BAHAN-ALAT'!$I$14</f>
        <v>140000</v>
      </c>
      <c r="G1878" s="248">
        <f>F1878*E1878</f>
        <v>294</v>
      </c>
    </row>
    <row r="1879" spans="1:8">
      <c r="A1879" s="247"/>
      <c r="B1879" s="410"/>
      <c r="C1879" s="247"/>
      <c r="D1879" s="247"/>
      <c r="E1879" s="1146" t="s">
        <v>685</v>
      </c>
      <c r="F1879" s="1146"/>
      <c r="G1879" s="248">
        <f>SUM(G1875:G1878)</f>
        <v>12119</v>
      </c>
    </row>
    <row r="1880" spans="1:8">
      <c r="A1880" s="294" t="s">
        <v>686</v>
      </c>
      <c r="B1880" s="411" t="s">
        <v>687</v>
      </c>
      <c r="C1880" s="247"/>
      <c r="D1880" s="247"/>
      <c r="E1880" s="372"/>
      <c r="F1880" s="360"/>
      <c r="G1880" s="248"/>
    </row>
    <row r="1881" spans="1:8">
      <c r="A1881" s="247"/>
      <c r="B1881" s="410" t="s">
        <v>969</v>
      </c>
      <c r="C1881" s="247"/>
      <c r="D1881" s="247" t="s">
        <v>853</v>
      </c>
      <c r="E1881" s="372">
        <v>1.1000000000000001</v>
      </c>
      <c r="F1881" s="360">
        <f>'UPAD-BAHAN-ALAT'!$I$152</f>
        <v>110000</v>
      </c>
      <c r="G1881" s="248">
        <f>F1881*E1881</f>
        <v>121000.00000000001</v>
      </c>
    </row>
    <row r="1882" spans="1:8">
      <c r="A1882" s="247"/>
      <c r="B1882" s="410" t="s">
        <v>970</v>
      </c>
      <c r="C1882" s="247"/>
      <c r="D1882" s="247" t="s">
        <v>971</v>
      </c>
      <c r="E1882" s="372">
        <v>2</v>
      </c>
      <c r="F1882" s="360">
        <f>'UPAD-BAHAN-ALAT'!$I$146</f>
        <v>250</v>
      </c>
      <c r="G1882" s="248">
        <f>F1882*E1882</f>
        <v>500</v>
      </c>
    </row>
    <row r="1883" spans="1:8">
      <c r="A1883" s="247"/>
      <c r="B1883" s="410" t="s">
        <v>972</v>
      </c>
      <c r="C1883" s="247"/>
      <c r="D1883" s="247" t="s">
        <v>973</v>
      </c>
      <c r="E1883" s="372">
        <v>0.06</v>
      </c>
      <c r="F1883" s="360">
        <f>'UPAD-BAHAN-ALAT'!$I$158</f>
        <v>10000</v>
      </c>
      <c r="G1883" s="248">
        <f>F1883*E1883</f>
        <v>600</v>
      </c>
    </row>
    <row r="1884" spans="1:8">
      <c r="A1884" s="247"/>
      <c r="B1884" s="295"/>
      <c r="C1884" s="296"/>
      <c r="D1884" s="296"/>
      <c r="E1884" s="1146" t="s">
        <v>702</v>
      </c>
      <c r="F1884" s="1146"/>
      <c r="G1884" s="248">
        <f>SUM(G1881:G1883)</f>
        <v>122100.00000000001</v>
      </c>
    </row>
    <row r="1885" spans="1:8" s="265" customFormat="1">
      <c r="A1885" s="294" t="s">
        <v>703</v>
      </c>
      <c r="B1885" s="1147" t="s">
        <v>3910</v>
      </c>
      <c r="C1885" s="1147"/>
      <c r="D1885" s="1147"/>
      <c r="E1885" s="1147"/>
      <c r="F1885" s="1147"/>
      <c r="G1885" s="255">
        <f>G1879+G1884</f>
        <v>134219</v>
      </c>
    </row>
    <row r="1886" spans="1:8" s="265" customFormat="1">
      <c r="A1886" s="294" t="s">
        <v>706</v>
      </c>
      <c r="B1886" s="1148" t="s">
        <v>876</v>
      </c>
      <c r="C1886" s="1148"/>
      <c r="D1886" s="1148"/>
      <c r="E1886" s="1147" t="s">
        <v>4030</v>
      </c>
      <c r="F1886" s="1147"/>
      <c r="G1886" s="255">
        <f>G1885*0.15</f>
        <v>20132.849999999999</v>
      </c>
    </row>
    <row r="1887" spans="1:8" s="265" customFormat="1">
      <c r="A1887" s="294" t="s">
        <v>708</v>
      </c>
      <c r="B1887" s="1149" t="s">
        <v>3911</v>
      </c>
      <c r="C1887" s="1149"/>
      <c r="D1887" s="1149"/>
      <c r="E1887" s="1149"/>
      <c r="F1887" s="1149"/>
      <c r="G1887" s="255">
        <f>ROUND(SUM(G1885:G1886),2)</f>
        <v>154351.85</v>
      </c>
      <c r="H1887" s="255">
        <f>SUM(G1885:G1886)</f>
        <v>154351.85</v>
      </c>
    </row>
    <row r="1889" spans="1:8">
      <c r="A1889" s="285" t="s">
        <v>4129</v>
      </c>
      <c r="B1889" s="250" t="s">
        <v>4003</v>
      </c>
      <c r="C1889" s="252"/>
      <c r="D1889" s="252"/>
      <c r="E1889" s="374"/>
      <c r="F1889" s="361"/>
      <c r="G1889" s="253"/>
    </row>
    <row r="1890" spans="1:8" s="292" customFormat="1" ht="24.95" customHeight="1">
      <c r="A1890" s="290" t="s">
        <v>1003</v>
      </c>
      <c r="B1890" s="290" t="s">
        <v>1004</v>
      </c>
      <c r="C1890" s="290" t="s">
        <v>1005</v>
      </c>
      <c r="D1890" s="290" t="s">
        <v>1006</v>
      </c>
      <c r="E1890" s="373" t="s">
        <v>1007</v>
      </c>
      <c r="F1890" s="363" t="s">
        <v>2637</v>
      </c>
      <c r="G1890" s="291" t="s">
        <v>2638</v>
      </c>
    </row>
    <row r="1891" spans="1:8">
      <c r="A1891" s="294" t="s">
        <v>671</v>
      </c>
      <c r="B1891" s="411" t="s">
        <v>672</v>
      </c>
      <c r="C1891" s="247"/>
      <c r="D1891" s="247"/>
      <c r="E1891" s="372"/>
      <c r="F1891" s="360"/>
      <c r="G1891" s="248"/>
    </row>
    <row r="1892" spans="1:8">
      <c r="A1892" s="247"/>
      <c r="B1892" s="410" t="s">
        <v>673</v>
      </c>
      <c r="C1892" s="247" t="s">
        <v>674</v>
      </c>
      <c r="D1892" s="247" t="s">
        <v>675</v>
      </c>
      <c r="E1892" s="372">
        <v>4.2999999999999997E-2</v>
      </c>
      <c r="F1892" s="360">
        <f>'UPAD-BAHAN-ALAT'!$I$12</f>
        <v>110000</v>
      </c>
      <c r="G1892" s="248">
        <f>F1892*E1892</f>
        <v>4730</v>
      </c>
    </row>
    <row r="1893" spans="1:8">
      <c r="A1893" s="247"/>
      <c r="B1893" s="256" t="s">
        <v>3455</v>
      </c>
      <c r="C1893" s="247" t="s">
        <v>678</v>
      </c>
      <c r="D1893" s="257" t="s">
        <v>675</v>
      </c>
      <c r="E1893" s="372">
        <v>4.2999999999999997E-2</v>
      </c>
      <c r="F1893" s="360">
        <f>'UPAD-BAHAN-ALAT'!$I$15</f>
        <v>150000</v>
      </c>
      <c r="G1893" s="248">
        <f>F1893*E1893</f>
        <v>6449.9999999999991</v>
      </c>
    </row>
    <row r="1894" spans="1:8">
      <c r="A1894" s="247"/>
      <c r="B1894" s="410" t="s">
        <v>751</v>
      </c>
      <c r="C1894" s="247" t="s">
        <v>681</v>
      </c>
      <c r="D1894" s="247" t="s">
        <v>675</v>
      </c>
      <c r="E1894" s="372">
        <v>4.3E-3</v>
      </c>
      <c r="F1894" s="360">
        <f>'UPAD-BAHAN-ALAT'!$I$15</f>
        <v>150000</v>
      </c>
      <c r="G1894" s="248">
        <f>F1894*E1894</f>
        <v>645</v>
      </c>
    </row>
    <row r="1895" spans="1:8">
      <c r="A1895" s="247"/>
      <c r="B1895" s="410" t="s">
        <v>683</v>
      </c>
      <c r="C1895" s="247" t="s">
        <v>684</v>
      </c>
      <c r="D1895" s="247" t="s">
        <v>675</v>
      </c>
      <c r="E1895" s="372">
        <v>2.0999999999999999E-3</v>
      </c>
      <c r="F1895" s="360">
        <f>'UPAD-BAHAN-ALAT'!$I$14</f>
        <v>140000</v>
      </c>
      <c r="G1895" s="248">
        <f>F1895*E1895</f>
        <v>294</v>
      </c>
    </row>
    <row r="1896" spans="1:8">
      <c r="A1896" s="247"/>
      <c r="B1896" s="410"/>
      <c r="C1896" s="247"/>
      <c r="D1896" s="247"/>
      <c r="E1896" s="1146" t="s">
        <v>685</v>
      </c>
      <c r="F1896" s="1146"/>
      <c r="G1896" s="248">
        <f>SUM(G1892:G1895)</f>
        <v>12119</v>
      </c>
    </row>
    <row r="1897" spans="1:8">
      <c r="A1897" s="294" t="s">
        <v>686</v>
      </c>
      <c r="B1897" s="411" t="s">
        <v>687</v>
      </c>
      <c r="C1897" s="247"/>
      <c r="D1897" s="247"/>
      <c r="E1897" s="372"/>
      <c r="F1897" s="360"/>
      <c r="G1897" s="248"/>
    </row>
    <row r="1898" spans="1:8">
      <c r="A1898" s="247"/>
      <c r="B1898" s="410" t="s">
        <v>969</v>
      </c>
      <c r="C1898" s="247"/>
      <c r="D1898" s="247" t="s">
        <v>853</v>
      </c>
      <c r="E1898" s="372">
        <v>1.1000000000000001</v>
      </c>
      <c r="F1898" s="360">
        <f>'UPAD-BAHAN-ALAT'!$I$151</f>
        <v>100000</v>
      </c>
      <c r="G1898" s="248">
        <f>F1898*E1898</f>
        <v>110000.00000000001</v>
      </c>
    </row>
    <row r="1899" spans="1:8">
      <c r="A1899" s="247"/>
      <c r="B1899" s="410" t="s">
        <v>970</v>
      </c>
      <c r="C1899" s="247"/>
      <c r="D1899" s="247" t="s">
        <v>971</v>
      </c>
      <c r="E1899" s="372">
        <v>2</v>
      </c>
      <c r="F1899" s="360">
        <f>'UPAD-BAHAN-ALAT'!$I$146</f>
        <v>250</v>
      </c>
      <c r="G1899" s="248">
        <f>F1899*E1899</f>
        <v>500</v>
      </c>
    </row>
    <row r="1900" spans="1:8">
      <c r="A1900" s="247"/>
      <c r="B1900" s="410" t="s">
        <v>972</v>
      </c>
      <c r="C1900" s="247"/>
      <c r="D1900" s="247" t="s">
        <v>973</v>
      </c>
      <c r="E1900" s="372">
        <v>0.06</v>
      </c>
      <c r="F1900" s="360">
        <f>'UPAD-BAHAN-ALAT'!$I$158</f>
        <v>10000</v>
      </c>
      <c r="G1900" s="248">
        <f>F1900*E1900</f>
        <v>600</v>
      </c>
    </row>
    <row r="1901" spans="1:8">
      <c r="A1901" s="247"/>
      <c r="B1901" s="410"/>
      <c r="C1901" s="247"/>
      <c r="D1901" s="247"/>
      <c r="E1901" s="1144" t="s">
        <v>702</v>
      </c>
      <c r="F1901" s="1144"/>
      <c r="G1901" s="248">
        <f>SUM(G1898:G1900)</f>
        <v>111100.00000000001</v>
      </c>
    </row>
    <row r="1902" spans="1:8" s="265" customFormat="1">
      <c r="A1902" s="294" t="s">
        <v>703</v>
      </c>
      <c r="B1902" s="1147" t="s">
        <v>3910</v>
      </c>
      <c r="C1902" s="1147"/>
      <c r="D1902" s="1147"/>
      <c r="E1902" s="1147"/>
      <c r="F1902" s="1147"/>
      <c r="G1902" s="255">
        <f>G1896+G1901</f>
        <v>123219.00000000001</v>
      </c>
    </row>
    <row r="1903" spans="1:8" s="265" customFormat="1">
      <c r="A1903" s="294" t="s">
        <v>706</v>
      </c>
      <c r="B1903" s="1148" t="s">
        <v>876</v>
      </c>
      <c r="C1903" s="1148"/>
      <c r="D1903" s="1148"/>
      <c r="E1903" s="1147" t="s">
        <v>4030</v>
      </c>
      <c r="F1903" s="1147"/>
      <c r="G1903" s="255">
        <f>G1902*0.15</f>
        <v>18482.850000000002</v>
      </c>
    </row>
    <row r="1904" spans="1:8" s="265" customFormat="1">
      <c r="A1904" s="294" t="s">
        <v>708</v>
      </c>
      <c r="B1904" s="1147" t="s">
        <v>3911</v>
      </c>
      <c r="C1904" s="1147"/>
      <c r="D1904" s="1147"/>
      <c r="E1904" s="1147"/>
      <c r="F1904" s="1147"/>
      <c r="G1904" s="255">
        <f>ROUND(SUM(G1902:G1903),2)</f>
        <v>141701.85</v>
      </c>
      <c r="H1904" s="255">
        <f>SUM(G1902:G1903)</f>
        <v>141701.85</v>
      </c>
    </row>
    <row r="1906" spans="1:7">
      <c r="A1906" s="285" t="s">
        <v>4130</v>
      </c>
      <c r="B1906" s="250" t="s">
        <v>4004</v>
      </c>
      <c r="C1906" s="252"/>
      <c r="D1906" s="252"/>
      <c r="E1906" s="374"/>
      <c r="F1906" s="361"/>
      <c r="G1906" s="253"/>
    </row>
    <row r="1907" spans="1:7" s="292" customFormat="1" ht="24.95" customHeight="1">
      <c r="A1907" s="290" t="s">
        <v>1003</v>
      </c>
      <c r="B1907" s="290" t="s">
        <v>1004</v>
      </c>
      <c r="C1907" s="290" t="s">
        <v>1005</v>
      </c>
      <c r="D1907" s="290" t="s">
        <v>1006</v>
      </c>
      <c r="E1907" s="373" t="s">
        <v>1007</v>
      </c>
      <c r="F1907" s="363" t="s">
        <v>2637</v>
      </c>
      <c r="G1907" s="291" t="s">
        <v>2638</v>
      </c>
    </row>
    <row r="1908" spans="1:7">
      <c r="A1908" s="294" t="s">
        <v>671</v>
      </c>
      <c r="B1908" s="411" t="s">
        <v>672</v>
      </c>
      <c r="C1908" s="247"/>
      <c r="D1908" s="247"/>
      <c r="E1908" s="372"/>
      <c r="F1908" s="360"/>
      <c r="G1908" s="248"/>
    </row>
    <row r="1909" spans="1:7">
      <c r="A1909" s="247"/>
      <c r="B1909" s="410" t="s">
        <v>673</v>
      </c>
      <c r="C1909" s="247" t="s">
        <v>674</v>
      </c>
      <c r="D1909" s="247" t="s">
        <v>675</v>
      </c>
      <c r="E1909" s="372">
        <v>4.2999999999999997E-2</v>
      </c>
      <c r="F1909" s="360">
        <f>'UPAD-BAHAN-ALAT'!$I$12</f>
        <v>110000</v>
      </c>
      <c r="G1909" s="248">
        <f>F1909*E1909</f>
        <v>4730</v>
      </c>
    </row>
    <row r="1910" spans="1:7">
      <c r="A1910" s="247"/>
      <c r="B1910" s="256" t="s">
        <v>3455</v>
      </c>
      <c r="C1910" s="247" t="s">
        <v>678</v>
      </c>
      <c r="D1910" s="257" t="s">
        <v>675</v>
      </c>
      <c r="E1910" s="372">
        <v>4.2999999999999997E-2</v>
      </c>
      <c r="F1910" s="360">
        <f>'UPAD-BAHAN-ALAT'!$I$15</f>
        <v>150000</v>
      </c>
      <c r="G1910" s="248">
        <f>F1910*E1910</f>
        <v>6449.9999999999991</v>
      </c>
    </row>
    <row r="1911" spans="1:7">
      <c r="A1911" s="247"/>
      <c r="B1911" s="410" t="s">
        <v>751</v>
      </c>
      <c r="C1911" s="247" t="s">
        <v>681</v>
      </c>
      <c r="D1911" s="247" t="s">
        <v>675</v>
      </c>
      <c r="E1911" s="372">
        <v>4.3E-3</v>
      </c>
      <c r="F1911" s="360">
        <f>'UPAD-BAHAN-ALAT'!$I$15</f>
        <v>150000</v>
      </c>
      <c r="G1911" s="248">
        <f>F1911*E1911</f>
        <v>645</v>
      </c>
    </row>
    <row r="1912" spans="1:7">
      <c r="A1912" s="247"/>
      <c r="B1912" s="410" t="s">
        <v>683</v>
      </c>
      <c r="C1912" s="247" t="s">
        <v>684</v>
      </c>
      <c r="D1912" s="247" t="s">
        <v>675</v>
      </c>
      <c r="E1912" s="372">
        <v>2.0999999999999999E-3</v>
      </c>
      <c r="F1912" s="360">
        <f>'UPAD-BAHAN-ALAT'!$I$14</f>
        <v>140000</v>
      </c>
      <c r="G1912" s="248">
        <f>F1912*E1912</f>
        <v>294</v>
      </c>
    </row>
    <row r="1913" spans="1:7">
      <c r="A1913" s="247"/>
      <c r="B1913" s="410"/>
      <c r="C1913" s="247"/>
      <c r="D1913" s="247"/>
      <c r="E1913" s="1146" t="s">
        <v>685</v>
      </c>
      <c r="F1913" s="1146"/>
      <c r="G1913" s="248">
        <f>SUM(G1909:G1912)</f>
        <v>12119</v>
      </c>
    </row>
    <row r="1914" spans="1:7">
      <c r="A1914" s="294" t="s">
        <v>686</v>
      </c>
      <c r="B1914" s="411" t="s">
        <v>687</v>
      </c>
      <c r="C1914" s="247"/>
      <c r="D1914" s="247"/>
      <c r="E1914" s="372"/>
      <c r="F1914" s="360"/>
      <c r="G1914" s="248"/>
    </row>
    <row r="1915" spans="1:7">
      <c r="A1915" s="247"/>
      <c r="B1915" s="410" t="s">
        <v>969</v>
      </c>
      <c r="C1915" s="247"/>
      <c r="D1915" s="247" t="s">
        <v>853</v>
      </c>
      <c r="E1915" s="372">
        <v>1.1000000000000001</v>
      </c>
      <c r="F1915" s="360">
        <f>'UPAD-BAHAN-ALAT'!$I$153</f>
        <v>95000</v>
      </c>
      <c r="G1915" s="248">
        <f>F1915*E1915</f>
        <v>104500.00000000001</v>
      </c>
    </row>
    <row r="1916" spans="1:7">
      <c r="A1916" s="247"/>
      <c r="B1916" s="410" t="s">
        <v>970</v>
      </c>
      <c r="C1916" s="247"/>
      <c r="D1916" s="247" t="s">
        <v>971</v>
      </c>
      <c r="E1916" s="372">
        <v>2</v>
      </c>
      <c r="F1916" s="360">
        <f>'UPAD-BAHAN-ALAT'!$I$146</f>
        <v>250</v>
      </c>
      <c r="G1916" s="248">
        <f>F1916*E1916</f>
        <v>500</v>
      </c>
    </row>
    <row r="1917" spans="1:7">
      <c r="A1917" s="247"/>
      <c r="B1917" s="410" t="s">
        <v>972</v>
      </c>
      <c r="C1917" s="247"/>
      <c r="D1917" s="247" t="s">
        <v>973</v>
      </c>
      <c r="E1917" s="372">
        <v>0.06</v>
      </c>
      <c r="F1917" s="360">
        <f>'UPAD-BAHAN-ALAT'!$I$158</f>
        <v>10000</v>
      </c>
      <c r="G1917" s="248">
        <f>F1917*E1917</f>
        <v>600</v>
      </c>
    </row>
    <row r="1918" spans="1:7">
      <c r="A1918" s="247"/>
      <c r="B1918" s="295"/>
      <c r="C1918" s="296"/>
      <c r="D1918" s="296"/>
      <c r="E1918" s="1146" t="s">
        <v>702</v>
      </c>
      <c r="F1918" s="1146"/>
      <c r="G1918" s="248">
        <f>SUM(G1915:G1917)</f>
        <v>105600.00000000001</v>
      </c>
    </row>
    <row r="1919" spans="1:7" s="265" customFormat="1">
      <c r="A1919" s="294" t="s">
        <v>703</v>
      </c>
      <c r="B1919" s="1147" t="s">
        <v>3910</v>
      </c>
      <c r="C1919" s="1147"/>
      <c r="D1919" s="1147"/>
      <c r="E1919" s="1147"/>
      <c r="F1919" s="1147"/>
      <c r="G1919" s="255">
        <f>G1913+G1918</f>
        <v>117719.00000000001</v>
      </c>
    </row>
    <row r="1920" spans="1:7" s="265" customFormat="1">
      <c r="A1920" s="294" t="s">
        <v>706</v>
      </c>
      <c r="B1920" s="1148" t="s">
        <v>876</v>
      </c>
      <c r="C1920" s="1148"/>
      <c r="D1920" s="1148"/>
      <c r="E1920" s="1147" t="s">
        <v>4030</v>
      </c>
      <c r="F1920" s="1147"/>
      <c r="G1920" s="255">
        <f>G1919*0.15</f>
        <v>17657.850000000002</v>
      </c>
    </row>
    <row r="1921" spans="1:8" s="265" customFormat="1">
      <c r="A1921" s="294" t="s">
        <v>708</v>
      </c>
      <c r="B1921" s="1149" t="s">
        <v>3911</v>
      </c>
      <c r="C1921" s="1149"/>
      <c r="D1921" s="1149"/>
      <c r="E1921" s="1149"/>
      <c r="F1921" s="1149"/>
      <c r="G1921" s="255">
        <f>ROUND(SUM(G1919:G1920),2)</f>
        <v>135376.85</v>
      </c>
      <c r="H1921" s="255">
        <f>SUM(G1919:G1920)</f>
        <v>135376.85</v>
      </c>
    </row>
    <row r="1923" spans="1:8">
      <c r="A1923" s="286" t="s">
        <v>4131</v>
      </c>
      <c r="B1923" s="265" t="s">
        <v>4010</v>
      </c>
    </row>
    <row r="1924" spans="1:8" s="292" customFormat="1" ht="24.95" customHeight="1">
      <c r="A1924" s="290" t="s">
        <v>1003</v>
      </c>
      <c r="B1924" s="290" t="s">
        <v>1004</v>
      </c>
      <c r="C1924" s="293" t="s">
        <v>1005</v>
      </c>
      <c r="D1924" s="293" t="s">
        <v>1006</v>
      </c>
      <c r="E1924" s="379" t="s">
        <v>1007</v>
      </c>
      <c r="F1924" s="389" t="s">
        <v>2637</v>
      </c>
      <c r="G1924" s="623" t="s">
        <v>2638</v>
      </c>
    </row>
    <row r="1925" spans="1:8">
      <c r="A1925" s="294" t="s">
        <v>671</v>
      </c>
      <c r="B1925" s="411" t="s">
        <v>672</v>
      </c>
      <c r="C1925" s="283"/>
      <c r="D1925" s="283"/>
      <c r="E1925" s="428"/>
      <c r="F1925" s="360"/>
      <c r="G1925" s="248"/>
    </row>
    <row r="1926" spans="1:8">
      <c r="A1926" s="247"/>
      <c r="B1926" s="410" t="s">
        <v>673</v>
      </c>
      <c r="C1926" s="247" t="s">
        <v>674</v>
      </c>
      <c r="D1926" s="283" t="s">
        <v>675</v>
      </c>
      <c r="E1926" s="372">
        <v>0.08</v>
      </c>
      <c r="F1926" s="360">
        <f>'UPAD-BAHAN-ALAT'!$I$12</f>
        <v>110000</v>
      </c>
      <c r="G1926" s="248">
        <f>F1926*E1926</f>
        <v>8800</v>
      </c>
    </row>
    <row r="1927" spans="1:8">
      <c r="A1927" s="247"/>
      <c r="B1927" s="256" t="s">
        <v>3453</v>
      </c>
      <c r="C1927" s="247" t="s">
        <v>678</v>
      </c>
      <c r="D1927" s="430" t="s">
        <v>675</v>
      </c>
      <c r="E1927" s="372">
        <v>0.8</v>
      </c>
      <c r="F1927" s="360">
        <f>'UPAD-BAHAN-ALAT'!$I$15</f>
        <v>150000</v>
      </c>
      <c r="G1927" s="248">
        <f>F1927*E1927</f>
        <v>120000</v>
      </c>
    </row>
    <row r="1928" spans="1:8">
      <c r="A1928" s="247"/>
      <c r="B1928" s="410" t="s">
        <v>751</v>
      </c>
      <c r="C1928" s="247" t="s">
        <v>681</v>
      </c>
      <c r="D1928" s="283" t="s">
        <v>675</v>
      </c>
      <c r="E1928" s="372">
        <v>0.08</v>
      </c>
      <c r="F1928" s="360">
        <f>'UPAD-BAHAN-ALAT'!$I$15</f>
        <v>150000</v>
      </c>
      <c r="G1928" s="248">
        <f>F1928*E1928</f>
        <v>12000</v>
      </c>
    </row>
    <row r="1929" spans="1:8">
      <c r="A1929" s="247"/>
      <c r="B1929" s="410" t="s">
        <v>683</v>
      </c>
      <c r="C1929" s="247" t="s">
        <v>684</v>
      </c>
      <c r="D1929" s="283" t="s">
        <v>675</v>
      </c>
      <c r="E1929" s="372">
        <v>4.0000000000000001E-3</v>
      </c>
      <c r="F1929" s="360">
        <f>'UPAD-BAHAN-ALAT'!$I$14</f>
        <v>140000</v>
      </c>
      <c r="G1929" s="248">
        <f>F1929*E1929</f>
        <v>560</v>
      </c>
    </row>
    <row r="1930" spans="1:8">
      <c r="A1930" s="247"/>
      <c r="B1930" s="410"/>
      <c r="C1930" s="283"/>
      <c r="D1930" s="283"/>
      <c r="E1930" s="428" t="s">
        <v>685</v>
      </c>
      <c r="F1930" s="390"/>
      <c r="G1930" s="248">
        <f>SUM(G1926:G1929)</f>
        <v>141360</v>
      </c>
    </row>
    <row r="1931" spans="1:8">
      <c r="A1931" s="294" t="s">
        <v>686</v>
      </c>
      <c r="B1931" s="411" t="s">
        <v>687</v>
      </c>
      <c r="C1931" s="283"/>
      <c r="D1931" s="283"/>
      <c r="E1931" s="428"/>
      <c r="F1931" s="360"/>
      <c r="G1931" s="248"/>
    </row>
    <row r="1932" spans="1:8">
      <c r="A1932" s="247"/>
      <c r="B1932" s="410" t="s">
        <v>969</v>
      </c>
      <c r="C1932" s="288"/>
      <c r="D1932" s="283" t="s">
        <v>853</v>
      </c>
      <c r="E1932" s="428">
        <v>4.4000000000000004</v>
      </c>
      <c r="F1932" s="360">
        <f>'UPAD-BAHAN-ALAT'!$I$155</f>
        <v>56000</v>
      </c>
      <c r="G1932" s="248">
        <f>F1932*E1932</f>
        <v>246400.00000000003</v>
      </c>
    </row>
    <row r="1933" spans="1:8">
      <c r="A1933" s="247"/>
      <c r="B1933" s="410" t="s">
        <v>978</v>
      </c>
      <c r="C1933" s="288"/>
      <c r="D1933" s="283" t="s">
        <v>2647</v>
      </c>
      <c r="E1933" s="428">
        <v>1.05</v>
      </c>
      <c r="F1933" s="360">
        <f>'UPAD-BAHAN-ALAT'!$I$169</f>
        <v>350000</v>
      </c>
      <c r="G1933" s="248">
        <f>F1933*E1933</f>
        <v>367500</v>
      </c>
    </row>
    <row r="1934" spans="1:8">
      <c r="A1934" s="247"/>
      <c r="B1934" s="410"/>
      <c r="C1934" s="288"/>
      <c r="D1934" s="283"/>
      <c r="E1934" s="428" t="s">
        <v>702</v>
      </c>
      <c r="F1934" s="390"/>
      <c r="G1934" s="248">
        <f>SUM(G1932:G1933)</f>
        <v>613900</v>
      </c>
    </row>
    <row r="1935" spans="1:8" s="265" customFormat="1">
      <c r="A1935" s="294" t="s">
        <v>703</v>
      </c>
      <c r="B1935" s="357" t="s">
        <v>3910</v>
      </c>
      <c r="C1935" s="610"/>
      <c r="D1935" s="610"/>
      <c r="E1935" s="611"/>
      <c r="F1935" s="612"/>
      <c r="G1935" s="255">
        <f>G1930+G1934</f>
        <v>755260</v>
      </c>
    </row>
    <row r="1936" spans="1:8" s="265" customFormat="1">
      <c r="A1936" s="294" t="s">
        <v>706</v>
      </c>
      <c r="B1936" s="617" t="s">
        <v>876</v>
      </c>
      <c r="C1936" s="618"/>
      <c r="D1936" s="633"/>
      <c r="E1936" s="613" t="s">
        <v>4030</v>
      </c>
      <c r="F1936" s="612"/>
      <c r="G1936" s="255">
        <f>G1935*0.15</f>
        <v>113289</v>
      </c>
    </row>
    <row r="1937" spans="1:10" s="265" customFormat="1">
      <c r="A1937" s="294" t="s">
        <v>708</v>
      </c>
      <c r="B1937" s="1149" t="s">
        <v>3911</v>
      </c>
      <c r="C1937" s="1149"/>
      <c r="D1937" s="1149"/>
      <c r="E1937" s="1149"/>
      <c r="F1937" s="1149"/>
      <c r="G1937" s="255">
        <f>ROUND(SUM(G1935:G1936),2)</f>
        <v>868549</v>
      </c>
      <c r="H1937" s="255">
        <f>SUM(G1935:G1936)</f>
        <v>868549</v>
      </c>
    </row>
    <row r="1938" spans="1:10">
      <c r="A1938" s="268"/>
      <c r="B1938" s="269"/>
      <c r="C1938" s="268"/>
      <c r="D1938" s="268"/>
      <c r="E1938" s="380"/>
      <c r="F1938" s="365"/>
      <c r="G1938" s="270"/>
    </row>
    <row r="1939" spans="1:10" s="814" customFormat="1">
      <c r="A1939" s="808" t="s">
        <v>4132</v>
      </c>
      <c r="B1939" s="809" t="s">
        <v>2878</v>
      </c>
      <c r="C1939" s="810"/>
      <c r="D1939" s="810"/>
      <c r="E1939" s="811"/>
      <c r="F1939" s="812"/>
      <c r="G1939" s="813"/>
    </row>
    <row r="1940" spans="1:10" s="858" customFormat="1" ht="24.95" customHeight="1">
      <c r="A1940" s="853" t="s">
        <v>1003</v>
      </c>
      <c r="B1940" s="854" t="s">
        <v>1004</v>
      </c>
      <c r="C1940" s="854" t="s">
        <v>1005</v>
      </c>
      <c r="D1940" s="854" t="s">
        <v>1006</v>
      </c>
      <c r="E1940" s="855" t="s">
        <v>1007</v>
      </c>
      <c r="F1940" s="856" t="s">
        <v>2637</v>
      </c>
      <c r="G1940" s="857" t="s">
        <v>2638</v>
      </c>
    </row>
    <row r="1941" spans="1:10" s="814" customFormat="1">
      <c r="A1941" s="859" t="s">
        <v>671</v>
      </c>
      <c r="B1941" s="868" t="s">
        <v>672</v>
      </c>
      <c r="C1941" s="861"/>
      <c r="D1941" s="861"/>
      <c r="E1941" s="862"/>
      <c r="F1941" s="863"/>
      <c r="G1941" s="864"/>
      <c r="I1941" s="916"/>
      <c r="J1941" s="916"/>
    </row>
    <row r="1942" spans="1:10" s="814" customFormat="1">
      <c r="A1942" s="865"/>
      <c r="B1942" s="860" t="s">
        <v>673</v>
      </c>
      <c r="C1942" s="865" t="s">
        <v>674</v>
      </c>
      <c r="D1942" s="861" t="s">
        <v>675</v>
      </c>
      <c r="E1942" s="862">
        <v>0.11</v>
      </c>
      <c r="F1942" s="866">
        <f>'UPAD-BAHAN-ALAT'!$I$12</f>
        <v>110000</v>
      </c>
      <c r="G1942" s="864">
        <f>F1942*E1942</f>
        <v>12100</v>
      </c>
      <c r="I1942" s="917"/>
      <c r="J1942" s="918"/>
    </row>
    <row r="1943" spans="1:10" s="814" customFormat="1">
      <c r="A1943" s="865"/>
      <c r="B1943" s="919" t="s">
        <v>3452</v>
      </c>
      <c r="C1943" s="865" t="s">
        <v>678</v>
      </c>
      <c r="D1943" s="920" t="s">
        <v>675</v>
      </c>
      <c r="E1943" s="862">
        <v>0.26</v>
      </c>
      <c r="F1943" s="866">
        <f>'UPAD-BAHAN-ALAT'!$I$15</f>
        <v>150000</v>
      </c>
      <c r="G1943" s="864">
        <f>F1943*E1943</f>
        <v>39000</v>
      </c>
      <c r="I1943" s="917"/>
      <c r="J1943" s="918"/>
    </row>
    <row r="1944" spans="1:10" s="814" customFormat="1">
      <c r="A1944" s="865"/>
      <c r="B1944" s="860" t="s">
        <v>751</v>
      </c>
      <c r="C1944" s="865" t="s">
        <v>681</v>
      </c>
      <c r="D1944" s="861" t="s">
        <v>675</v>
      </c>
      <c r="E1944" s="862">
        <v>2.5999999999999999E-2</v>
      </c>
      <c r="F1944" s="866">
        <f>'UPAD-BAHAN-ALAT'!$I$15</f>
        <v>150000</v>
      </c>
      <c r="G1944" s="864">
        <f>F1944*E1944</f>
        <v>3900</v>
      </c>
      <c r="I1944" s="917"/>
      <c r="J1944" s="918"/>
    </row>
    <row r="1945" spans="1:10" s="814" customFormat="1">
      <c r="A1945" s="865"/>
      <c r="B1945" s="860" t="s">
        <v>683</v>
      </c>
      <c r="C1945" s="865" t="s">
        <v>684</v>
      </c>
      <c r="D1945" s="861" t="s">
        <v>675</v>
      </c>
      <c r="E1945" s="862">
        <v>6.0000000000000001E-3</v>
      </c>
      <c r="F1945" s="866">
        <f>'UPAD-BAHAN-ALAT'!$I$14</f>
        <v>140000</v>
      </c>
      <c r="G1945" s="864">
        <f>F1945*E1945</f>
        <v>840</v>
      </c>
      <c r="I1945" s="917"/>
      <c r="J1945" s="918"/>
    </row>
    <row r="1946" spans="1:10" s="814" customFormat="1">
      <c r="A1946" s="865"/>
      <c r="B1946" s="860"/>
      <c r="C1946" s="861"/>
      <c r="D1946" s="861"/>
      <c r="E1946" s="862" t="s">
        <v>685</v>
      </c>
      <c r="F1946" s="867"/>
      <c r="G1946" s="864">
        <f>SUM(G1942:G1945)</f>
        <v>55840</v>
      </c>
    </row>
    <row r="1947" spans="1:10" s="814" customFormat="1">
      <c r="A1947" s="859" t="s">
        <v>686</v>
      </c>
      <c r="B1947" s="868" t="s">
        <v>687</v>
      </c>
      <c r="C1947" s="861"/>
      <c r="D1947" s="861"/>
      <c r="E1947" s="862"/>
      <c r="F1947" s="863"/>
      <c r="G1947" s="864"/>
    </row>
    <row r="1948" spans="1:10" s="814" customFormat="1">
      <c r="A1948" s="865"/>
      <c r="B1948" s="860" t="s">
        <v>3537</v>
      </c>
      <c r="C1948" s="861"/>
      <c r="D1948" s="861" t="s">
        <v>853</v>
      </c>
      <c r="E1948" s="862">
        <v>4.4000000000000004</v>
      </c>
      <c r="F1948" s="863">
        <f>'UPAD-BAHAN-ALAT'!$I$154</f>
        <v>95000</v>
      </c>
      <c r="G1948" s="864">
        <f>F1948*E1948</f>
        <v>418000.00000000006</v>
      </c>
    </row>
    <row r="1949" spans="1:10" s="814" customFormat="1">
      <c r="A1949" s="865"/>
      <c r="B1949" s="860" t="s">
        <v>972</v>
      </c>
      <c r="C1949" s="861"/>
      <c r="D1949" s="861" t="s">
        <v>973</v>
      </c>
      <c r="E1949" s="862">
        <v>0.27</v>
      </c>
      <c r="F1949" s="863">
        <f>'UPAD-BAHAN-ALAT'!$I$158</f>
        <v>10000</v>
      </c>
      <c r="G1949" s="864">
        <f>F1949*E1949</f>
        <v>2700</v>
      </c>
    </row>
    <row r="1950" spans="1:10" s="814" customFormat="1">
      <c r="A1950" s="865"/>
      <c r="B1950" s="860" t="s">
        <v>3457</v>
      </c>
      <c r="C1950" s="861"/>
      <c r="D1950" s="861" t="s">
        <v>2647</v>
      </c>
      <c r="E1950" s="862">
        <v>1.1000000000000001</v>
      </c>
      <c r="F1950" s="884">
        <f>'UPAD-BAHAN-ALAT'!$I$289</f>
        <v>160000</v>
      </c>
      <c r="G1950" s="864">
        <f>F1950*E1950</f>
        <v>176000</v>
      </c>
    </row>
    <row r="1951" spans="1:10" s="814" customFormat="1">
      <c r="A1951" s="865"/>
      <c r="B1951" s="860"/>
      <c r="C1951" s="861"/>
      <c r="D1951" s="861"/>
      <c r="E1951" s="862" t="s">
        <v>702</v>
      </c>
      <c r="F1951" s="867"/>
      <c r="G1951" s="864">
        <f>SUM(G1948:G1950)</f>
        <v>596700</v>
      </c>
    </row>
    <row r="1952" spans="1:10" s="848" customFormat="1">
      <c r="A1952" s="859" t="s">
        <v>703</v>
      </c>
      <c r="B1952" s="868" t="s">
        <v>3910</v>
      </c>
      <c r="C1952" s="869"/>
      <c r="D1952" s="869"/>
      <c r="E1952" s="870"/>
      <c r="F1952" s="871"/>
      <c r="G1952" s="872">
        <f>G1946+G1951</f>
        <v>652540</v>
      </c>
    </row>
    <row r="1953" spans="1:8" s="848" customFormat="1">
      <c r="A1953" s="859" t="s">
        <v>706</v>
      </c>
      <c r="B1953" s="873" t="s">
        <v>876</v>
      </c>
      <c r="C1953" s="874"/>
      <c r="D1953" s="874"/>
      <c r="E1953" s="875" t="s">
        <v>4030</v>
      </c>
      <c r="F1953" s="871"/>
      <c r="G1953" s="872">
        <f>G1952*0.15</f>
        <v>97881</v>
      </c>
    </row>
    <row r="1954" spans="1:8" s="848" customFormat="1">
      <c r="A1954" s="859" t="s">
        <v>708</v>
      </c>
      <c r="B1954" s="868" t="s">
        <v>3911</v>
      </c>
      <c r="C1954" s="869"/>
      <c r="D1954" s="869"/>
      <c r="E1954" s="870"/>
      <c r="F1954" s="885"/>
      <c r="G1954" s="872">
        <f>ROUND(SUM(G1952:G1953),2)</f>
        <v>750421</v>
      </c>
      <c r="H1954" s="872">
        <f>SUM(G1952:G1953)</f>
        <v>750421</v>
      </c>
    </row>
    <row r="1956" spans="1:8">
      <c r="A1956" s="600" t="s">
        <v>4133</v>
      </c>
      <c r="B1956" s="265" t="s">
        <v>4551</v>
      </c>
    </row>
    <row r="1957" spans="1:8" s="292" customFormat="1" ht="24.95" customHeight="1">
      <c r="A1957" s="290" t="s">
        <v>1003</v>
      </c>
      <c r="B1957" s="290" t="s">
        <v>1004</v>
      </c>
      <c r="C1957" s="290" t="s">
        <v>1005</v>
      </c>
      <c r="D1957" s="290" t="s">
        <v>1006</v>
      </c>
      <c r="E1957" s="373" t="s">
        <v>1007</v>
      </c>
      <c r="F1957" s="363" t="s">
        <v>2637</v>
      </c>
      <c r="G1957" s="291" t="s">
        <v>2638</v>
      </c>
    </row>
    <row r="1958" spans="1:8">
      <c r="A1958" s="294" t="s">
        <v>671</v>
      </c>
      <c r="B1958" s="411" t="s">
        <v>672</v>
      </c>
      <c r="C1958" s="247"/>
      <c r="D1958" s="247"/>
      <c r="E1958" s="372"/>
      <c r="F1958" s="360"/>
      <c r="G1958" s="248"/>
    </row>
    <row r="1959" spans="1:8">
      <c r="A1959" s="247"/>
      <c r="B1959" s="410" t="s">
        <v>673</v>
      </c>
      <c r="C1959" s="247" t="s">
        <v>674</v>
      </c>
      <c r="D1959" s="247" t="s">
        <v>675</v>
      </c>
      <c r="E1959" s="372">
        <v>0.35</v>
      </c>
      <c r="F1959" s="360">
        <f>'UPAD-BAHAN-ALAT'!$I$12</f>
        <v>110000</v>
      </c>
      <c r="G1959" s="248">
        <f>F1959*E1959</f>
        <v>38500</v>
      </c>
    </row>
    <row r="1960" spans="1:8">
      <c r="A1960" s="247"/>
      <c r="B1960" s="410" t="s">
        <v>782</v>
      </c>
      <c r="C1960" s="247" t="s">
        <v>678</v>
      </c>
      <c r="D1960" s="247" t="s">
        <v>675</v>
      </c>
      <c r="E1960" s="372">
        <v>0.35</v>
      </c>
      <c r="F1960" s="360">
        <f>'UPAD-BAHAN-ALAT'!$I$13</f>
        <v>140000</v>
      </c>
      <c r="G1960" s="248">
        <f>F1960*E1960</f>
        <v>49000</v>
      </c>
    </row>
    <row r="1961" spans="1:8">
      <c r="A1961" s="247"/>
      <c r="B1961" s="410" t="s">
        <v>751</v>
      </c>
      <c r="C1961" s="247" t="s">
        <v>681</v>
      </c>
      <c r="D1961" s="247" t="s">
        <v>675</v>
      </c>
      <c r="E1961" s="372">
        <v>3.5000000000000003E-2</v>
      </c>
      <c r="F1961" s="360">
        <f>'UPAD-BAHAN-ALAT'!$I$15</f>
        <v>150000</v>
      </c>
      <c r="G1961" s="248">
        <f>F1961*E1961</f>
        <v>5250.0000000000009</v>
      </c>
    </row>
    <row r="1962" spans="1:8">
      <c r="A1962" s="247"/>
      <c r="B1962" s="410" t="s">
        <v>683</v>
      </c>
      <c r="C1962" s="247" t="s">
        <v>684</v>
      </c>
      <c r="D1962" s="247" t="s">
        <v>675</v>
      </c>
      <c r="E1962" s="372">
        <v>1.7999999999999999E-2</v>
      </c>
      <c r="F1962" s="360">
        <f>'UPAD-BAHAN-ALAT'!$I$14</f>
        <v>140000</v>
      </c>
      <c r="G1962" s="248">
        <f>F1962*E1962</f>
        <v>2520</v>
      </c>
    </row>
    <row r="1963" spans="1:8">
      <c r="A1963" s="247"/>
      <c r="B1963" s="410"/>
      <c r="C1963" s="247"/>
      <c r="D1963" s="247"/>
      <c r="E1963" s="1146" t="s">
        <v>685</v>
      </c>
      <c r="F1963" s="1146"/>
      <c r="G1963" s="248">
        <f>SUM(G1959:G1962)</f>
        <v>95270</v>
      </c>
    </row>
    <row r="1964" spans="1:8">
      <c r="A1964" s="294" t="s">
        <v>686</v>
      </c>
      <c r="B1964" s="411" t="s">
        <v>687</v>
      </c>
      <c r="C1964" s="247"/>
      <c r="D1964" s="247"/>
      <c r="E1964" s="372"/>
      <c r="F1964" s="360"/>
      <c r="G1964" s="248"/>
    </row>
    <row r="1965" spans="1:8">
      <c r="A1965" s="247"/>
      <c r="B1965" s="256" t="s">
        <v>3458</v>
      </c>
      <c r="C1965" s="247"/>
      <c r="D1965" s="247" t="s">
        <v>2647</v>
      </c>
      <c r="E1965" s="372">
        <v>1</v>
      </c>
      <c r="F1965" s="360">
        <f>'UPAD-BAHAN-ALAT'!$I$147</f>
        <v>183750</v>
      </c>
      <c r="G1965" s="248">
        <f>F1965*E1965</f>
        <v>183750</v>
      </c>
    </row>
    <row r="1966" spans="1:8">
      <c r="A1966" s="247"/>
      <c r="B1966" s="295"/>
      <c r="C1966" s="296"/>
      <c r="D1966" s="296"/>
      <c r="E1966" s="1146" t="s">
        <v>702</v>
      </c>
      <c r="F1966" s="1146"/>
      <c r="G1966" s="248">
        <f>SUM(G1965)</f>
        <v>183750</v>
      </c>
    </row>
    <row r="1967" spans="1:8" s="265" customFormat="1">
      <c r="A1967" s="294" t="s">
        <v>703</v>
      </c>
      <c r="B1967" s="1147" t="s">
        <v>3910</v>
      </c>
      <c r="C1967" s="1147"/>
      <c r="D1967" s="1147"/>
      <c r="E1967" s="1147"/>
      <c r="F1967" s="1147"/>
      <c r="G1967" s="255">
        <f>G1963+G1966</f>
        <v>279020</v>
      </c>
    </row>
    <row r="1968" spans="1:8" s="265" customFormat="1">
      <c r="A1968" s="294" t="s">
        <v>706</v>
      </c>
      <c r="B1968" s="1148" t="s">
        <v>876</v>
      </c>
      <c r="C1968" s="1148"/>
      <c r="D1968" s="1148"/>
      <c r="E1968" s="1147" t="s">
        <v>4030</v>
      </c>
      <c r="F1968" s="1147"/>
      <c r="G1968" s="255">
        <f>G1967*0.15</f>
        <v>41853</v>
      </c>
    </row>
    <row r="1969" spans="1:8" s="265" customFormat="1">
      <c r="A1969" s="294" t="s">
        <v>708</v>
      </c>
      <c r="B1969" s="1149" t="s">
        <v>3911</v>
      </c>
      <c r="C1969" s="1149"/>
      <c r="D1969" s="1149"/>
      <c r="E1969" s="1149"/>
      <c r="F1969" s="1149"/>
      <c r="G1969" s="255">
        <f>ROUND(SUM(G1967:G1968),2)</f>
        <v>320873</v>
      </c>
      <c r="H1969" s="255">
        <f>SUM(G1967:G1968)</f>
        <v>320873</v>
      </c>
    </row>
    <row r="1970" spans="1:8">
      <c r="A1970" s="252"/>
      <c r="B1970" s="251"/>
      <c r="C1970" s="252"/>
      <c r="D1970" s="251"/>
      <c r="E1970" s="378"/>
      <c r="F1970" s="364"/>
      <c r="G1970" s="253"/>
    </row>
    <row r="1971" spans="1:8">
      <c r="A1971" s="600" t="s">
        <v>4134</v>
      </c>
      <c r="B1971" s="265" t="s">
        <v>4550</v>
      </c>
    </row>
    <row r="1972" spans="1:8" s="292" customFormat="1" ht="24.95" customHeight="1">
      <c r="A1972" s="290" t="s">
        <v>1003</v>
      </c>
      <c r="B1972" s="290" t="s">
        <v>1004</v>
      </c>
      <c r="C1972" s="290" t="s">
        <v>1005</v>
      </c>
      <c r="D1972" s="290" t="s">
        <v>1006</v>
      </c>
      <c r="E1972" s="373" t="s">
        <v>1007</v>
      </c>
      <c r="F1972" s="363" t="s">
        <v>2637</v>
      </c>
      <c r="G1972" s="291" t="s">
        <v>2638</v>
      </c>
    </row>
    <row r="1973" spans="1:8">
      <c r="A1973" s="294" t="s">
        <v>671</v>
      </c>
      <c r="B1973" s="411" t="s">
        <v>672</v>
      </c>
      <c r="C1973" s="247"/>
      <c r="D1973" s="247"/>
      <c r="E1973" s="372"/>
      <c r="F1973" s="360"/>
      <c r="G1973" s="248"/>
    </row>
    <row r="1974" spans="1:8">
      <c r="A1974" s="247"/>
      <c r="B1974" s="410" t="s">
        <v>673</v>
      </c>
      <c r="C1974" s="247" t="s">
        <v>674</v>
      </c>
      <c r="D1974" s="247" t="s">
        <v>675</v>
      </c>
      <c r="E1974" s="372">
        <v>0.35</v>
      </c>
      <c r="F1974" s="360">
        <f>'UPAD-BAHAN-ALAT'!$I$12</f>
        <v>110000</v>
      </c>
      <c r="G1974" s="248">
        <f>F1974*E1974</f>
        <v>38500</v>
      </c>
    </row>
    <row r="1975" spans="1:8">
      <c r="A1975" s="247"/>
      <c r="B1975" s="410" t="s">
        <v>782</v>
      </c>
      <c r="C1975" s="247" t="s">
        <v>678</v>
      </c>
      <c r="D1975" s="247" t="s">
        <v>675</v>
      </c>
      <c r="E1975" s="372">
        <v>0.35</v>
      </c>
      <c r="F1975" s="360">
        <f>'UPAD-BAHAN-ALAT'!$I$13</f>
        <v>140000</v>
      </c>
      <c r="G1975" s="248">
        <f>F1975*E1975</f>
        <v>49000</v>
      </c>
    </row>
    <row r="1976" spans="1:8">
      <c r="A1976" s="247"/>
      <c r="B1976" s="410" t="s">
        <v>751</v>
      </c>
      <c r="C1976" s="247" t="s">
        <v>681</v>
      </c>
      <c r="D1976" s="247" t="s">
        <v>675</v>
      </c>
      <c r="E1976" s="372">
        <v>3.5000000000000003E-2</v>
      </c>
      <c r="F1976" s="360">
        <f>'UPAD-BAHAN-ALAT'!$I$15</f>
        <v>150000</v>
      </c>
      <c r="G1976" s="248">
        <f>F1976*E1976</f>
        <v>5250.0000000000009</v>
      </c>
    </row>
    <row r="1977" spans="1:8">
      <c r="A1977" s="247"/>
      <c r="B1977" s="410" t="s">
        <v>683</v>
      </c>
      <c r="C1977" s="247" t="s">
        <v>684</v>
      </c>
      <c r="D1977" s="247" t="s">
        <v>675</v>
      </c>
      <c r="E1977" s="372">
        <v>1.7999999999999999E-2</v>
      </c>
      <c r="F1977" s="360">
        <f>'UPAD-BAHAN-ALAT'!$I$14</f>
        <v>140000</v>
      </c>
      <c r="G1977" s="248">
        <f>F1977*E1977</f>
        <v>2520</v>
      </c>
    </row>
    <row r="1978" spans="1:8">
      <c r="A1978" s="247"/>
      <c r="B1978" s="410"/>
      <c r="C1978" s="247"/>
      <c r="D1978" s="247"/>
      <c r="E1978" s="1146" t="s">
        <v>685</v>
      </c>
      <c r="F1978" s="1146"/>
      <c r="G1978" s="248">
        <f>SUM(G1974:G1977)</f>
        <v>95270</v>
      </c>
    </row>
    <row r="1979" spans="1:8">
      <c r="A1979" s="294" t="s">
        <v>686</v>
      </c>
      <c r="B1979" s="411" t="s">
        <v>687</v>
      </c>
      <c r="C1979" s="247"/>
      <c r="D1979" s="247"/>
      <c r="E1979" s="372"/>
      <c r="F1979" s="360"/>
      <c r="G1979" s="248"/>
    </row>
    <row r="1980" spans="1:8">
      <c r="A1980" s="247"/>
      <c r="B1980" s="256" t="s">
        <v>4016</v>
      </c>
      <c r="C1980" s="247"/>
      <c r="D1980" s="247" t="s">
        <v>4015</v>
      </c>
      <c r="E1980" s="372">
        <v>1</v>
      </c>
      <c r="F1980" s="360">
        <f>'UPAD-BAHAN-ALAT'!$I$149</f>
        <v>165000</v>
      </c>
      <c r="G1980" s="248">
        <f>F1980*E1980</f>
        <v>165000</v>
      </c>
    </row>
    <row r="1981" spans="1:8">
      <c r="A1981" s="247"/>
      <c r="B1981" s="295"/>
      <c r="C1981" s="296"/>
      <c r="D1981" s="296"/>
      <c r="E1981" s="1146" t="s">
        <v>702</v>
      </c>
      <c r="F1981" s="1146"/>
      <c r="G1981" s="248">
        <f>SUM(G1980)</f>
        <v>165000</v>
      </c>
    </row>
    <row r="1982" spans="1:8" s="265" customFormat="1">
      <c r="A1982" s="294" t="s">
        <v>703</v>
      </c>
      <c r="B1982" s="1147" t="s">
        <v>3910</v>
      </c>
      <c r="C1982" s="1147"/>
      <c r="D1982" s="1147"/>
      <c r="E1982" s="1147"/>
      <c r="F1982" s="1147"/>
      <c r="G1982" s="255">
        <f>G1978+G1981</f>
        <v>260270</v>
      </c>
    </row>
    <row r="1983" spans="1:8" s="265" customFormat="1">
      <c r="A1983" s="294" t="s">
        <v>706</v>
      </c>
      <c r="B1983" s="1148" t="s">
        <v>876</v>
      </c>
      <c r="C1983" s="1148"/>
      <c r="D1983" s="1148"/>
      <c r="E1983" s="1147" t="s">
        <v>4030</v>
      </c>
      <c r="F1983" s="1147"/>
      <c r="G1983" s="255">
        <f>G1982*0.15</f>
        <v>39040.5</v>
      </c>
    </row>
    <row r="1984" spans="1:8" s="265" customFormat="1">
      <c r="A1984" s="294" t="s">
        <v>708</v>
      </c>
      <c r="B1984" s="1149" t="s">
        <v>3911</v>
      </c>
      <c r="C1984" s="1149"/>
      <c r="D1984" s="1149"/>
      <c r="E1984" s="1149"/>
      <c r="F1984" s="1149"/>
      <c r="G1984" s="255">
        <f>ROUND(SUM(G1982:G1983),2)</f>
        <v>299310.5</v>
      </c>
      <c r="H1984" s="255">
        <f>SUM(G1982:G1983)</f>
        <v>299310.5</v>
      </c>
    </row>
    <row r="1985" spans="1:8">
      <c r="A1985" s="268"/>
      <c r="B1985" s="269"/>
      <c r="C1985" s="268"/>
      <c r="D1985" s="268"/>
      <c r="E1985" s="380"/>
      <c r="F1985" s="365"/>
      <c r="G1985" s="270"/>
    </row>
    <row r="1986" spans="1:8">
      <c r="A1986" s="285" t="s">
        <v>4135</v>
      </c>
      <c r="B1986" s="250" t="s">
        <v>2879</v>
      </c>
      <c r="C1986" s="252"/>
      <c r="D1986" s="252"/>
      <c r="E1986" s="374"/>
      <c r="F1986" s="361"/>
      <c r="G1986" s="253"/>
    </row>
    <row r="1987" spans="1:8" s="292" customFormat="1" ht="24.95" customHeight="1">
      <c r="A1987" s="290" t="s">
        <v>1003</v>
      </c>
      <c r="B1987" s="290" t="s">
        <v>1004</v>
      </c>
      <c r="C1987" s="290" t="s">
        <v>1005</v>
      </c>
      <c r="D1987" s="290" t="s">
        <v>1006</v>
      </c>
      <c r="E1987" s="373" t="s">
        <v>1007</v>
      </c>
      <c r="F1987" s="363" t="s">
        <v>2637</v>
      </c>
      <c r="G1987" s="291" t="s">
        <v>2638</v>
      </c>
    </row>
    <row r="1988" spans="1:8">
      <c r="A1988" s="294" t="s">
        <v>671</v>
      </c>
      <c r="B1988" s="411" t="s">
        <v>672</v>
      </c>
      <c r="C1988" s="247"/>
      <c r="D1988" s="247"/>
      <c r="E1988" s="372"/>
      <c r="F1988" s="360"/>
      <c r="G1988" s="248"/>
    </row>
    <row r="1989" spans="1:8">
      <c r="A1989" s="247"/>
      <c r="B1989" s="410" t="s">
        <v>673</v>
      </c>
      <c r="C1989" s="247" t="s">
        <v>674</v>
      </c>
      <c r="D1989" s="247" t="s">
        <v>675</v>
      </c>
      <c r="E1989" s="372">
        <v>1.67</v>
      </c>
      <c r="F1989" s="360">
        <f>'UPAD-BAHAN-ALAT'!$I$12</f>
        <v>110000</v>
      </c>
      <c r="G1989" s="248">
        <f>F1989*E1989</f>
        <v>183700</v>
      </c>
    </row>
    <row r="1990" spans="1:8">
      <c r="A1990" s="247"/>
      <c r="B1990" s="410" t="s">
        <v>986</v>
      </c>
      <c r="C1990" s="247" t="s">
        <v>678</v>
      </c>
      <c r="D1990" s="247" t="s">
        <v>675</v>
      </c>
      <c r="E1990" s="372">
        <v>1.67</v>
      </c>
      <c r="F1990" s="360">
        <f>'UPAD-BAHAN-ALAT'!$I$13</f>
        <v>140000</v>
      </c>
      <c r="G1990" s="248">
        <f>F1990*E1990</f>
        <v>233800</v>
      </c>
    </row>
    <row r="1991" spans="1:8">
      <c r="A1991" s="247"/>
      <c r="B1991" s="410" t="s">
        <v>751</v>
      </c>
      <c r="C1991" s="247" t="s">
        <v>681</v>
      </c>
      <c r="D1991" s="247" t="s">
        <v>675</v>
      </c>
      <c r="E1991" s="372">
        <v>0.16700000000000001</v>
      </c>
      <c r="F1991" s="360">
        <f>'UPAD-BAHAN-ALAT'!$I$15</f>
        <v>150000</v>
      </c>
      <c r="G1991" s="248">
        <f>F1991*E1991</f>
        <v>25050</v>
      </c>
    </row>
    <row r="1992" spans="1:8">
      <c r="A1992" s="247"/>
      <c r="B1992" s="410" t="s">
        <v>683</v>
      </c>
      <c r="C1992" s="247" t="s">
        <v>684</v>
      </c>
      <c r="D1992" s="247" t="s">
        <v>675</v>
      </c>
      <c r="E1992" s="372">
        <v>8.3000000000000004E-2</v>
      </c>
      <c r="F1992" s="360">
        <f>'UPAD-BAHAN-ALAT'!$I$14</f>
        <v>140000</v>
      </c>
      <c r="G1992" s="248">
        <f>F1992*E1992</f>
        <v>11620</v>
      </c>
    </row>
    <row r="1993" spans="1:8">
      <c r="A1993" s="247"/>
      <c r="B1993" s="410"/>
      <c r="C1993" s="247"/>
      <c r="D1993" s="247"/>
      <c r="E1993" s="1146" t="s">
        <v>685</v>
      </c>
      <c r="F1993" s="1146"/>
      <c r="G1993" s="248">
        <f>SUM(G1989:G1992)</f>
        <v>454170</v>
      </c>
    </row>
    <row r="1994" spans="1:8">
      <c r="A1994" s="294" t="s">
        <v>686</v>
      </c>
      <c r="B1994" s="411" t="s">
        <v>687</v>
      </c>
      <c r="C1994" s="247"/>
      <c r="D1994" s="247"/>
      <c r="E1994" s="372"/>
      <c r="F1994" s="360"/>
      <c r="G1994" s="248"/>
    </row>
    <row r="1995" spans="1:8">
      <c r="A1995" s="247"/>
      <c r="B1995" s="410" t="s">
        <v>736</v>
      </c>
      <c r="C1995" s="247"/>
      <c r="D1995" s="247" t="s">
        <v>773</v>
      </c>
      <c r="E1995" s="372">
        <v>6.1769999999999996</v>
      </c>
      <c r="F1995" s="360">
        <f>'UPAD-BAHAN-ALAT'!$I$116</f>
        <v>15750</v>
      </c>
      <c r="G1995" s="248">
        <f>F1995*E1995</f>
        <v>97287.75</v>
      </c>
    </row>
    <row r="1996" spans="1:8">
      <c r="A1996" s="247"/>
      <c r="B1996" s="410" t="s">
        <v>3636</v>
      </c>
      <c r="C1996" s="247"/>
      <c r="D1996" s="247" t="s">
        <v>959</v>
      </c>
      <c r="E1996" s="372">
        <v>27.08</v>
      </c>
      <c r="F1996" s="360">
        <f>F1789</f>
        <v>4491</v>
      </c>
      <c r="G1996" s="248">
        <f>F1996*E1996</f>
        <v>121616.28</v>
      </c>
    </row>
    <row r="1997" spans="1:8">
      <c r="A1997" s="247"/>
      <c r="B1997" s="295"/>
      <c r="C1997" s="296"/>
      <c r="D1997" s="296"/>
      <c r="E1997" s="1146" t="s">
        <v>702</v>
      </c>
      <c r="F1997" s="1146"/>
      <c r="G1997" s="248">
        <f>SUM(G1995:G1996)</f>
        <v>218904.03</v>
      </c>
    </row>
    <row r="1998" spans="1:8" s="265" customFormat="1">
      <c r="A1998" s="294" t="s">
        <v>703</v>
      </c>
      <c r="B1998" s="1147" t="s">
        <v>3910</v>
      </c>
      <c r="C1998" s="1147"/>
      <c r="D1998" s="1147"/>
      <c r="E1998" s="1147"/>
      <c r="F1998" s="1147"/>
      <c r="G1998" s="255">
        <f>G1993+G1997</f>
        <v>673074.03</v>
      </c>
    </row>
    <row r="1999" spans="1:8" s="265" customFormat="1">
      <c r="A1999" s="294" t="s">
        <v>706</v>
      </c>
      <c r="B1999" s="1148" t="s">
        <v>876</v>
      </c>
      <c r="C1999" s="1148"/>
      <c r="D1999" s="1148"/>
      <c r="E1999" s="1147" t="s">
        <v>4030</v>
      </c>
      <c r="F1999" s="1147"/>
      <c r="G1999" s="255">
        <f>G1998*0.15</f>
        <v>100961.1045</v>
      </c>
    </row>
    <row r="2000" spans="1:8" s="265" customFormat="1">
      <c r="A2000" s="294" t="s">
        <v>708</v>
      </c>
      <c r="B2000" s="1149" t="s">
        <v>3911</v>
      </c>
      <c r="C2000" s="1149"/>
      <c r="D2000" s="1149"/>
      <c r="E2000" s="1149"/>
      <c r="F2000" s="1149"/>
      <c r="G2000" s="255">
        <f>ROUND(SUM(G1998:G1999),2)</f>
        <v>774035.13</v>
      </c>
      <c r="H2000" s="255">
        <f>SUM(G1998:G1999)</f>
        <v>774035.13450000004</v>
      </c>
    </row>
    <row r="2002" spans="1:7">
      <c r="A2002" s="286" t="s">
        <v>4136</v>
      </c>
      <c r="B2002" s="265" t="s">
        <v>2880</v>
      </c>
    </row>
    <row r="2003" spans="1:7" s="292" customFormat="1" ht="24.95" customHeight="1">
      <c r="A2003" s="290" t="s">
        <v>1003</v>
      </c>
      <c r="B2003" s="290" t="s">
        <v>1004</v>
      </c>
      <c r="C2003" s="290" t="s">
        <v>1005</v>
      </c>
      <c r="D2003" s="290" t="s">
        <v>1006</v>
      </c>
      <c r="E2003" s="379" t="s">
        <v>1007</v>
      </c>
      <c r="F2003" s="363" t="s">
        <v>2637</v>
      </c>
      <c r="G2003" s="291" t="s">
        <v>2638</v>
      </c>
    </row>
    <row r="2004" spans="1:7">
      <c r="A2004" s="294" t="s">
        <v>671</v>
      </c>
      <c r="B2004" s="411" t="s">
        <v>672</v>
      </c>
      <c r="C2004" s="247"/>
      <c r="D2004" s="247"/>
      <c r="E2004" s="428"/>
      <c r="F2004" s="360"/>
      <c r="G2004" s="248"/>
    </row>
    <row r="2005" spans="1:7">
      <c r="A2005" s="247"/>
      <c r="B2005" s="410" t="s">
        <v>673</v>
      </c>
      <c r="C2005" s="247" t="s">
        <v>674</v>
      </c>
      <c r="D2005" s="247" t="s">
        <v>675</v>
      </c>
      <c r="E2005" s="428">
        <v>0.1</v>
      </c>
      <c r="F2005" s="360">
        <f>'UPAD-BAHAN-ALAT'!$I$12</f>
        <v>110000</v>
      </c>
      <c r="G2005" s="248">
        <f>F2005*E2005</f>
        <v>11000</v>
      </c>
    </row>
    <row r="2006" spans="1:7">
      <c r="A2006" s="247"/>
      <c r="B2006" s="410" t="s">
        <v>782</v>
      </c>
      <c r="C2006" s="247" t="s">
        <v>678</v>
      </c>
      <c r="D2006" s="247" t="s">
        <v>675</v>
      </c>
      <c r="E2006" s="428">
        <v>0.1</v>
      </c>
      <c r="F2006" s="360">
        <f>'UPAD-BAHAN-ALAT'!$I$13</f>
        <v>140000</v>
      </c>
      <c r="G2006" s="248">
        <f>F2006*E2006</f>
        <v>14000</v>
      </c>
    </row>
    <row r="2007" spans="1:7">
      <c r="A2007" s="247"/>
      <c r="B2007" s="410" t="s">
        <v>751</v>
      </c>
      <c r="C2007" s="247" t="s">
        <v>681</v>
      </c>
      <c r="D2007" s="247" t="s">
        <v>675</v>
      </c>
      <c r="E2007" s="428">
        <v>0.01</v>
      </c>
      <c r="F2007" s="360">
        <f>'UPAD-BAHAN-ALAT'!$I$15</f>
        <v>150000</v>
      </c>
      <c r="G2007" s="248">
        <f>F2007*E2007</f>
        <v>1500</v>
      </c>
    </row>
    <row r="2008" spans="1:7">
      <c r="A2008" s="247"/>
      <c r="B2008" s="410" t="s">
        <v>683</v>
      </c>
      <c r="C2008" s="247" t="s">
        <v>684</v>
      </c>
      <c r="D2008" s="247" t="s">
        <v>675</v>
      </c>
      <c r="E2008" s="428">
        <v>5.0000000000000001E-3</v>
      </c>
      <c r="F2008" s="360">
        <f>'UPAD-BAHAN-ALAT'!$I$14</f>
        <v>140000</v>
      </c>
      <c r="G2008" s="248">
        <f>F2008*E2008</f>
        <v>700</v>
      </c>
    </row>
    <row r="2009" spans="1:7">
      <c r="A2009" s="247"/>
      <c r="B2009" s="410"/>
      <c r="C2009" s="247"/>
      <c r="D2009" s="247"/>
      <c r="E2009" s="428" t="s">
        <v>685</v>
      </c>
      <c r="F2009" s="390"/>
      <c r="G2009" s="248">
        <f>SUM(G2005:G2008)</f>
        <v>27200</v>
      </c>
    </row>
    <row r="2010" spans="1:7">
      <c r="A2010" s="294" t="s">
        <v>686</v>
      </c>
      <c r="B2010" s="411" t="s">
        <v>687</v>
      </c>
      <c r="C2010" s="247"/>
      <c r="D2010" s="247"/>
      <c r="E2010" s="428"/>
      <c r="F2010" s="360"/>
      <c r="G2010" s="248"/>
    </row>
    <row r="2011" spans="1:7">
      <c r="A2011" s="247"/>
      <c r="B2011" s="410" t="s">
        <v>3459</v>
      </c>
      <c r="C2011" s="247"/>
      <c r="D2011" s="247" t="s">
        <v>2647</v>
      </c>
      <c r="E2011" s="428">
        <v>1.1000000000000001</v>
      </c>
      <c r="F2011" s="360">
        <f>'UPAD-BAHAN-ALAT'!$I$171</f>
        <v>450000</v>
      </c>
      <c r="G2011" s="248">
        <f>F2011*E2011</f>
        <v>495000.00000000006</v>
      </c>
    </row>
    <row r="2012" spans="1:7">
      <c r="A2012" s="247"/>
      <c r="B2012" s="410" t="s">
        <v>958</v>
      </c>
      <c r="C2012" s="247"/>
      <c r="D2012" s="247" t="s">
        <v>959</v>
      </c>
      <c r="E2012" s="428">
        <v>11.11</v>
      </c>
      <c r="F2012" s="360">
        <f>$F$1996</f>
        <v>4491</v>
      </c>
      <c r="G2012" s="248">
        <f>F2012*E2012</f>
        <v>49895.009999999995</v>
      </c>
    </row>
    <row r="2013" spans="1:7">
      <c r="A2013" s="247"/>
      <c r="B2013" s="410" t="s">
        <v>2652</v>
      </c>
      <c r="C2013" s="247"/>
      <c r="D2013" s="247" t="s">
        <v>773</v>
      </c>
      <c r="E2013" s="428">
        <v>1.716</v>
      </c>
      <c r="F2013" s="360">
        <f>'UPAD-BAHAN-ALAT'!$I$116</f>
        <v>15750</v>
      </c>
      <c r="G2013" s="248">
        <f>F2013*E2013</f>
        <v>27027</v>
      </c>
    </row>
    <row r="2014" spans="1:7">
      <c r="A2014" s="247"/>
      <c r="B2014" s="410"/>
      <c r="C2014" s="247"/>
      <c r="D2014" s="247"/>
      <c r="E2014" s="428" t="s">
        <v>702</v>
      </c>
      <c r="F2014" s="390"/>
      <c r="G2014" s="248">
        <f>SUM(G2011:G2013)</f>
        <v>571922.01</v>
      </c>
    </row>
    <row r="2015" spans="1:7" s="265" customFormat="1">
      <c r="A2015" s="294" t="s">
        <v>703</v>
      </c>
      <c r="B2015" s="357" t="s">
        <v>3910</v>
      </c>
      <c r="C2015" s="610"/>
      <c r="D2015" s="610"/>
      <c r="E2015" s="611"/>
      <c r="F2015" s="612"/>
      <c r="G2015" s="255">
        <f>G2009+G2014</f>
        <v>599122.01</v>
      </c>
    </row>
    <row r="2016" spans="1:7" s="265" customFormat="1">
      <c r="A2016" s="294" t="s">
        <v>706</v>
      </c>
      <c r="B2016" s="617" t="s">
        <v>876</v>
      </c>
      <c r="C2016" s="618"/>
      <c r="D2016" s="633"/>
      <c r="E2016" s="613" t="s">
        <v>4030</v>
      </c>
      <c r="F2016" s="612"/>
      <c r="G2016" s="255">
        <f>G2015*0.15</f>
        <v>89868.301500000001</v>
      </c>
    </row>
    <row r="2017" spans="1:10" s="265" customFormat="1">
      <c r="A2017" s="294" t="s">
        <v>708</v>
      </c>
      <c r="B2017" s="1149" t="s">
        <v>3911</v>
      </c>
      <c r="C2017" s="1149"/>
      <c r="D2017" s="1149"/>
      <c r="E2017" s="1149"/>
      <c r="F2017" s="1149"/>
      <c r="G2017" s="255">
        <f>ROUND(SUM(G2015:G2016),2)</f>
        <v>688990.31</v>
      </c>
      <c r="H2017" s="255">
        <f>SUM(G2015:G2016)</f>
        <v>688990.31150000007</v>
      </c>
    </row>
    <row r="2018" spans="1:10">
      <c r="A2018" s="268"/>
      <c r="B2018" s="269"/>
      <c r="C2018" s="268"/>
      <c r="D2018" s="268"/>
      <c r="E2018" s="380"/>
      <c r="F2018" s="365"/>
      <c r="G2018" s="270"/>
    </row>
    <row r="2019" spans="1:10">
      <c r="A2019" s="284" t="s">
        <v>4137</v>
      </c>
      <c r="B2019" s="250" t="s">
        <v>2881</v>
      </c>
      <c r="C2019" s="252"/>
      <c r="D2019" s="252"/>
      <c r="E2019" s="374"/>
      <c r="F2019" s="361"/>
      <c r="G2019" s="253"/>
    </row>
    <row r="2020" spans="1:10" s="292" customFormat="1" ht="24.95" customHeight="1">
      <c r="A2020" s="290" t="s">
        <v>1003</v>
      </c>
      <c r="B2020" s="290" t="s">
        <v>1004</v>
      </c>
      <c r="C2020" s="293" t="s">
        <v>1005</v>
      </c>
      <c r="D2020" s="290" t="s">
        <v>1006</v>
      </c>
      <c r="E2020" s="373" t="s">
        <v>1007</v>
      </c>
      <c r="F2020" s="389" t="s">
        <v>2637</v>
      </c>
      <c r="G2020" s="291" t="s">
        <v>2638</v>
      </c>
    </row>
    <row r="2021" spans="1:10">
      <c r="A2021" s="294" t="s">
        <v>671</v>
      </c>
      <c r="B2021" s="411" t="s">
        <v>672</v>
      </c>
      <c r="C2021" s="283"/>
      <c r="D2021" s="247"/>
      <c r="E2021" s="372"/>
      <c r="F2021" s="390"/>
      <c r="G2021" s="248"/>
    </row>
    <row r="2022" spans="1:10">
      <c r="A2022" s="247"/>
      <c r="B2022" s="410" t="s">
        <v>673</v>
      </c>
      <c r="C2022" s="283" t="s">
        <v>674</v>
      </c>
      <c r="D2022" s="247" t="s">
        <v>675</v>
      </c>
      <c r="E2022" s="372">
        <v>0.2</v>
      </c>
      <c r="F2022" s="360">
        <f>'UPAD-BAHAN-ALAT'!$I$12</f>
        <v>110000</v>
      </c>
      <c r="G2022" s="248">
        <f>F2022*E2022</f>
        <v>22000</v>
      </c>
    </row>
    <row r="2023" spans="1:10">
      <c r="A2023" s="247"/>
      <c r="B2023" s="410" t="s">
        <v>782</v>
      </c>
      <c r="C2023" s="283" t="s">
        <v>678</v>
      </c>
      <c r="D2023" s="247" t="s">
        <v>675</v>
      </c>
      <c r="E2023" s="372">
        <v>0.2</v>
      </c>
      <c r="F2023" s="360">
        <f>'UPAD-BAHAN-ALAT'!$I$13</f>
        <v>140000</v>
      </c>
      <c r="G2023" s="248">
        <f>F2023*E2023</f>
        <v>28000</v>
      </c>
    </row>
    <row r="2024" spans="1:10">
      <c r="A2024" s="247"/>
      <c r="B2024" s="410" t="s">
        <v>751</v>
      </c>
      <c r="C2024" s="283" t="s">
        <v>681</v>
      </c>
      <c r="D2024" s="247" t="s">
        <v>675</v>
      </c>
      <c r="E2024" s="372">
        <v>0.02</v>
      </c>
      <c r="F2024" s="360">
        <f>'UPAD-BAHAN-ALAT'!$I$15</f>
        <v>150000</v>
      </c>
      <c r="G2024" s="248">
        <f>F2024*E2024</f>
        <v>3000</v>
      </c>
    </row>
    <row r="2025" spans="1:10">
      <c r="A2025" s="247"/>
      <c r="B2025" s="410" t="s">
        <v>683</v>
      </c>
      <c r="C2025" s="283" t="s">
        <v>684</v>
      </c>
      <c r="D2025" s="247" t="s">
        <v>675</v>
      </c>
      <c r="E2025" s="372">
        <v>1E-3</v>
      </c>
      <c r="F2025" s="360">
        <f>'UPAD-BAHAN-ALAT'!$I$14</f>
        <v>140000</v>
      </c>
      <c r="G2025" s="248">
        <f>F2025*E2025</f>
        <v>140</v>
      </c>
    </row>
    <row r="2026" spans="1:10">
      <c r="A2026" s="247"/>
      <c r="B2026" s="410"/>
      <c r="C2026" s="283"/>
      <c r="D2026" s="247"/>
      <c r="E2026" s="1146" t="s">
        <v>685</v>
      </c>
      <c r="F2026" s="1146"/>
      <c r="G2026" s="248">
        <f>SUM(G2022:G2025)</f>
        <v>53140</v>
      </c>
    </row>
    <row r="2027" spans="1:10">
      <c r="A2027" s="294" t="s">
        <v>686</v>
      </c>
      <c r="B2027" s="411" t="s">
        <v>687</v>
      </c>
      <c r="C2027" s="288"/>
      <c r="D2027" s="247"/>
      <c r="E2027" s="372"/>
      <c r="F2027" s="390"/>
      <c r="G2027" s="248"/>
    </row>
    <row r="2028" spans="1:10">
      <c r="A2028" s="247"/>
      <c r="B2028" s="256" t="s">
        <v>3461</v>
      </c>
      <c r="C2028" s="288"/>
      <c r="D2028" s="257" t="s">
        <v>2647</v>
      </c>
      <c r="E2028" s="375">
        <v>1.1000000000000001</v>
      </c>
      <c r="F2028" s="390">
        <f>'UPAD-BAHAN-ALAT'!$I$295</f>
        <v>185000</v>
      </c>
      <c r="G2028" s="248">
        <f>F2028*E2028</f>
        <v>203500.00000000003</v>
      </c>
    </row>
    <row r="2029" spans="1:10">
      <c r="A2029" s="247"/>
      <c r="B2029" s="256" t="s">
        <v>3460</v>
      </c>
      <c r="C2029" s="247"/>
      <c r="D2029" s="247" t="s">
        <v>971</v>
      </c>
      <c r="E2029" s="372">
        <v>10</v>
      </c>
      <c r="F2029" s="390">
        <f>'UPAD-BAHAN-ALAT'!$I$141</f>
        <v>250</v>
      </c>
      <c r="G2029" s="248">
        <f>F2029*E2029</f>
        <v>2500</v>
      </c>
      <c r="J2029" s="258"/>
    </row>
    <row r="2030" spans="1:10">
      <c r="A2030" s="247"/>
      <c r="B2030" s="410" t="s">
        <v>736</v>
      </c>
      <c r="C2030" s="247"/>
      <c r="D2030" s="247" t="s">
        <v>773</v>
      </c>
      <c r="E2030" s="372">
        <f>7*0.47</f>
        <v>3.29</v>
      </c>
      <c r="F2030" s="390">
        <f>'UPAD-BAHAN-ALAT'!$I$116</f>
        <v>15750</v>
      </c>
      <c r="G2030" s="248">
        <f>F2030*E2030</f>
        <v>51817.5</v>
      </c>
      <c r="H2030" s="259"/>
    </row>
    <row r="2031" spans="1:10">
      <c r="A2031" s="247"/>
      <c r="B2031" s="295"/>
      <c r="C2031" s="296"/>
      <c r="D2031" s="296"/>
      <c r="E2031" s="1146" t="s">
        <v>702</v>
      </c>
      <c r="F2031" s="1146"/>
      <c r="G2031" s="248">
        <f>SUM(G2028:G2030)</f>
        <v>257817.50000000003</v>
      </c>
    </row>
    <row r="2032" spans="1:10" s="265" customFormat="1">
      <c r="A2032" s="294" t="s">
        <v>703</v>
      </c>
      <c r="B2032" s="1147" t="s">
        <v>3910</v>
      </c>
      <c r="C2032" s="1147"/>
      <c r="D2032" s="1147"/>
      <c r="E2032" s="1147"/>
      <c r="F2032" s="1147"/>
      <c r="G2032" s="255">
        <f>G2026+G2031</f>
        <v>310957.5</v>
      </c>
    </row>
    <row r="2033" spans="1:8" s="265" customFormat="1">
      <c r="A2033" s="294" t="s">
        <v>706</v>
      </c>
      <c r="B2033" s="1148" t="s">
        <v>876</v>
      </c>
      <c r="C2033" s="1148"/>
      <c r="D2033" s="1148"/>
      <c r="E2033" s="1147" t="s">
        <v>4030</v>
      </c>
      <c r="F2033" s="1147"/>
      <c r="G2033" s="255">
        <f>G2032*0.15</f>
        <v>46643.625</v>
      </c>
    </row>
    <row r="2034" spans="1:8" s="265" customFormat="1">
      <c r="A2034" s="294" t="s">
        <v>708</v>
      </c>
      <c r="B2034" s="1149" t="s">
        <v>3911</v>
      </c>
      <c r="C2034" s="1149"/>
      <c r="D2034" s="1149"/>
      <c r="E2034" s="1149"/>
      <c r="F2034" s="1149"/>
      <c r="G2034" s="255">
        <f>ROUND(SUM(G2032:G2033),2)</f>
        <v>357601.13</v>
      </c>
      <c r="H2034" s="255">
        <f>SUM(G2032:G2033)</f>
        <v>357601.125</v>
      </c>
    </row>
    <row r="2035" spans="1:8">
      <c r="H2035" s="262"/>
    </row>
    <row r="2036" spans="1:8">
      <c r="A2036" s="286" t="s">
        <v>4138</v>
      </c>
      <c r="B2036" s="265" t="s">
        <v>2882</v>
      </c>
    </row>
    <row r="2037" spans="1:8" s="292" customFormat="1" ht="24.95" customHeight="1">
      <c r="A2037" s="290" t="s">
        <v>1003</v>
      </c>
      <c r="B2037" s="290" t="s">
        <v>1004</v>
      </c>
      <c r="C2037" s="290" t="s">
        <v>1005</v>
      </c>
      <c r="D2037" s="290" t="s">
        <v>1006</v>
      </c>
      <c r="E2037" s="373" t="s">
        <v>1007</v>
      </c>
      <c r="F2037" s="363" t="s">
        <v>2637</v>
      </c>
      <c r="G2037" s="291" t="s">
        <v>2638</v>
      </c>
    </row>
    <row r="2038" spans="1:8">
      <c r="A2038" s="294" t="s">
        <v>671</v>
      </c>
      <c r="B2038" s="411" t="s">
        <v>672</v>
      </c>
      <c r="C2038" s="247"/>
      <c r="D2038" s="247"/>
      <c r="E2038" s="372"/>
      <c r="F2038" s="360"/>
      <c r="G2038" s="248"/>
    </row>
    <row r="2039" spans="1:8">
      <c r="A2039" s="247"/>
      <c r="B2039" s="410" t="s">
        <v>673</v>
      </c>
      <c r="C2039" s="247" t="s">
        <v>674</v>
      </c>
      <c r="D2039" s="247" t="s">
        <v>675</v>
      </c>
      <c r="E2039" s="372">
        <v>0.2</v>
      </c>
      <c r="F2039" s="360">
        <f>'UPAD-BAHAN-ALAT'!$I$12</f>
        <v>110000</v>
      </c>
      <c r="G2039" s="248">
        <f>F2039*E2039</f>
        <v>22000</v>
      </c>
    </row>
    <row r="2040" spans="1:8">
      <c r="A2040" s="247"/>
      <c r="B2040" s="410" t="s">
        <v>782</v>
      </c>
      <c r="C2040" s="247" t="s">
        <v>678</v>
      </c>
      <c r="D2040" s="247" t="s">
        <v>675</v>
      </c>
      <c r="E2040" s="372">
        <v>0.2</v>
      </c>
      <c r="F2040" s="360">
        <f>'UPAD-BAHAN-ALAT'!$I$13</f>
        <v>140000</v>
      </c>
      <c r="G2040" s="248">
        <f>F2040*E2040</f>
        <v>28000</v>
      </c>
    </row>
    <row r="2041" spans="1:8">
      <c r="A2041" s="247"/>
      <c r="B2041" s="410" t="s">
        <v>751</v>
      </c>
      <c r="C2041" s="247" t="s">
        <v>681</v>
      </c>
      <c r="D2041" s="247" t="s">
        <v>675</v>
      </c>
      <c r="E2041" s="372">
        <v>0.02</v>
      </c>
      <c r="F2041" s="360">
        <f>'UPAD-BAHAN-ALAT'!$I$15</f>
        <v>150000</v>
      </c>
      <c r="G2041" s="248">
        <f>F2041*E2041</f>
        <v>3000</v>
      </c>
    </row>
    <row r="2042" spans="1:8">
      <c r="A2042" s="247"/>
      <c r="B2042" s="410" t="s">
        <v>683</v>
      </c>
      <c r="C2042" s="247" t="s">
        <v>684</v>
      </c>
      <c r="D2042" s="247" t="s">
        <v>675</v>
      </c>
      <c r="E2042" s="372">
        <v>1E-3</v>
      </c>
      <c r="F2042" s="360">
        <f>'UPAD-BAHAN-ALAT'!$I$14</f>
        <v>140000</v>
      </c>
      <c r="G2042" s="248">
        <f>F2042*E2042</f>
        <v>140</v>
      </c>
    </row>
    <row r="2043" spans="1:8">
      <c r="A2043" s="247"/>
      <c r="B2043" s="410"/>
      <c r="C2043" s="247"/>
      <c r="D2043" s="247"/>
      <c r="E2043" s="1146" t="s">
        <v>685</v>
      </c>
      <c r="F2043" s="1146"/>
      <c r="G2043" s="248">
        <f>SUM(G2039:G2042)</f>
        <v>53140</v>
      </c>
    </row>
    <row r="2044" spans="1:8">
      <c r="A2044" s="294" t="s">
        <v>686</v>
      </c>
      <c r="B2044" s="411" t="s">
        <v>687</v>
      </c>
      <c r="C2044" s="247"/>
      <c r="D2044" s="247"/>
      <c r="E2044" s="372"/>
      <c r="F2044" s="360"/>
      <c r="G2044" s="248"/>
    </row>
    <row r="2045" spans="1:8">
      <c r="A2045" s="247"/>
      <c r="B2045" s="410" t="s">
        <v>745</v>
      </c>
      <c r="C2045" s="247"/>
      <c r="D2045" s="247" t="s">
        <v>853</v>
      </c>
      <c r="E2045" s="372">
        <v>1.05</v>
      </c>
      <c r="F2045" s="360">
        <f>'UPAD-BAHAN-ALAT'!$I$321</f>
        <v>91800</v>
      </c>
      <c r="G2045" s="248">
        <f>F2045*E2045</f>
        <v>96390</v>
      </c>
    </row>
    <row r="2046" spans="1:8">
      <c r="A2046" s="247"/>
      <c r="B2046" s="410" t="s">
        <v>2653</v>
      </c>
      <c r="C2046" s="247"/>
      <c r="D2046" s="247" t="s">
        <v>773</v>
      </c>
      <c r="E2046" s="372">
        <v>1.4999999999999999E-2</v>
      </c>
      <c r="F2046" s="360">
        <f>'UPAD-BAHAN-ALAT'!$I$139</f>
        <v>21000</v>
      </c>
      <c r="G2046" s="248">
        <f>F2046*E2046</f>
        <v>315</v>
      </c>
    </row>
    <row r="2047" spans="1:8">
      <c r="A2047" s="247"/>
      <c r="B2047" s="256" t="s">
        <v>3538</v>
      </c>
      <c r="C2047" s="247"/>
      <c r="D2047" s="294" t="s">
        <v>2646</v>
      </c>
      <c r="E2047" s="372">
        <v>1.9E-2</v>
      </c>
      <c r="F2047" s="360">
        <f>'UPAD-BAHAN-ALAT'!$I$96</f>
        <v>3465000</v>
      </c>
      <c r="G2047" s="248">
        <f>F2047*E2047</f>
        <v>65835</v>
      </c>
    </row>
    <row r="2048" spans="1:8">
      <c r="A2048" s="247"/>
      <c r="B2048" s="295"/>
      <c r="C2048" s="296"/>
      <c r="D2048" s="296"/>
      <c r="E2048" s="1146" t="s">
        <v>702</v>
      </c>
      <c r="F2048" s="1146"/>
      <c r="G2048" s="248">
        <f>SUM(G2045:G2047)</f>
        <v>162540</v>
      </c>
    </row>
    <row r="2049" spans="1:8" s="265" customFormat="1">
      <c r="A2049" s="294" t="s">
        <v>703</v>
      </c>
      <c r="B2049" s="1147" t="s">
        <v>3910</v>
      </c>
      <c r="C2049" s="1147"/>
      <c r="D2049" s="1147"/>
      <c r="E2049" s="1147"/>
      <c r="F2049" s="1147"/>
      <c r="G2049" s="255">
        <f>G2043+G2048</f>
        <v>215680</v>
      </c>
    </row>
    <row r="2050" spans="1:8" s="265" customFormat="1">
      <c r="A2050" s="294" t="s">
        <v>706</v>
      </c>
      <c r="B2050" s="1148" t="s">
        <v>876</v>
      </c>
      <c r="C2050" s="1148"/>
      <c r="D2050" s="1148"/>
      <c r="E2050" s="1147" t="s">
        <v>4030</v>
      </c>
      <c r="F2050" s="1147"/>
      <c r="G2050" s="255">
        <f>G2049*0.15</f>
        <v>32352</v>
      </c>
    </row>
    <row r="2051" spans="1:8" s="265" customFormat="1">
      <c r="A2051" s="294" t="s">
        <v>708</v>
      </c>
      <c r="B2051" s="1149" t="s">
        <v>3911</v>
      </c>
      <c r="C2051" s="1149"/>
      <c r="D2051" s="1149"/>
      <c r="E2051" s="1149"/>
      <c r="F2051" s="1149"/>
      <c r="G2051" s="255">
        <f>ROUND(SUM(G2049:G2050),2)</f>
        <v>248032</v>
      </c>
      <c r="H2051" s="255">
        <f>SUM(G2049:G2050)</f>
        <v>248032</v>
      </c>
    </row>
    <row r="2052" spans="1:8">
      <c r="A2052" s="268"/>
      <c r="B2052" s="269"/>
      <c r="C2052" s="268"/>
      <c r="D2052" s="268"/>
      <c r="E2052" s="380"/>
      <c r="F2052" s="365"/>
      <c r="G2052" s="270"/>
    </row>
    <row r="2053" spans="1:8">
      <c r="A2053" s="285" t="s">
        <v>4139</v>
      </c>
      <c r="B2053" s="250" t="s">
        <v>2883</v>
      </c>
      <c r="C2053" s="252"/>
      <c r="D2053" s="252"/>
      <c r="E2053" s="374"/>
      <c r="F2053" s="361"/>
      <c r="G2053" s="253"/>
    </row>
    <row r="2054" spans="1:8" s="292" customFormat="1" ht="24.95" customHeight="1">
      <c r="A2054" s="290" t="s">
        <v>1003</v>
      </c>
      <c r="B2054" s="290" t="s">
        <v>1004</v>
      </c>
      <c r="C2054" s="290" t="s">
        <v>1005</v>
      </c>
      <c r="D2054" s="290" t="s">
        <v>1006</v>
      </c>
      <c r="E2054" s="373" t="s">
        <v>1007</v>
      </c>
      <c r="F2054" s="363" t="s">
        <v>2637</v>
      </c>
      <c r="G2054" s="291" t="s">
        <v>2638</v>
      </c>
    </row>
    <row r="2055" spans="1:8">
      <c r="A2055" s="294" t="s">
        <v>671</v>
      </c>
      <c r="B2055" s="411" t="s">
        <v>672</v>
      </c>
      <c r="C2055" s="247"/>
      <c r="D2055" s="247"/>
      <c r="E2055" s="372"/>
      <c r="F2055" s="360"/>
      <c r="G2055" s="248"/>
    </row>
    <row r="2056" spans="1:8">
      <c r="A2056" s="247"/>
      <c r="B2056" s="410" t="s">
        <v>673</v>
      </c>
      <c r="C2056" s="247" t="s">
        <v>674</v>
      </c>
      <c r="D2056" s="247" t="s">
        <v>675</v>
      </c>
      <c r="E2056" s="372">
        <v>0.15</v>
      </c>
      <c r="F2056" s="360">
        <f>'UPAD-BAHAN-ALAT'!$I$12</f>
        <v>110000</v>
      </c>
      <c r="G2056" s="248">
        <f>F2056*E2056</f>
        <v>16500</v>
      </c>
    </row>
    <row r="2057" spans="1:8">
      <c r="A2057" s="247"/>
      <c r="B2057" s="410" t="s">
        <v>782</v>
      </c>
      <c r="C2057" s="247" t="s">
        <v>678</v>
      </c>
      <c r="D2057" s="247" t="s">
        <v>675</v>
      </c>
      <c r="E2057" s="372">
        <v>0.3</v>
      </c>
      <c r="F2057" s="360">
        <f>'UPAD-BAHAN-ALAT'!$I$13</f>
        <v>140000</v>
      </c>
      <c r="G2057" s="248">
        <f>F2057*E2057</f>
        <v>42000</v>
      </c>
    </row>
    <row r="2058" spans="1:8">
      <c r="A2058" s="247"/>
      <c r="B2058" s="410" t="s">
        <v>751</v>
      </c>
      <c r="C2058" s="247" t="s">
        <v>681</v>
      </c>
      <c r="D2058" s="247" t="s">
        <v>675</v>
      </c>
      <c r="E2058" s="372">
        <v>0.03</v>
      </c>
      <c r="F2058" s="360">
        <f>'UPAD-BAHAN-ALAT'!$I$15</f>
        <v>150000</v>
      </c>
      <c r="G2058" s="248">
        <f>F2058*E2058</f>
        <v>4500</v>
      </c>
    </row>
    <row r="2059" spans="1:8">
      <c r="A2059" s="247"/>
      <c r="B2059" s="410" t="s">
        <v>683</v>
      </c>
      <c r="C2059" s="247" t="s">
        <v>684</v>
      </c>
      <c r="D2059" s="247" t="s">
        <v>675</v>
      </c>
      <c r="E2059" s="372">
        <v>8.0000000000000002E-3</v>
      </c>
      <c r="F2059" s="360">
        <f>'UPAD-BAHAN-ALAT'!$I$14</f>
        <v>140000</v>
      </c>
      <c r="G2059" s="248">
        <f>F2059*E2059</f>
        <v>1120</v>
      </c>
    </row>
    <row r="2060" spans="1:8">
      <c r="A2060" s="247"/>
      <c r="B2060" s="410"/>
      <c r="C2060" s="247"/>
      <c r="D2060" s="247"/>
      <c r="E2060" s="1146" t="s">
        <v>685</v>
      </c>
      <c r="F2060" s="1146"/>
      <c r="G2060" s="248">
        <f>SUM(G2056:G2059)</f>
        <v>64120</v>
      </c>
    </row>
    <row r="2061" spans="1:8">
      <c r="A2061" s="294" t="s">
        <v>686</v>
      </c>
      <c r="B2061" s="411" t="s">
        <v>687</v>
      </c>
      <c r="C2061" s="247"/>
      <c r="D2061" s="247"/>
      <c r="E2061" s="372"/>
      <c r="F2061" s="360"/>
      <c r="G2061" s="248"/>
    </row>
    <row r="2062" spans="1:8">
      <c r="A2062" s="247"/>
      <c r="B2062" s="410" t="s">
        <v>745</v>
      </c>
      <c r="C2062" s="247"/>
      <c r="D2062" s="247" t="s">
        <v>853</v>
      </c>
      <c r="E2062" s="372">
        <v>1.05</v>
      </c>
      <c r="F2062" s="360">
        <f>'UPAD-BAHAN-ALAT'!$I$321</f>
        <v>91800</v>
      </c>
      <c r="G2062" s="248">
        <f>F2062*E2062</f>
        <v>96390</v>
      </c>
    </row>
    <row r="2063" spans="1:8">
      <c r="A2063" s="247"/>
      <c r="B2063" s="410" t="s">
        <v>2654</v>
      </c>
      <c r="C2063" s="247"/>
      <c r="D2063" s="247" t="s">
        <v>773</v>
      </c>
      <c r="E2063" s="372">
        <v>0.01</v>
      </c>
      <c r="F2063" s="360">
        <f>'UPAD-BAHAN-ALAT'!$I$139</f>
        <v>21000</v>
      </c>
      <c r="G2063" s="248">
        <f>F2063*E2063</f>
        <v>210</v>
      </c>
    </row>
    <row r="2064" spans="1:8">
      <c r="A2064" s="247"/>
      <c r="B2064" s="410" t="s">
        <v>736</v>
      </c>
      <c r="C2064" s="247"/>
      <c r="D2064" s="247" t="s">
        <v>773</v>
      </c>
      <c r="E2064" s="372">
        <v>0.5</v>
      </c>
      <c r="F2064" s="360">
        <f>'UPAD-BAHAN-ALAT'!$I$116</f>
        <v>15750</v>
      </c>
      <c r="G2064" s="248">
        <f>F2064*E2064</f>
        <v>7875</v>
      </c>
    </row>
    <row r="2065" spans="1:8">
      <c r="A2065" s="247"/>
      <c r="B2065" s="295"/>
      <c r="C2065" s="296"/>
      <c r="D2065" s="296"/>
      <c r="E2065" s="1146" t="s">
        <v>702</v>
      </c>
      <c r="F2065" s="1146"/>
      <c r="G2065" s="248">
        <f>SUM(G2062:G2064)</f>
        <v>104475</v>
      </c>
    </row>
    <row r="2066" spans="1:8" s="265" customFormat="1">
      <c r="A2066" s="294" t="s">
        <v>703</v>
      </c>
      <c r="B2066" s="1147" t="s">
        <v>3910</v>
      </c>
      <c r="C2066" s="1147"/>
      <c r="D2066" s="1147"/>
      <c r="E2066" s="1147"/>
      <c r="F2066" s="1147"/>
      <c r="G2066" s="255">
        <f>G2060+G2065</f>
        <v>168595</v>
      </c>
    </row>
    <row r="2067" spans="1:8" s="265" customFormat="1">
      <c r="A2067" s="294" t="s">
        <v>706</v>
      </c>
      <c r="B2067" s="1148" t="s">
        <v>876</v>
      </c>
      <c r="C2067" s="1148"/>
      <c r="D2067" s="1148"/>
      <c r="E2067" s="1147" t="s">
        <v>4030</v>
      </c>
      <c r="F2067" s="1147"/>
      <c r="G2067" s="255">
        <f>G2066*0.15</f>
        <v>25289.25</v>
      </c>
    </row>
    <row r="2068" spans="1:8" s="265" customFormat="1">
      <c r="A2068" s="294" t="s">
        <v>708</v>
      </c>
      <c r="B2068" s="1149" t="s">
        <v>3911</v>
      </c>
      <c r="C2068" s="1149"/>
      <c r="D2068" s="1149"/>
      <c r="E2068" s="1149"/>
      <c r="F2068" s="1149"/>
      <c r="G2068" s="255">
        <f>ROUND(SUM(G2066:G2067),2)</f>
        <v>193884.25</v>
      </c>
      <c r="H2068" s="255">
        <f>SUM(G2066:G2067)</f>
        <v>193884.25</v>
      </c>
    </row>
    <row r="2070" spans="1:8">
      <c r="A2070" s="286" t="s">
        <v>4140</v>
      </c>
      <c r="B2070" s="265" t="s">
        <v>4520</v>
      </c>
    </row>
    <row r="2071" spans="1:8" s="292" customFormat="1" ht="24.95" customHeight="1">
      <c r="A2071" s="298" t="s">
        <v>1003</v>
      </c>
      <c r="B2071" s="298" t="s">
        <v>1004</v>
      </c>
      <c r="C2071" s="298" t="s">
        <v>1005</v>
      </c>
      <c r="D2071" s="298" t="s">
        <v>1006</v>
      </c>
      <c r="E2071" s="377" t="s">
        <v>1007</v>
      </c>
      <c r="F2071" s="363" t="s">
        <v>2637</v>
      </c>
      <c r="G2071" s="291" t="s">
        <v>2638</v>
      </c>
    </row>
    <row r="2072" spans="1:8">
      <c r="A2072" s="294" t="s">
        <v>671</v>
      </c>
      <c r="B2072" s="411" t="s">
        <v>672</v>
      </c>
      <c r="C2072" s="247"/>
      <c r="D2072" s="247"/>
      <c r="E2072" s="372"/>
      <c r="F2072" s="360"/>
      <c r="G2072" s="248"/>
    </row>
    <row r="2073" spans="1:8">
      <c r="A2073" s="247"/>
      <c r="B2073" s="410" t="s">
        <v>673</v>
      </c>
      <c r="C2073" s="247" t="s">
        <v>674</v>
      </c>
      <c r="D2073" s="247" t="s">
        <v>675</v>
      </c>
      <c r="E2073" s="372">
        <v>0.25</v>
      </c>
      <c r="F2073" s="360">
        <f>'UPAD-BAHAN-ALAT'!$I$12</f>
        <v>110000</v>
      </c>
      <c r="G2073" s="248">
        <f>F2073*E2073</f>
        <v>27500</v>
      </c>
    </row>
    <row r="2074" spans="1:8">
      <c r="A2074" s="247"/>
      <c r="B2074" s="410" t="s">
        <v>855</v>
      </c>
      <c r="C2074" s="247" t="s">
        <v>678</v>
      </c>
      <c r="D2074" s="247" t="s">
        <v>675</v>
      </c>
      <c r="E2074" s="372">
        <v>0.25</v>
      </c>
      <c r="F2074" s="360">
        <f>'UPAD-BAHAN-ALAT'!$I$13</f>
        <v>140000</v>
      </c>
      <c r="G2074" s="248">
        <f>F2074*E2074</f>
        <v>35000</v>
      </c>
    </row>
    <row r="2075" spans="1:8">
      <c r="A2075" s="247"/>
      <c r="B2075" s="410" t="s">
        <v>680</v>
      </c>
      <c r="C2075" s="247" t="s">
        <v>681</v>
      </c>
      <c r="D2075" s="247" t="s">
        <v>675</v>
      </c>
      <c r="E2075" s="372">
        <v>2.5000000000000001E-2</v>
      </c>
      <c r="F2075" s="360">
        <f>'UPAD-BAHAN-ALAT'!$I$15</f>
        <v>150000</v>
      </c>
      <c r="G2075" s="248">
        <f>F2075*E2075</f>
        <v>3750</v>
      </c>
    </row>
    <row r="2076" spans="1:8">
      <c r="A2076" s="247"/>
      <c r="B2076" s="410" t="s">
        <v>683</v>
      </c>
      <c r="C2076" s="247" t="s">
        <v>684</v>
      </c>
      <c r="D2076" s="247" t="s">
        <v>675</v>
      </c>
      <c r="E2076" s="372">
        <v>1.2999999999999999E-2</v>
      </c>
      <c r="F2076" s="360">
        <f>'UPAD-BAHAN-ALAT'!$I$14</f>
        <v>140000</v>
      </c>
      <c r="G2076" s="248">
        <f>F2076*E2076</f>
        <v>1820</v>
      </c>
    </row>
    <row r="2077" spans="1:8">
      <c r="A2077" s="247"/>
      <c r="B2077" s="410"/>
      <c r="C2077" s="247"/>
      <c r="D2077" s="247"/>
      <c r="E2077" s="1146" t="s">
        <v>685</v>
      </c>
      <c r="F2077" s="1146"/>
      <c r="G2077" s="248">
        <f>SUM(G2073:G2076)</f>
        <v>68070</v>
      </c>
    </row>
    <row r="2078" spans="1:8">
      <c r="A2078" s="294" t="s">
        <v>686</v>
      </c>
      <c r="B2078" s="411" t="s">
        <v>687</v>
      </c>
      <c r="C2078" s="247"/>
      <c r="D2078" s="247"/>
      <c r="E2078" s="372"/>
      <c r="F2078" s="360"/>
      <c r="G2078" s="248"/>
    </row>
    <row r="2079" spans="1:8">
      <c r="A2079" s="247"/>
      <c r="B2079" s="256" t="s">
        <v>3462</v>
      </c>
      <c r="C2079" s="247"/>
      <c r="D2079" s="247" t="s">
        <v>1009</v>
      </c>
      <c r="E2079" s="372">
        <v>3.5</v>
      </c>
      <c r="F2079" s="360">
        <f>'UPAD-BAHAN-ALAT'!$I$117</f>
        <v>31500</v>
      </c>
      <c r="G2079" s="248">
        <f>F2079*E2079</f>
        <v>110250</v>
      </c>
    </row>
    <row r="2080" spans="1:8">
      <c r="A2080" s="247"/>
      <c r="B2080" s="256" t="s">
        <v>3464</v>
      </c>
      <c r="C2080" s="247"/>
      <c r="D2080" s="247" t="s">
        <v>1011</v>
      </c>
      <c r="E2080" s="372" t="s">
        <v>1012</v>
      </c>
      <c r="F2080" s="360">
        <f>$G$2079</f>
        <v>110250</v>
      </c>
      <c r="G2080" s="248">
        <f>F2080</f>
        <v>110250</v>
      </c>
    </row>
    <row r="2081" spans="1:8">
      <c r="A2081" s="247"/>
      <c r="B2081" s="295"/>
      <c r="C2081" s="296"/>
      <c r="D2081" s="296"/>
      <c r="E2081" s="1146" t="s">
        <v>702</v>
      </c>
      <c r="F2081" s="1146"/>
      <c r="G2081" s="248">
        <f>SUM(G2079:G2080)</f>
        <v>220500</v>
      </c>
    </row>
    <row r="2082" spans="1:8" s="265" customFormat="1">
      <c r="A2082" s="294" t="s">
        <v>703</v>
      </c>
      <c r="B2082" s="1147" t="s">
        <v>3910</v>
      </c>
      <c r="C2082" s="1147"/>
      <c r="D2082" s="1147"/>
      <c r="E2082" s="1147"/>
      <c r="F2082" s="1147"/>
      <c r="G2082" s="255">
        <f>G2077+G2081</f>
        <v>288570</v>
      </c>
    </row>
    <row r="2083" spans="1:8" s="265" customFormat="1">
      <c r="A2083" s="294" t="s">
        <v>706</v>
      </c>
      <c r="B2083" s="1148" t="s">
        <v>876</v>
      </c>
      <c r="C2083" s="1148"/>
      <c r="D2083" s="1148"/>
      <c r="E2083" s="1147" t="s">
        <v>4030</v>
      </c>
      <c r="F2083" s="1147"/>
      <c r="G2083" s="255">
        <f>G2082*0.15</f>
        <v>43285.5</v>
      </c>
    </row>
    <row r="2084" spans="1:8" s="265" customFormat="1">
      <c r="A2084" s="294" t="s">
        <v>708</v>
      </c>
      <c r="B2084" s="1149" t="s">
        <v>3911</v>
      </c>
      <c r="C2084" s="1149"/>
      <c r="D2084" s="1149"/>
      <c r="E2084" s="1149"/>
      <c r="F2084" s="1149"/>
      <c r="G2084" s="255">
        <f>ROUND(SUM(G2082:G2083),2)</f>
        <v>331855.5</v>
      </c>
      <c r="H2084" s="255">
        <f>SUM(G2082:G2083)</f>
        <v>331855.5</v>
      </c>
    </row>
    <row r="2085" spans="1:8">
      <c r="A2085" s="268"/>
      <c r="B2085" s="269"/>
      <c r="C2085" s="268"/>
      <c r="D2085" s="268"/>
      <c r="E2085" s="380"/>
      <c r="F2085" s="365"/>
      <c r="G2085" s="270"/>
    </row>
    <row r="2086" spans="1:8">
      <c r="A2086" s="285" t="s">
        <v>4141</v>
      </c>
      <c r="B2086" s="250" t="s">
        <v>4513</v>
      </c>
      <c r="C2086" s="252"/>
      <c r="D2086" s="252"/>
      <c r="E2086" s="374"/>
      <c r="F2086" s="361"/>
      <c r="G2086" s="253"/>
    </row>
    <row r="2087" spans="1:8">
      <c r="A2087" s="294" t="s">
        <v>1003</v>
      </c>
      <c r="B2087" s="294" t="s">
        <v>1004</v>
      </c>
      <c r="C2087" s="294" t="s">
        <v>1005</v>
      </c>
      <c r="D2087" s="294" t="s">
        <v>1006</v>
      </c>
      <c r="E2087" s="674" t="s">
        <v>1007</v>
      </c>
      <c r="F2087" s="393" t="s">
        <v>2637</v>
      </c>
      <c r="G2087" s="255" t="s">
        <v>2638</v>
      </c>
    </row>
    <row r="2088" spans="1:8">
      <c r="A2088" s="294" t="s">
        <v>671</v>
      </c>
      <c r="B2088" s="411" t="s">
        <v>672</v>
      </c>
      <c r="C2088" s="247"/>
      <c r="D2088" s="247"/>
      <c r="E2088" s="372"/>
      <c r="F2088" s="360"/>
      <c r="G2088" s="248"/>
    </row>
    <row r="2089" spans="1:8">
      <c r="A2089" s="247"/>
      <c r="B2089" s="410" t="s">
        <v>673</v>
      </c>
      <c r="C2089" s="247" t="s">
        <v>674</v>
      </c>
      <c r="D2089" s="247" t="s">
        <v>675</v>
      </c>
      <c r="E2089" s="372">
        <v>0.35</v>
      </c>
      <c r="F2089" s="360">
        <f>'UPAD-BAHAN-ALAT'!$I$12</f>
        <v>110000</v>
      </c>
      <c r="G2089" s="248">
        <f>F2089*E2089</f>
        <v>38500</v>
      </c>
    </row>
    <row r="2090" spans="1:8">
      <c r="A2090" s="247"/>
      <c r="B2090" s="410" t="s">
        <v>855</v>
      </c>
      <c r="C2090" s="247" t="s">
        <v>678</v>
      </c>
      <c r="D2090" s="247" t="s">
        <v>675</v>
      </c>
      <c r="E2090" s="372">
        <v>0.35</v>
      </c>
      <c r="F2090" s="360">
        <f>'UPAD-BAHAN-ALAT'!$I$13</f>
        <v>140000</v>
      </c>
      <c r="G2090" s="248">
        <f>F2090*E2090</f>
        <v>49000</v>
      </c>
    </row>
    <row r="2091" spans="1:8">
      <c r="A2091" s="247"/>
      <c r="B2091" s="410" t="s">
        <v>680</v>
      </c>
      <c r="C2091" s="247" t="s">
        <v>681</v>
      </c>
      <c r="D2091" s="247" t="s">
        <v>675</v>
      </c>
      <c r="E2091" s="372">
        <v>3.5000000000000003E-2</v>
      </c>
      <c r="F2091" s="360">
        <f>'UPAD-BAHAN-ALAT'!$I$15</f>
        <v>150000</v>
      </c>
      <c r="G2091" s="248">
        <f>F2091*E2091</f>
        <v>5250.0000000000009</v>
      </c>
    </row>
    <row r="2092" spans="1:8">
      <c r="A2092" s="247"/>
      <c r="B2092" s="410" t="s">
        <v>683</v>
      </c>
      <c r="C2092" s="247" t="s">
        <v>684</v>
      </c>
      <c r="D2092" s="247" t="s">
        <v>675</v>
      </c>
      <c r="E2092" s="372">
        <v>1.7999999999999999E-2</v>
      </c>
      <c r="F2092" s="360">
        <f>'UPAD-BAHAN-ALAT'!$I$14</f>
        <v>140000</v>
      </c>
      <c r="G2092" s="248">
        <f>F2092*E2092</f>
        <v>2520</v>
      </c>
    </row>
    <row r="2093" spans="1:8">
      <c r="A2093" s="247"/>
      <c r="B2093" s="410"/>
      <c r="C2093" s="247"/>
      <c r="D2093" s="247"/>
      <c r="E2093" s="1146" t="s">
        <v>685</v>
      </c>
      <c r="F2093" s="1146"/>
      <c r="G2093" s="248">
        <f>SUM(G2089:G2092)</f>
        <v>95270</v>
      </c>
    </row>
    <row r="2094" spans="1:8">
      <c r="A2094" s="294" t="s">
        <v>686</v>
      </c>
      <c r="B2094" s="411" t="s">
        <v>687</v>
      </c>
      <c r="C2094" s="247"/>
      <c r="D2094" s="247"/>
      <c r="E2094" s="372"/>
      <c r="F2094" s="360"/>
      <c r="G2094" s="248"/>
    </row>
    <row r="2095" spans="1:8">
      <c r="A2095" s="247"/>
      <c r="B2095" s="256" t="s">
        <v>3462</v>
      </c>
      <c r="C2095" s="247"/>
      <c r="D2095" s="247" t="s">
        <v>1009</v>
      </c>
      <c r="E2095" s="372">
        <v>4</v>
      </c>
      <c r="F2095" s="360">
        <f>'UPAD-BAHAN-ALAT'!$I$117</f>
        <v>31500</v>
      </c>
      <c r="G2095" s="248">
        <f>F2095*E2095</f>
        <v>126000</v>
      </c>
    </row>
    <row r="2096" spans="1:8">
      <c r="A2096" s="247"/>
      <c r="B2096" s="256" t="s">
        <v>3464</v>
      </c>
      <c r="C2096" s="247"/>
      <c r="D2096" s="247" t="s">
        <v>1011</v>
      </c>
      <c r="E2096" s="372" t="s">
        <v>1012</v>
      </c>
      <c r="F2096" s="360">
        <f>100%*$G$2095</f>
        <v>126000</v>
      </c>
      <c r="G2096" s="248">
        <f>F2096</f>
        <v>126000</v>
      </c>
    </row>
    <row r="2097" spans="1:8">
      <c r="A2097" s="247"/>
      <c r="B2097" s="410"/>
      <c r="C2097" s="247"/>
      <c r="D2097" s="247"/>
      <c r="E2097" s="372"/>
      <c r="F2097" s="360"/>
      <c r="G2097" s="248"/>
    </row>
    <row r="2098" spans="1:8">
      <c r="A2098" s="247"/>
      <c r="B2098" s="295"/>
      <c r="C2098" s="296"/>
      <c r="D2098" s="296"/>
      <c r="E2098" s="1146" t="s">
        <v>702</v>
      </c>
      <c r="F2098" s="1146"/>
      <c r="G2098" s="248">
        <f>SUM(G2095:G2096)</f>
        <v>252000</v>
      </c>
    </row>
    <row r="2099" spans="1:8" s="265" customFormat="1">
      <c r="A2099" s="294" t="s">
        <v>703</v>
      </c>
      <c r="B2099" s="1147" t="s">
        <v>3910</v>
      </c>
      <c r="C2099" s="1147"/>
      <c r="D2099" s="1147"/>
      <c r="E2099" s="1147"/>
      <c r="F2099" s="1147"/>
      <c r="G2099" s="255">
        <f>G2093+G2098</f>
        <v>347270</v>
      </c>
    </row>
    <row r="2100" spans="1:8" s="265" customFormat="1">
      <c r="A2100" s="294" t="s">
        <v>706</v>
      </c>
      <c r="B2100" s="1148" t="s">
        <v>876</v>
      </c>
      <c r="C2100" s="1148"/>
      <c r="D2100" s="1148"/>
      <c r="E2100" s="1147" t="s">
        <v>4030</v>
      </c>
      <c r="F2100" s="1147"/>
      <c r="G2100" s="255">
        <f>G2099*0.15</f>
        <v>52090.5</v>
      </c>
    </row>
    <row r="2101" spans="1:8" s="265" customFormat="1">
      <c r="A2101" s="294" t="s">
        <v>708</v>
      </c>
      <c r="B2101" s="1149" t="s">
        <v>3911</v>
      </c>
      <c r="C2101" s="1149"/>
      <c r="D2101" s="1149"/>
      <c r="E2101" s="1149"/>
      <c r="F2101" s="1149"/>
      <c r="G2101" s="255">
        <f>ROUND(SUM(G2099:G2100),2)</f>
        <v>399360.5</v>
      </c>
      <c r="H2101" s="255">
        <f>SUM(G2099:G2100)</f>
        <v>399360.5</v>
      </c>
    </row>
    <row r="2102" spans="1:8">
      <c r="A2102" s="252"/>
      <c r="B2102" s="251"/>
      <c r="C2102" s="252"/>
      <c r="D2102" s="251"/>
      <c r="E2102" s="378"/>
      <c r="F2102" s="364"/>
      <c r="G2102" s="253">
        <f>E2106*8</f>
        <v>4</v>
      </c>
      <c r="H2102" s="253"/>
    </row>
    <row r="2103" spans="1:8" s="814" customFormat="1">
      <c r="A2103" s="808" t="s">
        <v>4510</v>
      </c>
      <c r="B2103" s="809" t="s">
        <v>4511</v>
      </c>
      <c r="C2103" s="810"/>
      <c r="D2103" s="810"/>
      <c r="E2103" s="811"/>
      <c r="F2103" s="812"/>
      <c r="G2103" s="813"/>
    </row>
    <row r="2104" spans="1:8" s="858" customFormat="1" ht="24.95" customHeight="1">
      <c r="A2104" s="898" t="s">
        <v>1003</v>
      </c>
      <c r="B2104" s="898" t="s">
        <v>1004</v>
      </c>
      <c r="C2104" s="898" t="s">
        <v>1005</v>
      </c>
      <c r="D2104" s="898" t="s">
        <v>1006</v>
      </c>
      <c r="E2104" s="899" t="s">
        <v>1007</v>
      </c>
      <c r="F2104" s="881" t="s">
        <v>2637</v>
      </c>
      <c r="G2104" s="857" t="s">
        <v>2638</v>
      </c>
    </row>
    <row r="2105" spans="1:8" s="814" customFormat="1">
      <c r="A2105" s="859" t="s">
        <v>671</v>
      </c>
      <c r="B2105" s="888" t="s">
        <v>672</v>
      </c>
      <c r="C2105" s="865"/>
      <c r="D2105" s="865"/>
      <c r="E2105" s="889"/>
      <c r="F2105" s="866"/>
      <c r="G2105" s="864"/>
    </row>
    <row r="2106" spans="1:8" s="814" customFormat="1">
      <c r="A2106" s="865"/>
      <c r="B2106" s="891" t="s">
        <v>673</v>
      </c>
      <c r="C2106" s="865" t="s">
        <v>674</v>
      </c>
      <c r="D2106" s="865" t="s">
        <v>675</v>
      </c>
      <c r="E2106" s="889">
        <v>0.5</v>
      </c>
      <c r="F2106" s="866">
        <f>'UPAD-BAHAN-ALAT'!$I$12</f>
        <v>110000</v>
      </c>
      <c r="G2106" s="864">
        <f>F2106*E2106</f>
        <v>55000</v>
      </c>
    </row>
    <row r="2107" spans="1:8" s="814" customFormat="1">
      <c r="A2107" s="865"/>
      <c r="B2107" s="891" t="s">
        <v>855</v>
      </c>
      <c r="C2107" s="865" t="s">
        <v>678</v>
      </c>
      <c r="D2107" s="865" t="s">
        <v>675</v>
      </c>
      <c r="E2107" s="889">
        <v>0.5</v>
      </c>
      <c r="F2107" s="866">
        <f>'UPAD-BAHAN-ALAT'!$I$13</f>
        <v>140000</v>
      </c>
      <c r="G2107" s="864">
        <f>F2107*E2107</f>
        <v>70000</v>
      </c>
    </row>
    <row r="2108" spans="1:8" s="814" customFormat="1">
      <c r="A2108" s="865"/>
      <c r="B2108" s="891" t="s">
        <v>680</v>
      </c>
      <c r="C2108" s="865" t="s">
        <v>681</v>
      </c>
      <c r="D2108" s="865" t="s">
        <v>675</v>
      </c>
      <c r="E2108" s="889">
        <v>0.05</v>
      </c>
      <c r="F2108" s="866">
        <f>'UPAD-BAHAN-ALAT'!$I$15</f>
        <v>150000</v>
      </c>
      <c r="G2108" s="864">
        <f>F2108*E2108</f>
        <v>7500</v>
      </c>
    </row>
    <row r="2109" spans="1:8" s="814" customFormat="1">
      <c r="A2109" s="865"/>
      <c r="B2109" s="891" t="s">
        <v>683</v>
      </c>
      <c r="C2109" s="865" t="s">
        <v>684</v>
      </c>
      <c r="D2109" s="865" t="s">
        <v>675</v>
      </c>
      <c r="E2109" s="889">
        <v>0.02</v>
      </c>
      <c r="F2109" s="866">
        <f>'UPAD-BAHAN-ALAT'!$I$14</f>
        <v>140000</v>
      </c>
      <c r="G2109" s="864">
        <f>F2109*E2109</f>
        <v>2800</v>
      </c>
    </row>
    <row r="2110" spans="1:8" s="814" customFormat="1">
      <c r="A2110" s="865"/>
      <c r="B2110" s="891"/>
      <c r="C2110" s="865"/>
      <c r="D2110" s="865"/>
      <c r="E2110" s="1156" t="s">
        <v>685</v>
      </c>
      <c r="F2110" s="1156"/>
      <c r="G2110" s="864">
        <f>SUM(G2106:G2109)</f>
        <v>135300</v>
      </c>
    </row>
    <row r="2111" spans="1:8" s="814" customFormat="1">
      <c r="A2111" s="859" t="s">
        <v>686</v>
      </c>
      <c r="B2111" s="888" t="s">
        <v>687</v>
      </c>
      <c r="C2111" s="865"/>
      <c r="D2111" s="865"/>
      <c r="E2111" s="889"/>
      <c r="F2111" s="866"/>
      <c r="G2111" s="864"/>
    </row>
    <row r="2112" spans="1:8" s="814" customFormat="1">
      <c r="A2112" s="865"/>
      <c r="B2112" s="927" t="s">
        <v>3520</v>
      </c>
      <c r="C2112" s="865"/>
      <c r="D2112" s="865" t="s">
        <v>2667</v>
      </c>
      <c r="E2112" s="889">
        <v>3.0649999999999999</v>
      </c>
      <c r="F2112" s="866">
        <f>'UPAD-BAHAN-ALAT'!$I$172</f>
        <v>14175</v>
      </c>
      <c r="G2112" s="864">
        <f>F2112*E2112</f>
        <v>43446.375</v>
      </c>
    </row>
    <row r="2113" spans="1:8" s="814" customFormat="1">
      <c r="A2113" s="865"/>
      <c r="B2113" s="927" t="s">
        <v>4512</v>
      </c>
      <c r="C2113" s="865"/>
      <c r="D2113" s="865" t="s">
        <v>2667</v>
      </c>
      <c r="E2113" s="889">
        <v>1.67</v>
      </c>
      <c r="F2113" s="866">
        <f>'UPAD-BAHAN-ALAT'!$I$173</f>
        <v>7875</v>
      </c>
      <c r="G2113" s="864">
        <f t="shared" ref="G2113:G2114" si="22">F2113*E2113</f>
        <v>13151.25</v>
      </c>
    </row>
    <row r="2114" spans="1:8" s="814" customFormat="1">
      <c r="A2114" s="865"/>
      <c r="B2114" s="927" t="s">
        <v>3984</v>
      </c>
      <c r="C2114" s="865"/>
      <c r="D2114" s="865" t="s">
        <v>1423</v>
      </c>
      <c r="E2114" s="889">
        <v>7</v>
      </c>
      <c r="F2114" s="866">
        <f>'UPAD-BAHAN-ALAT'!$I$334</f>
        <v>250</v>
      </c>
      <c r="G2114" s="864">
        <f t="shared" si="22"/>
        <v>1750</v>
      </c>
    </row>
    <row r="2115" spans="1:8" s="814" customFormat="1">
      <c r="A2115" s="865"/>
      <c r="B2115" s="891"/>
      <c r="C2115" s="865"/>
      <c r="D2115" s="865"/>
      <c r="E2115" s="1157" t="s">
        <v>702</v>
      </c>
      <c r="F2115" s="1157"/>
      <c r="G2115" s="864">
        <f>SUM(G2112:G2114)</f>
        <v>58347.625</v>
      </c>
    </row>
    <row r="2116" spans="1:8" s="848" customFormat="1">
      <c r="A2116" s="859" t="s">
        <v>703</v>
      </c>
      <c r="B2116" s="1153" t="s">
        <v>3910</v>
      </c>
      <c r="C2116" s="1153"/>
      <c r="D2116" s="1153"/>
      <c r="E2116" s="1153"/>
      <c r="F2116" s="1153"/>
      <c r="G2116" s="872">
        <f>G2110+G2115</f>
        <v>193647.625</v>
      </c>
    </row>
    <row r="2117" spans="1:8" s="848" customFormat="1">
      <c r="A2117" s="859" t="s">
        <v>706</v>
      </c>
      <c r="B2117" s="1152" t="s">
        <v>876</v>
      </c>
      <c r="C2117" s="1152"/>
      <c r="D2117" s="1152"/>
      <c r="E2117" s="1153" t="s">
        <v>4030</v>
      </c>
      <c r="F2117" s="1153"/>
      <c r="G2117" s="872">
        <f>G2116*0.15</f>
        <v>29047.143749999999</v>
      </c>
    </row>
    <row r="2118" spans="1:8" s="848" customFormat="1">
      <c r="A2118" s="859" t="s">
        <v>708</v>
      </c>
      <c r="B2118" s="1154" t="s">
        <v>3911</v>
      </c>
      <c r="C2118" s="1154"/>
      <c r="D2118" s="1154"/>
      <c r="E2118" s="1154"/>
      <c r="F2118" s="1154"/>
      <c r="G2118" s="872">
        <f>ROUND(SUM(G2116:G2117),2)</f>
        <v>222694.77</v>
      </c>
      <c r="H2118" s="872">
        <f>SUM(G2116:G2117)</f>
        <v>222694.76874999999</v>
      </c>
    </row>
    <row r="2119" spans="1:8">
      <c r="A2119" s="252"/>
      <c r="B2119" s="251"/>
      <c r="C2119" s="252"/>
      <c r="D2119" s="251"/>
      <c r="E2119" s="378"/>
      <c r="F2119" s="364"/>
      <c r="G2119" s="253"/>
      <c r="H2119" s="253"/>
    </row>
    <row r="2120" spans="1:8">
      <c r="A2120" s="285" t="s">
        <v>4142</v>
      </c>
      <c r="B2120" s="250" t="s">
        <v>4514</v>
      </c>
      <c r="C2120" s="252"/>
      <c r="D2120" s="252"/>
      <c r="E2120" s="374"/>
      <c r="F2120" s="361"/>
      <c r="G2120" s="253"/>
      <c r="H2120" s="253"/>
    </row>
    <row r="2121" spans="1:8" ht="24.95" customHeight="1">
      <c r="A2121" s="298" t="s">
        <v>1003</v>
      </c>
      <c r="B2121" s="298" t="s">
        <v>1004</v>
      </c>
      <c r="C2121" s="298" t="s">
        <v>1005</v>
      </c>
      <c r="D2121" s="298" t="s">
        <v>1006</v>
      </c>
      <c r="E2121" s="377" t="s">
        <v>1007</v>
      </c>
      <c r="F2121" s="363" t="s">
        <v>2637</v>
      </c>
      <c r="G2121" s="291" t="s">
        <v>2638</v>
      </c>
      <c r="H2121" s="253"/>
    </row>
    <row r="2122" spans="1:8">
      <c r="A2122" s="294" t="s">
        <v>671</v>
      </c>
      <c r="B2122" s="411" t="s">
        <v>672</v>
      </c>
      <c r="C2122" s="247"/>
      <c r="D2122" s="247"/>
      <c r="E2122" s="372"/>
      <c r="F2122" s="360"/>
      <c r="G2122" s="248"/>
      <c r="H2122" s="253"/>
    </row>
    <row r="2123" spans="1:8">
      <c r="A2123" s="247"/>
      <c r="B2123" s="410" t="s">
        <v>673</v>
      </c>
      <c r="C2123" s="247" t="s">
        <v>674</v>
      </c>
      <c r="D2123" s="247" t="s">
        <v>675</v>
      </c>
      <c r="E2123" s="372">
        <v>0.5</v>
      </c>
      <c r="F2123" s="360">
        <f>'UPAD-BAHAN-ALAT'!$I$12</f>
        <v>110000</v>
      </c>
      <c r="G2123" s="248">
        <f>F2123*E2123</f>
        <v>55000</v>
      </c>
      <c r="H2123" s="253"/>
    </row>
    <row r="2124" spans="1:8">
      <c r="A2124" s="247"/>
      <c r="B2124" s="410" t="s">
        <v>855</v>
      </c>
      <c r="C2124" s="247" t="s">
        <v>678</v>
      </c>
      <c r="D2124" s="247" t="s">
        <v>675</v>
      </c>
      <c r="E2124" s="372">
        <v>0.5</v>
      </c>
      <c r="F2124" s="360">
        <f>'UPAD-BAHAN-ALAT'!$I$13</f>
        <v>140000</v>
      </c>
      <c r="G2124" s="248">
        <f>F2124*E2124</f>
        <v>70000</v>
      </c>
      <c r="H2124" s="253"/>
    </row>
    <row r="2125" spans="1:8">
      <c r="A2125" s="247"/>
      <c r="B2125" s="410" t="s">
        <v>680</v>
      </c>
      <c r="C2125" s="247" t="s">
        <v>681</v>
      </c>
      <c r="D2125" s="247" t="s">
        <v>675</v>
      </c>
      <c r="E2125" s="372">
        <v>0.05</v>
      </c>
      <c r="F2125" s="360">
        <f>'UPAD-BAHAN-ALAT'!$I$15</f>
        <v>150000</v>
      </c>
      <c r="G2125" s="248">
        <f>F2125*E2125</f>
        <v>7500</v>
      </c>
      <c r="H2125" s="253"/>
    </row>
    <row r="2126" spans="1:8">
      <c r="A2126" s="247"/>
      <c r="B2126" s="410" t="s">
        <v>683</v>
      </c>
      <c r="C2126" s="247" t="s">
        <v>684</v>
      </c>
      <c r="D2126" s="247" t="s">
        <v>675</v>
      </c>
      <c r="E2126" s="372">
        <v>0.02</v>
      </c>
      <c r="F2126" s="360">
        <f>'UPAD-BAHAN-ALAT'!$I$14</f>
        <v>140000</v>
      </c>
      <c r="G2126" s="248">
        <f>F2126*E2126</f>
        <v>2800</v>
      </c>
      <c r="H2126" s="253"/>
    </row>
    <row r="2127" spans="1:8">
      <c r="A2127" s="247"/>
      <c r="B2127" s="410"/>
      <c r="C2127" s="247"/>
      <c r="D2127" s="247"/>
      <c r="E2127" s="1146" t="s">
        <v>685</v>
      </c>
      <c r="F2127" s="1146"/>
      <c r="G2127" s="248">
        <f>SUM(G2123:G2126)</f>
        <v>135300</v>
      </c>
      <c r="H2127" s="253"/>
    </row>
    <row r="2128" spans="1:8">
      <c r="A2128" s="294" t="s">
        <v>686</v>
      </c>
      <c r="B2128" s="411" t="s">
        <v>687</v>
      </c>
      <c r="C2128" s="247"/>
      <c r="D2128" s="247"/>
      <c r="E2128" s="372"/>
      <c r="F2128" s="360"/>
      <c r="G2128" s="248"/>
      <c r="H2128" s="253"/>
    </row>
    <row r="2129" spans="1:8">
      <c r="A2129" s="247"/>
      <c r="B2129" s="256" t="s">
        <v>3520</v>
      </c>
      <c r="C2129" s="247"/>
      <c r="D2129" s="247" t="s">
        <v>2667</v>
      </c>
      <c r="E2129" s="372">
        <v>3.5247999999999999</v>
      </c>
      <c r="F2129" s="360">
        <f>'UPAD-BAHAN-ALAT'!$I$172</f>
        <v>14175</v>
      </c>
      <c r="G2129" s="248">
        <f>F2129*E2129</f>
        <v>49964.04</v>
      </c>
      <c r="H2129" s="253"/>
    </row>
    <row r="2130" spans="1:8">
      <c r="A2130" s="247"/>
      <c r="B2130" s="256" t="s">
        <v>4512</v>
      </c>
      <c r="C2130" s="247"/>
      <c r="D2130" s="247" t="s">
        <v>2667</v>
      </c>
      <c r="E2130" s="372">
        <v>3.3</v>
      </c>
      <c r="F2130" s="360">
        <f>'UPAD-BAHAN-ALAT'!$I$173</f>
        <v>7875</v>
      </c>
      <c r="G2130" s="248">
        <f t="shared" ref="G2130:G2131" si="23">F2130*E2130</f>
        <v>25987.5</v>
      </c>
      <c r="H2130" s="253"/>
    </row>
    <row r="2131" spans="1:8">
      <c r="A2131" s="247"/>
      <c r="B2131" s="256" t="s">
        <v>3984</v>
      </c>
      <c r="C2131" s="247"/>
      <c r="D2131" s="247" t="s">
        <v>1423</v>
      </c>
      <c r="E2131" s="372">
        <v>12</v>
      </c>
      <c r="F2131" s="360">
        <f>'UPAD-BAHAN-ALAT'!$I$334</f>
        <v>250</v>
      </c>
      <c r="G2131" s="248">
        <f t="shared" si="23"/>
        <v>3000</v>
      </c>
      <c r="H2131" s="253"/>
    </row>
    <row r="2132" spans="1:8">
      <c r="A2132" s="247"/>
      <c r="B2132" s="410"/>
      <c r="C2132" s="247"/>
      <c r="D2132" s="247"/>
      <c r="E2132" s="1144" t="s">
        <v>702</v>
      </c>
      <c r="F2132" s="1144"/>
      <c r="G2132" s="248">
        <f>SUM(G2129:G2131)</f>
        <v>78951.540000000008</v>
      </c>
      <c r="H2132" s="253"/>
    </row>
    <row r="2133" spans="1:8">
      <c r="A2133" s="294" t="s">
        <v>703</v>
      </c>
      <c r="B2133" s="1147" t="s">
        <v>3910</v>
      </c>
      <c r="C2133" s="1147"/>
      <c r="D2133" s="1147"/>
      <c r="E2133" s="1147"/>
      <c r="F2133" s="1147"/>
      <c r="G2133" s="255">
        <f>G2127+G2132</f>
        <v>214251.54</v>
      </c>
      <c r="H2133" s="253"/>
    </row>
    <row r="2134" spans="1:8">
      <c r="A2134" s="294" t="s">
        <v>706</v>
      </c>
      <c r="B2134" s="1148" t="s">
        <v>876</v>
      </c>
      <c r="C2134" s="1148"/>
      <c r="D2134" s="1148"/>
      <c r="E2134" s="1147" t="s">
        <v>4030</v>
      </c>
      <c r="F2134" s="1147"/>
      <c r="G2134" s="255">
        <f>G2133*0.15</f>
        <v>32137.731</v>
      </c>
      <c r="H2134" s="253"/>
    </row>
    <row r="2135" spans="1:8">
      <c r="A2135" s="294" t="s">
        <v>708</v>
      </c>
      <c r="B2135" s="1149" t="s">
        <v>3911</v>
      </c>
      <c r="C2135" s="1149"/>
      <c r="D2135" s="1149"/>
      <c r="E2135" s="1149"/>
      <c r="F2135" s="1149"/>
      <c r="G2135" s="255">
        <f>ROUND(SUM(G2133:G2134),2)</f>
        <v>246389.27</v>
      </c>
      <c r="H2135" s="253"/>
    </row>
    <row r="2136" spans="1:8">
      <c r="A2136" s="252"/>
      <c r="B2136" s="251"/>
      <c r="C2136" s="252"/>
      <c r="D2136" s="251"/>
      <c r="E2136" s="378"/>
      <c r="F2136" s="364"/>
      <c r="G2136" s="253"/>
      <c r="H2136" s="253"/>
    </row>
    <row r="2137" spans="1:8" s="814" customFormat="1">
      <c r="A2137" s="808" t="s">
        <v>4515</v>
      </c>
      <c r="B2137" s="809" t="s">
        <v>4517</v>
      </c>
      <c r="C2137" s="810"/>
      <c r="D2137" s="810"/>
      <c r="E2137" s="811"/>
      <c r="F2137" s="812"/>
      <c r="G2137" s="813"/>
      <c r="H2137" s="813"/>
    </row>
    <row r="2138" spans="1:8" ht="24.95" customHeight="1">
      <c r="A2138" s="298" t="s">
        <v>1003</v>
      </c>
      <c r="B2138" s="298" t="s">
        <v>1004</v>
      </c>
      <c r="C2138" s="298" t="s">
        <v>1005</v>
      </c>
      <c r="D2138" s="298" t="s">
        <v>1006</v>
      </c>
      <c r="E2138" s="377" t="s">
        <v>1007</v>
      </c>
      <c r="F2138" s="363" t="s">
        <v>2637</v>
      </c>
      <c r="G2138" s="291" t="s">
        <v>2638</v>
      </c>
      <c r="H2138" s="253"/>
    </row>
    <row r="2139" spans="1:8">
      <c r="A2139" s="294" t="s">
        <v>671</v>
      </c>
      <c r="B2139" s="411" t="s">
        <v>672</v>
      </c>
      <c r="C2139" s="247"/>
      <c r="D2139" s="247"/>
      <c r="E2139" s="372"/>
      <c r="F2139" s="360"/>
      <c r="G2139" s="248"/>
      <c r="H2139" s="253"/>
    </row>
    <row r="2140" spans="1:8">
      <c r="A2140" s="247"/>
      <c r="B2140" s="410" t="s">
        <v>673</v>
      </c>
      <c r="C2140" s="247" t="s">
        <v>674</v>
      </c>
      <c r="D2140" s="247" t="s">
        <v>675</v>
      </c>
      <c r="E2140" s="372">
        <v>0.5</v>
      </c>
      <c r="F2140" s="360">
        <f>'UPAD-BAHAN-ALAT'!$I$12</f>
        <v>110000</v>
      </c>
      <c r="G2140" s="248">
        <f>F2140*E2140</f>
        <v>55000</v>
      </c>
      <c r="H2140" s="253"/>
    </row>
    <row r="2141" spans="1:8">
      <c r="A2141" s="247"/>
      <c r="B2141" s="410" t="s">
        <v>855</v>
      </c>
      <c r="C2141" s="247" t="s">
        <v>678</v>
      </c>
      <c r="D2141" s="247" t="s">
        <v>675</v>
      </c>
      <c r="E2141" s="372">
        <v>0.5</v>
      </c>
      <c r="F2141" s="360">
        <f>'UPAD-BAHAN-ALAT'!$I$13</f>
        <v>140000</v>
      </c>
      <c r="G2141" s="248">
        <f>F2141*E2141</f>
        <v>70000</v>
      </c>
      <c r="H2141" s="253"/>
    </row>
    <row r="2142" spans="1:8">
      <c r="A2142" s="247"/>
      <c r="B2142" s="410" t="s">
        <v>680</v>
      </c>
      <c r="C2142" s="247" t="s">
        <v>681</v>
      </c>
      <c r="D2142" s="247" t="s">
        <v>675</v>
      </c>
      <c r="E2142" s="372">
        <v>0.05</v>
      </c>
      <c r="F2142" s="360">
        <f>'UPAD-BAHAN-ALAT'!$I$15</f>
        <v>150000</v>
      </c>
      <c r="G2142" s="248">
        <f>F2142*E2142</f>
        <v>7500</v>
      </c>
      <c r="H2142" s="253"/>
    </row>
    <row r="2143" spans="1:8">
      <c r="A2143" s="247"/>
      <c r="B2143" s="410" t="s">
        <v>683</v>
      </c>
      <c r="C2143" s="247" t="s">
        <v>684</v>
      </c>
      <c r="D2143" s="247" t="s">
        <v>675</v>
      </c>
      <c r="E2143" s="372">
        <v>0.02</v>
      </c>
      <c r="F2143" s="360">
        <f>'UPAD-BAHAN-ALAT'!$I$14</f>
        <v>140000</v>
      </c>
      <c r="G2143" s="248">
        <f>F2143*E2143</f>
        <v>2800</v>
      </c>
      <c r="H2143" s="253"/>
    </row>
    <row r="2144" spans="1:8">
      <c r="A2144" s="247"/>
      <c r="B2144" s="410"/>
      <c r="C2144" s="247"/>
      <c r="D2144" s="247"/>
      <c r="E2144" s="1146" t="s">
        <v>685</v>
      </c>
      <c r="F2144" s="1146"/>
      <c r="G2144" s="248">
        <f>SUM(G2140:G2143)</f>
        <v>135300</v>
      </c>
      <c r="H2144" s="253"/>
    </row>
    <row r="2145" spans="1:8">
      <c r="A2145" s="294" t="s">
        <v>686</v>
      </c>
      <c r="B2145" s="411" t="s">
        <v>687</v>
      </c>
      <c r="C2145" s="247"/>
      <c r="D2145" s="247"/>
      <c r="E2145" s="372"/>
      <c r="F2145" s="360"/>
      <c r="G2145" s="248"/>
      <c r="H2145" s="253"/>
    </row>
    <row r="2146" spans="1:8">
      <c r="A2146" s="247"/>
      <c r="B2146" s="256" t="s">
        <v>3520</v>
      </c>
      <c r="C2146" s="247"/>
      <c r="D2146" s="247" t="s">
        <v>2667</v>
      </c>
      <c r="E2146" s="372">
        <v>3.3170000000000002</v>
      </c>
      <c r="F2146" s="360">
        <f>'UPAD-BAHAN-ALAT'!$I$172</f>
        <v>14175</v>
      </c>
      <c r="G2146" s="248">
        <f>F2146*E2146</f>
        <v>47018.475000000006</v>
      </c>
      <c r="H2146" s="253"/>
    </row>
    <row r="2147" spans="1:8">
      <c r="A2147" s="247"/>
      <c r="B2147" s="256" t="s">
        <v>4512</v>
      </c>
      <c r="C2147" s="247"/>
      <c r="D2147" s="247" t="s">
        <v>2667</v>
      </c>
      <c r="E2147" s="372">
        <v>1.67</v>
      </c>
      <c r="F2147" s="360">
        <f>'UPAD-BAHAN-ALAT'!$I$173</f>
        <v>7875</v>
      </c>
      <c r="G2147" s="248">
        <f t="shared" ref="G2147:G2148" si="24">F2147*E2147</f>
        <v>13151.25</v>
      </c>
      <c r="H2147" s="253"/>
    </row>
    <row r="2148" spans="1:8">
      <c r="A2148" s="247"/>
      <c r="B2148" s="256" t="s">
        <v>3984</v>
      </c>
      <c r="C2148" s="247"/>
      <c r="D2148" s="247" t="s">
        <v>1423</v>
      </c>
      <c r="E2148" s="372">
        <v>7</v>
      </c>
      <c r="F2148" s="360">
        <f>'UPAD-BAHAN-ALAT'!$I$334</f>
        <v>250</v>
      </c>
      <c r="G2148" s="248">
        <f t="shared" si="24"/>
        <v>1750</v>
      </c>
      <c r="H2148" s="253"/>
    </row>
    <row r="2149" spans="1:8">
      <c r="A2149" s="247"/>
      <c r="B2149" s="410"/>
      <c r="C2149" s="247"/>
      <c r="D2149" s="247"/>
      <c r="E2149" s="1144" t="s">
        <v>702</v>
      </c>
      <c r="F2149" s="1144"/>
      <c r="G2149" s="248">
        <f>SUM(G2146:G2148)</f>
        <v>61919.725000000006</v>
      </c>
      <c r="H2149" s="253"/>
    </row>
    <row r="2150" spans="1:8">
      <c r="A2150" s="294" t="s">
        <v>703</v>
      </c>
      <c r="B2150" s="1147" t="s">
        <v>3910</v>
      </c>
      <c r="C2150" s="1147"/>
      <c r="D2150" s="1147"/>
      <c r="E2150" s="1147"/>
      <c r="F2150" s="1147"/>
      <c r="G2150" s="255">
        <f>G2144+G2149</f>
        <v>197219.72500000001</v>
      </c>
      <c r="H2150" s="253"/>
    </row>
    <row r="2151" spans="1:8">
      <c r="A2151" s="294" t="s">
        <v>706</v>
      </c>
      <c r="B2151" s="1148" t="s">
        <v>876</v>
      </c>
      <c r="C2151" s="1148"/>
      <c r="D2151" s="1148"/>
      <c r="E2151" s="1147" t="s">
        <v>4030</v>
      </c>
      <c r="F2151" s="1147"/>
      <c r="G2151" s="255">
        <f>G2150*0.15</f>
        <v>29582.958749999998</v>
      </c>
      <c r="H2151" s="253"/>
    </row>
    <row r="2152" spans="1:8">
      <c r="A2152" s="294" t="s">
        <v>708</v>
      </c>
      <c r="B2152" s="1149" t="s">
        <v>3911</v>
      </c>
      <c r="C2152" s="1149"/>
      <c r="D2152" s="1149"/>
      <c r="E2152" s="1149"/>
      <c r="F2152" s="1149"/>
      <c r="G2152" s="255">
        <f>ROUND(SUM(G2150:G2151),2)</f>
        <v>226802.68</v>
      </c>
      <c r="H2152" s="253"/>
    </row>
    <row r="2153" spans="1:8">
      <c r="A2153" s="354"/>
      <c r="B2153" s="250"/>
      <c r="C2153" s="250"/>
      <c r="D2153" s="250"/>
      <c r="E2153" s="250"/>
      <c r="F2153" s="250"/>
      <c r="G2153" s="352"/>
      <c r="H2153" s="253"/>
    </row>
    <row r="2154" spans="1:8">
      <c r="A2154" s="285" t="s">
        <v>4518</v>
      </c>
      <c r="B2154" s="250" t="s">
        <v>4516</v>
      </c>
      <c r="C2154" s="252"/>
      <c r="D2154" s="252"/>
      <c r="E2154" s="374"/>
      <c r="F2154" s="361"/>
      <c r="G2154" s="253"/>
    </row>
    <row r="2155" spans="1:8" s="292" customFormat="1" ht="24.95" customHeight="1">
      <c r="A2155" s="298" t="s">
        <v>1003</v>
      </c>
      <c r="B2155" s="298" t="s">
        <v>1004</v>
      </c>
      <c r="C2155" s="298" t="s">
        <v>1005</v>
      </c>
      <c r="D2155" s="298" t="s">
        <v>1006</v>
      </c>
      <c r="E2155" s="377" t="s">
        <v>1007</v>
      </c>
      <c r="F2155" s="363" t="s">
        <v>2637</v>
      </c>
      <c r="G2155" s="291" t="s">
        <v>2638</v>
      </c>
    </row>
    <row r="2156" spans="1:8">
      <c r="A2156" s="294" t="s">
        <v>671</v>
      </c>
      <c r="B2156" s="411" t="s">
        <v>672</v>
      </c>
      <c r="C2156" s="247"/>
      <c r="D2156" s="247"/>
      <c r="E2156" s="372"/>
      <c r="F2156" s="360"/>
      <c r="G2156" s="248"/>
    </row>
    <row r="2157" spans="1:8">
      <c r="A2157" s="247"/>
      <c r="B2157" s="410" t="s">
        <v>673</v>
      </c>
      <c r="C2157" s="247" t="s">
        <v>674</v>
      </c>
      <c r="D2157" s="247" t="s">
        <v>675</v>
      </c>
      <c r="E2157" s="372">
        <v>0.5</v>
      </c>
      <c r="F2157" s="360">
        <f>'UPAD-BAHAN-ALAT'!$I$12</f>
        <v>110000</v>
      </c>
      <c r="G2157" s="248">
        <f>F2157*E2157</f>
        <v>55000</v>
      </c>
    </row>
    <row r="2158" spans="1:8">
      <c r="A2158" s="247"/>
      <c r="B2158" s="410" t="s">
        <v>855</v>
      </c>
      <c r="C2158" s="247" t="s">
        <v>678</v>
      </c>
      <c r="D2158" s="247" t="s">
        <v>675</v>
      </c>
      <c r="E2158" s="372">
        <v>0.5</v>
      </c>
      <c r="F2158" s="360">
        <f>'UPAD-BAHAN-ALAT'!$I$13</f>
        <v>140000</v>
      </c>
      <c r="G2158" s="248">
        <f>F2158*E2158</f>
        <v>70000</v>
      </c>
    </row>
    <row r="2159" spans="1:8">
      <c r="A2159" s="247"/>
      <c r="B2159" s="410" t="s">
        <v>680</v>
      </c>
      <c r="C2159" s="247" t="s">
        <v>681</v>
      </c>
      <c r="D2159" s="247" t="s">
        <v>675</v>
      </c>
      <c r="E2159" s="372">
        <v>0.05</v>
      </c>
      <c r="F2159" s="360">
        <f>'UPAD-BAHAN-ALAT'!$I$15</f>
        <v>150000</v>
      </c>
      <c r="G2159" s="248">
        <f>F2159*E2159</f>
        <v>7500</v>
      </c>
    </row>
    <row r="2160" spans="1:8">
      <c r="A2160" s="247"/>
      <c r="B2160" s="410" t="s">
        <v>683</v>
      </c>
      <c r="C2160" s="247" t="s">
        <v>684</v>
      </c>
      <c r="D2160" s="247" t="s">
        <v>675</v>
      </c>
      <c r="E2160" s="372">
        <v>0.02</v>
      </c>
      <c r="F2160" s="360">
        <f>'UPAD-BAHAN-ALAT'!$I$14</f>
        <v>140000</v>
      </c>
      <c r="G2160" s="248">
        <f>F2160*E2160</f>
        <v>2800</v>
      </c>
    </row>
    <row r="2161" spans="1:8">
      <c r="A2161" s="247"/>
      <c r="B2161" s="410"/>
      <c r="C2161" s="247"/>
      <c r="D2161" s="247"/>
      <c r="E2161" s="1146" t="s">
        <v>685</v>
      </c>
      <c r="F2161" s="1146"/>
      <c r="G2161" s="248">
        <f>SUM(G2157:G2160)</f>
        <v>135300</v>
      </c>
    </row>
    <row r="2162" spans="1:8">
      <c r="A2162" s="294" t="s">
        <v>686</v>
      </c>
      <c r="B2162" s="411" t="s">
        <v>687</v>
      </c>
      <c r="C2162" s="247"/>
      <c r="D2162" s="247"/>
      <c r="E2162" s="372"/>
      <c r="F2162" s="360"/>
      <c r="G2162" s="248"/>
    </row>
    <row r="2163" spans="1:8">
      <c r="A2163" s="247"/>
      <c r="B2163" s="256" t="s">
        <v>3520</v>
      </c>
      <c r="C2163" s="247"/>
      <c r="D2163" s="247" t="s">
        <v>2667</v>
      </c>
      <c r="E2163" s="372">
        <v>3.8772000000000002</v>
      </c>
      <c r="F2163" s="360">
        <f>'UPAD-BAHAN-ALAT'!$I$172</f>
        <v>14175</v>
      </c>
      <c r="G2163" s="248">
        <f>F2163*E2163</f>
        <v>54959.310000000005</v>
      </c>
    </row>
    <row r="2164" spans="1:8">
      <c r="A2164" s="247"/>
      <c r="B2164" s="256" t="s">
        <v>4512</v>
      </c>
      <c r="C2164" s="247"/>
      <c r="D2164" s="247" t="s">
        <v>2667</v>
      </c>
      <c r="E2164" s="372">
        <v>3.3</v>
      </c>
      <c r="F2164" s="360">
        <f>'UPAD-BAHAN-ALAT'!$I$173</f>
        <v>7875</v>
      </c>
      <c r="G2164" s="248">
        <f t="shared" ref="G2164:G2165" si="25">F2164*E2164</f>
        <v>25987.5</v>
      </c>
    </row>
    <row r="2165" spans="1:8" s="265" customFormat="1">
      <c r="A2165" s="247"/>
      <c r="B2165" s="256" t="s">
        <v>3984</v>
      </c>
      <c r="C2165" s="247"/>
      <c r="D2165" s="247" t="s">
        <v>1423</v>
      </c>
      <c r="E2165" s="372">
        <v>12</v>
      </c>
      <c r="F2165" s="360">
        <f>'UPAD-BAHAN-ALAT'!$I$334</f>
        <v>250</v>
      </c>
      <c r="G2165" s="248">
        <f t="shared" si="25"/>
        <v>3000</v>
      </c>
    </row>
    <row r="2166" spans="1:8" s="265" customFormat="1">
      <c r="A2166" s="247"/>
      <c r="B2166" s="410"/>
      <c r="C2166" s="247"/>
      <c r="D2166" s="247"/>
      <c r="E2166" s="1144" t="s">
        <v>702</v>
      </c>
      <c r="F2166" s="1144"/>
      <c r="G2166" s="248">
        <f>SUM(G2163:G2165)</f>
        <v>83946.81</v>
      </c>
    </row>
    <row r="2167" spans="1:8" s="265" customFormat="1">
      <c r="A2167" s="294" t="s">
        <v>703</v>
      </c>
      <c r="B2167" s="1147" t="s">
        <v>3910</v>
      </c>
      <c r="C2167" s="1147"/>
      <c r="D2167" s="1147"/>
      <c r="E2167" s="1147"/>
      <c r="F2167" s="1147"/>
      <c r="G2167" s="255">
        <f>G2161+G2166</f>
        <v>219246.81</v>
      </c>
      <c r="H2167" s="255">
        <f>SUM(G2165:G2166)</f>
        <v>86946.81</v>
      </c>
    </row>
    <row r="2168" spans="1:8">
      <c r="A2168" s="294" t="s">
        <v>706</v>
      </c>
      <c r="B2168" s="1148" t="s">
        <v>876</v>
      </c>
      <c r="C2168" s="1148"/>
      <c r="D2168" s="1148"/>
      <c r="E2168" s="1147" t="s">
        <v>4030</v>
      </c>
      <c r="F2168" s="1147"/>
      <c r="G2168" s="255">
        <f>G2167*0.15</f>
        <v>32887.021499999995</v>
      </c>
    </row>
    <row r="2169" spans="1:8">
      <c r="A2169" s="294" t="s">
        <v>708</v>
      </c>
      <c r="B2169" s="1149" t="s">
        <v>3911</v>
      </c>
      <c r="C2169" s="1149"/>
      <c r="D2169" s="1149"/>
      <c r="E2169" s="1149"/>
      <c r="F2169" s="1149"/>
      <c r="G2169" s="255">
        <f>ROUND(SUM(G2167:G2168),2)</f>
        <v>252133.83</v>
      </c>
    </row>
    <row r="2171" spans="1:8">
      <c r="A2171" s="600" t="s">
        <v>4143</v>
      </c>
      <c r="B2171" s="265" t="s">
        <v>2884</v>
      </c>
    </row>
    <row r="2172" spans="1:8">
      <c r="A2172" s="600" t="s">
        <v>4144</v>
      </c>
      <c r="B2172" s="265" t="s">
        <v>2885</v>
      </c>
    </row>
    <row r="2173" spans="1:8" s="292" customFormat="1" ht="24.95" customHeight="1">
      <c r="A2173" s="298" t="s">
        <v>1003</v>
      </c>
      <c r="B2173" s="298" t="s">
        <v>1004</v>
      </c>
      <c r="C2173" s="298" t="s">
        <v>1005</v>
      </c>
      <c r="D2173" s="298" t="s">
        <v>1006</v>
      </c>
      <c r="E2173" s="377" t="s">
        <v>1007</v>
      </c>
      <c r="F2173" s="363" t="s">
        <v>2639</v>
      </c>
      <c r="G2173" s="291" t="s">
        <v>2638</v>
      </c>
    </row>
    <row r="2174" spans="1:8">
      <c r="A2174" s="294" t="s">
        <v>671</v>
      </c>
      <c r="B2174" s="411" t="s">
        <v>672</v>
      </c>
      <c r="C2174" s="247"/>
      <c r="D2174" s="247"/>
      <c r="E2174" s="372"/>
      <c r="F2174" s="360"/>
      <c r="G2174" s="248"/>
    </row>
    <row r="2175" spans="1:8">
      <c r="A2175" s="247"/>
      <c r="B2175" s="410" t="s">
        <v>673</v>
      </c>
      <c r="C2175" s="247" t="s">
        <v>674</v>
      </c>
      <c r="D2175" s="247" t="s">
        <v>675</v>
      </c>
      <c r="E2175" s="372">
        <v>0.6</v>
      </c>
      <c r="F2175" s="360">
        <f>'UPAD-BAHAN-ALAT'!$I$12</f>
        <v>110000</v>
      </c>
      <c r="G2175" s="248">
        <f>F2175*E2175</f>
        <v>66000</v>
      </c>
    </row>
    <row r="2176" spans="1:8">
      <c r="A2176" s="247"/>
      <c r="B2176" s="410" t="s">
        <v>816</v>
      </c>
      <c r="C2176" s="247" t="s">
        <v>678</v>
      </c>
      <c r="D2176" s="247" t="s">
        <v>675</v>
      </c>
      <c r="E2176" s="372">
        <v>0.2</v>
      </c>
      <c r="F2176" s="360">
        <f>'UPAD-BAHAN-ALAT'!$I$13</f>
        <v>140000</v>
      </c>
      <c r="G2176" s="248">
        <f>F2176*E2176</f>
        <v>28000</v>
      </c>
    </row>
    <row r="2177" spans="1:8">
      <c r="A2177" s="247"/>
      <c r="B2177" s="410" t="s">
        <v>680</v>
      </c>
      <c r="C2177" s="247" t="s">
        <v>681</v>
      </c>
      <c r="D2177" s="247" t="s">
        <v>675</v>
      </c>
      <c r="E2177" s="372">
        <v>0.02</v>
      </c>
      <c r="F2177" s="360">
        <f>'UPAD-BAHAN-ALAT'!$I$15</f>
        <v>150000</v>
      </c>
      <c r="G2177" s="248">
        <f>F2177*E2177</f>
        <v>3000</v>
      </c>
    </row>
    <row r="2178" spans="1:8">
      <c r="A2178" s="247"/>
      <c r="B2178" s="410" t="s">
        <v>683</v>
      </c>
      <c r="C2178" s="247" t="s">
        <v>684</v>
      </c>
      <c r="D2178" s="247" t="s">
        <v>675</v>
      </c>
      <c r="E2178" s="372">
        <v>0.03</v>
      </c>
      <c r="F2178" s="360">
        <f>'UPAD-BAHAN-ALAT'!$I$14</f>
        <v>140000</v>
      </c>
      <c r="G2178" s="248">
        <f>F2178*E2178</f>
        <v>4200</v>
      </c>
    </row>
    <row r="2179" spans="1:8">
      <c r="A2179" s="247"/>
      <c r="B2179" s="410"/>
      <c r="C2179" s="247"/>
      <c r="D2179" s="247"/>
      <c r="E2179" s="1146" t="s">
        <v>685</v>
      </c>
      <c r="F2179" s="1146"/>
      <c r="G2179" s="248">
        <f>SUM(G2175:G2178)</f>
        <v>101200</v>
      </c>
    </row>
    <row r="2180" spans="1:8">
      <c r="A2180" s="294" t="s">
        <v>686</v>
      </c>
      <c r="B2180" s="411" t="s">
        <v>687</v>
      </c>
      <c r="C2180" s="247"/>
      <c r="D2180" s="247"/>
      <c r="E2180" s="372"/>
      <c r="F2180" s="360"/>
      <c r="G2180" s="248"/>
    </row>
    <row r="2181" spans="1:8">
      <c r="A2181" s="247"/>
      <c r="B2181" s="410" t="s">
        <v>742</v>
      </c>
      <c r="C2181" s="247"/>
      <c r="D2181" s="247" t="s">
        <v>1423</v>
      </c>
      <c r="E2181" s="372">
        <v>140</v>
      </c>
      <c r="F2181" s="360">
        <f>'UPAD-BAHAN-ALAT'!$I$61</f>
        <v>700</v>
      </c>
      <c r="G2181" s="248">
        <f>F2181*E2181</f>
        <v>98000</v>
      </c>
    </row>
    <row r="2182" spans="1:8">
      <c r="A2182" s="247"/>
      <c r="B2182" s="410" t="s">
        <v>818</v>
      </c>
      <c r="C2182" s="247"/>
      <c r="D2182" s="247" t="s">
        <v>690</v>
      </c>
      <c r="E2182" s="372">
        <v>43.5</v>
      </c>
      <c r="F2182" s="360">
        <f>'UPAD-BAHAN-ALAT'!$I$77</f>
        <v>1625</v>
      </c>
      <c r="G2182" s="248">
        <f>F2182*E2182</f>
        <v>70687.5</v>
      </c>
    </row>
    <row r="2183" spans="1:8">
      <c r="A2183" s="247"/>
      <c r="B2183" s="410" t="s">
        <v>808</v>
      </c>
      <c r="C2183" s="247"/>
      <c r="D2183" s="247" t="s">
        <v>2646</v>
      </c>
      <c r="E2183" s="372">
        <v>0.08</v>
      </c>
      <c r="F2183" s="360">
        <f>'UPAD-BAHAN-ALAT'!$I$71</f>
        <v>176000</v>
      </c>
      <c r="G2183" s="248">
        <f>F2183*E2183</f>
        <v>14080</v>
      </c>
    </row>
    <row r="2184" spans="1:8">
      <c r="A2184" s="247"/>
      <c r="B2184" s="295"/>
      <c r="C2184" s="296"/>
      <c r="D2184" s="296"/>
      <c r="E2184" s="1146" t="s">
        <v>702</v>
      </c>
      <c r="F2184" s="1146"/>
      <c r="G2184" s="248">
        <f>SUM(G2181:G2183)</f>
        <v>182767.5</v>
      </c>
    </row>
    <row r="2185" spans="1:8" s="265" customFormat="1">
      <c r="A2185" s="294" t="s">
        <v>703</v>
      </c>
      <c r="B2185" s="1147" t="s">
        <v>3910</v>
      </c>
      <c r="C2185" s="1147"/>
      <c r="D2185" s="1147"/>
      <c r="E2185" s="1147"/>
      <c r="F2185" s="1147"/>
      <c r="G2185" s="255">
        <f>G2179+G2184</f>
        <v>283967.5</v>
      </c>
    </row>
    <row r="2186" spans="1:8" s="265" customFormat="1">
      <c r="A2186" s="294" t="s">
        <v>706</v>
      </c>
      <c r="B2186" s="1148" t="s">
        <v>876</v>
      </c>
      <c r="C2186" s="1148"/>
      <c r="D2186" s="1148"/>
      <c r="E2186" s="1147" t="s">
        <v>4030</v>
      </c>
      <c r="F2186" s="1147"/>
      <c r="G2186" s="255">
        <f>G2185*0.15</f>
        <v>42595.125</v>
      </c>
    </row>
    <row r="2187" spans="1:8" s="265" customFormat="1">
      <c r="A2187" s="294" t="s">
        <v>708</v>
      </c>
      <c r="B2187" s="1149" t="s">
        <v>3911</v>
      </c>
      <c r="C2187" s="1149"/>
      <c r="D2187" s="1149"/>
      <c r="E2187" s="1149"/>
      <c r="F2187" s="1149"/>
      <c r="G2187" s="255">
        <f>ROUND(SUM(G2185:G2186),2)</f>
        <v>326562.63</v>
      </c>
      <c r="H2187" s="255">
        <f>SUM(G2185:G2186)</f>
        <v>326562.625</v>
      </c>
    </row>
    <row r="2188" spans="1:8">
      <c r="A2188" s="268"/>
      <c r="B2188" s="269"/>
      <c r="C2188" s="268"/>
      <c r="D2188" s="268"/>
      <c r="E2188" s="380"/>
      <c r="F2188" s="365"/>
      <c r="G2188" s="270"/>
    </row>
    <row r="2189" spans="1:8">
      <c r="A2189" s="284" t="s">
        <v>4145</v>
      </c>
      <c r="B2189" s="250" t="s">
        <v>2886</v>
      </c>
      <c r="C2189" s="252"/>
      <c r="D2189" s="252"/>
      <c r="E2189" s="374"/>
      <c r="F2189" s="361"/>
      <c r="G2189" s="253"/>
    </row>
    <row r="2190" spans="1:8" s="292" customFormat="1" ht="24.95" customHeight="1">
      <c r="A2190" s="298" t="s">
        <v>1003</v>
      </c>
      <c r="B2190" s="298" t="s">
        <v>1004</v>
      </c>
      <c r="C2190" s="298" t="s">
        <v>1005</v>
      </c>
      <c r="D2190" s="298" t="s">
        <v>1006</v>
      </c>
      <c r="E2190" s="377" t="s">
        <v>1007</v>
      </c>
      <c r="F2190" s="363" t="s">
        <v>2639</v>
      </c>
      <c r="G2190" s="291" t="s">
        <v>2638</v>
      </c>
    </row>
    <row r="2191" spans="1:8">
      <c r="A2191" s="294" t="s">
        <v>671</v>
      </c>
      <c r="B2191" s="411" t="s">
        <v>672</v>
      </c>
      <c r="C2191" s="247"/>
      <c r="D2191" s="247"/>
      <c r="E2191" s="372"/>
      <c r="F2191" s="360"/>
      <c r="G2191" s="248"/>
    </row>
    <row r="2192" spans="1:8">
      <c r="A2192" s="247"/>
      <c r="B2192" s="410" t="s">
        <v>673</v>
      </c>
      <c r="C2192" s="247" t="s">
        <v>674</v>
      </c>
      <c r="D2192" s="247" t="s">
        <v>675</v>
      </c>
      <c r="E2192" s="372">
        <v>0.6</v>
      </c>
      <c r="F2192" s="360">
        <f>'UPAD-BAHAN-ALAT'!$I$12</f>
        <v>110000</v>
      </c>
      <c r="G2192" s="248">
        <f>F2192*E2192</f>
        <v>66000</v>
      </c>
    </row>
    <row r="2193" spans="1:8">
      <c r="A2193" s="247"/>
      <c r="B2193" s="410" t="s">
        <v>816</v>
      </c>
      <c r="C2193" s="247" t="s">
        <v>678</v>
      </c>
      <c r="D2193" s="247" t="s">
        <v>675</v>
      </c>
      <c r="E2193" s="372">
        <v>0.2</v>
      </c>
      <c r="F2193" s="360">
        <f>'UPAD-BAHAN-ALAT'!$I$13</f>
        <v>140000</v>
      </c>
      <c r="G2193" s="248">
        <f>F2193*E2193</f>
        <v>28000</v>
      </c>
    </row>
    <row r="2194" spans="1:8">
      <c r="A2194" s="247"/>
      <c r="B2194" s="410" t="s">
        <v>680</v>
      </c>
      <c r="C2194" s="247" t="s">
        <v>681</v>
      </c>
      <c r="D2194" s="247" t="s">
        <v>675</v>
      </c>
      <c r="E2194" s="372">
        <v>0.02</v>
      </c>
      <c r="F2194" s="360">
        <f>'UPAD-BAHAN-ALAT'!$I$15</f>
        <v>150000</v>
      </c>
      <c r="G2194" s="248">
        <f>F2194*E2194</f>
        <v>3000</v>
      </c>
    </row>
    <row r="2195" spans="1:8">
      <c r="A2195" s="247"/>
      <c r="B2195" s="410" t="s">
        <v>683</v>
      </c>
      <c r="C2195" s="247" t="s">
        <v>684</v>
      </c>
      <c r="D2195" s="247" t="s">
        <v>675</v>
      </c>
      <c r="E2195" s="372">
        <v>0.03</v>
      </c>
      <c r="F2195" s="360">
        <f>'UPAD-BAHAN-ALAT'!$I$14</f>
        <v>140000</v>
      </c>
      <c r="G2195" s="248">
        <f>F2195*E2195</f>
        <v>4200</v>
      </c>
    </row>
    <row r="2196" spans="1:8">
      <c r="A2196" s="247"/>
      <c r="B2196" s="410"/>
      <c r="C2196" s="247"/>
      <c r="D2196" s="247"/>
      <c r="E2196" s="1146" t="s">
        <v>685</v>
      </c>
      <c r="F2196" s="1146"/>
      <c r="G2196" s="248">
        <f>SUM(G2192:G2195)</f>
        <v>101200</v>
      </c>
    </row>
    <row r="2197" spans="1:8">
      <c r="A2197" s="294" t="s">
        <v>686</v>
      </c>
      <c r="B2197" s="411" t="s">
        <v>687</v>
      </c>
      <c r="C2197" s="247"/>
      <c r="D2197" s="247"/>
      <c r="E2197" s="372"/>
      <c r="F2197" s="360"/>
      <c r="G2197" s="248"/>
    </row>
    <row r="2198" spans="1:8">
      <c r="A2198" s="247"/>
      <c r="B2198" s="410" t="s">
        <v>742</v>
      </c>
      <c r="C2198" s="247"/>
      <c r="D2198" s="247" t="s">
        <v>1423</v>
      </c>
      <c r="E2198" s="372">
        <v>140</v>
      </c>
      <c r="F2198" s="360">
        <f>'UPAD-BAHAN-ALAT'!$I$61</f>
        <v>700</v>
      </c>
      <c r="G2198" s="248">
        <f>F2198*E2198</f>
        <v>98000</v>
      </c>
    </row>
    <row r="2199" spans="1:8">
      <c r="A2199" s="247"/>
      <c r="B2199" s="410" t="s">
        <v>818</v>
      </c>
      <c r="C2199" s="247"/>
      <c r="D2199" s="247" t="s">
        <v>690</v>
      </c>
      <c r="E2199" s="372">
        <v>32.950000000000003</v>
      </c>
      <c r="F2199" s="360">
        <f>'UPAD-BAHAN-ALAT'!$I$77</f>
        <v>1625</v>
      </c>
      <c r="G2199" s="248">
        <f>F2199*E2199</f>
        <v>53543.750000000007</v>
      </c>
    </row>
    <row r="2200" spans="1:8">
      <c r="A2200" s="247"/>
      <c r="B2200" s="410" t="s">
        <v>808</v>
      </c>
      <c r="C2200" s="247"/>
      <c r="D2200" s="247" t="s">
        <v>2646</v>
      </c>
      <c r="E2200" s="372">
        <v>9.0999999999999998E-2</v>
      </c>
      <c r="F2200" s="360">
        <f>'UPAD-BAHAN-ALAT'!$I$71</f>
        <v>176000</v>
      </c>
      <c r="G2200" s="248">
        <f>F2200*E2200</f>
        <v>16016</v>
      </c>
    </row>
    <row r="2201" spans="1:8">
      <c r="A2201" s="247"/>
      <c r="B2201" s="295"/>
      <c r="C2201" s="296"/>
      <c r="D2201" s="296"/>
      <c r="E2201" s="1146" t="s">
        <v>702</v>
      </c>
      <c r="F2201" s="1146"/>
      <c r="G2201" s="248">
        <f>SUM(G2198:G2200)</f>
        <v>167559.75</v>
      </c>
    </row>
    <row r="2202" spans="1:8" s="265" customFormat="1">
      <c r="A2202" s="294" t="s">
        <v>703</v>
      </c>
      <c r="B2202" s="1147" t="s">
        <v>3910</v>
      </c>
      <c r="C2202" s="1147"/>
      <c r="D2202" s="1147"/>
      <c r="E2202" s="1147"/>
      <c r="F2202" s="1147"/>
      <c r="G2202" s="255">
        <f>G2196+G2201</f>
        <v>268759.75</v>
      </c>
    </row>
    <row r="2203" spans="1:8" s="265" customFormat="1">
      <c r="A2203" s="294" t="s">
        <v>706</v>
      </c>
      <c r="B2203" s="1148" t="s">
        <v>876</v>
      </c>
      <c r="C2203" s="1148"/>
      <c r="D2203" s="1148"/>
      <c r="E2203" s="1147" t="s">
        <v>4030</v>
      </c>
      <c r="F2203" s="1147"/>
      <c r="G2203" s="255">
        <f>G2202*0.15</f>
        <v>40313.962500000001</v>
      </c>
    </row>
    <row r="2204" spans="1:8" s="265" customFormat="1">
      <c r="A2204" s="294" t="s">
        <v>708</v>
      </c>
      <c r="B2204" s="1149" t="s">
        <v>3911</v>
      </c>
      <c r="C2204" s="1149"/>
      <c r="D2204" s="1149"/>
      <c r="E2204" s="1149"/>
      <c r="F2204" s="1149"/>
      <c r="G2204" s="255">
        <f>ROUND(SUM(G2202:G2203),2)</f>
        <v>309073.71000000002</v>
      </c>
      <c r="H2204" s="255">
        <f>SUM(G2202:G2203)</f>
        <v>309073.71250000002</v>
      </c>
    </row>
    <row r="2206" spans="1:8">
      <c r="A2206" s="600" t="s">
        <v>4146</v>
      </c>
      <c r="B2206" s="265" t="s">
        <v>2887</v>
      </c>
    </row>
    <row r="2207" spans="1:8" s="292" customFormat="1" ht="24.95" customHeight="1">
      <c r="A2207" s="298" t="s">
        <v>1003</v>
      </c>
      <c r="B2207" s="298" t="s">
        <v>1004</v>
      </c>
      <c r="C2207" s="298" t="s">
        <v>1005</v>
      </c>
      <c r="D2207" s="298" t="s">
        <v>1006</v>
      </c>
      <c r="E2207" s="377" t="s">
        <v>1007</v>
      </c>
      <c r="F2207" s="363" t="s">
        <v>2639</v>
      </c>
      <c r="G2207" s="291" t="s">
        <v>2638</v>
      </c>
    </row>
    <row r="2208" spans="1:8">
      <c r="A2208" s="294" t="s">
        <v>671</v>
      </c>
      <c r="B2208" s="411" t="s">
        <v>672</v>
      </c>
      <c r="C2208" s="247"/>
      <c r="D2208" s="247"/>
      <c r="E2208" s="372"/>
      <c r="F2208" s="360"/>
      <c r="G2208" s="248"/>
    </row>
    <row r="2209" spans="1:8">
      <c r="A2209" s="247"/>
      <c r="B2209" s="410" t="s">
        <v>673</v>
      </c>
      <c r="C2209" s="247" t="s">
        <v>674</v>
      </c>
      <c r="D2209" s="247" t="s">
        <v>675</v>
      </c>
      <c r="E2209" s="372">
        <v>0.6</v>
      </c>
      <c r="F2209" s="360">
        <f>'UPAD-BAHAN-ALAT'!$I$12</f>
        <v>110000</v>
      </c>
      <c r="G2209" s="248">
        <f>F2209*E2209</f>
        <v>66000</v>
      </c>
    </row>
    <row r="2210" spans="1:8">
      <c r="A2210" s="247"/>
      <c r="B2210" s="410" t="s">
        <v>816</v>
      </c>
      <c r="C2210" s="247" t="s">
        <v>678</v>
      </c>
      <c r="D2210" s="247" t="s">
        <v>675</v>
      </c>
      <c r="E2210" s="372">
        <v>0.2</v>
      </c>
      <c r="F2210" s="360">
        <f>'UPAD-BAHAN-ALAT'!$I$13</f>
        <v>140000</v>
      </c>
      <c r="G2210" s="248">
        <f>F2210*E2210</f>
        <v>28000</v>
      </c>
    </row>
    <row r="2211" spans="1:8">
      <c r="A2211" s="247"/>
      <c r="B2211" s="410" t="s">
        <v>680</v>
      </c>
      <c r="C2211" s="247" t="s">
        <v>681</v>
      </c>
      <c r="D2211" s="247" t="s">
        <v>675</v>
      </c>
      <c r="E2211" s="372">
        <v>0.02</v>
      </c>
      <c r="F2211" s="360">
        <f>'UPAD-BAHAN-ALAT'!$I$15</f>
        <v>150000</v>
      </c>
      <c r="G2211" s="248">
        <f>F2211*E2211</f>
        <v>3000</v>
      </c>
    </row>
    <row r="2212" spans="1:8">
      <c r="A2212" s="247"/>
      <c r="B2212" s="410" t="s">
        <v>683</v>
      </c>
      <c r="C2212" s="247" t="s">
        <v>684</v>
      </c>
      <c r="D2212" s="247" t="s">
        <v>675</v>
      </c>
      <c r="E2212" s="372">
        <v>0.03</v>
      </c>
      <c r="F2212" s="360">
        <f>'UPAD-BAHAN-ALAT'!$I$14</f>
        <v>140000</v>
      </c>
      <c r="G2212" s="248">
        <f>F2212*E2212</f>
        <v>4200</v>
      </c>
    </row>
    <row r="2213" spans="1:8">
      <c r="A2213" s="247"/>
      <c r="B2213" s="410"/>
      <c r="C2213" s="247"/>
      <c r="D2213" s="247"/>
      <c r="E2213" s="1146" t="s">
        <v>685</v>
      </c>
      <c r="F2213" s="1146"/>
      <c r="G2213" s="248">
        <f>SUM(G2209:G2212)</f>
        <v>101200</v>
      </c>
    </row>
    <row r="2214" spans="1:8">
      <c r="A2214" s="294" t="s">
        <v>686</v>
      </c>
      <c r="B2214" s="411" t="s">
        <v>687</v>
      </c>
      <c r="C2214" s="247"/>
      <c r="D2214" s="247"/>
      <c r="E2214" s="372"/>
      <c r="F2214" s="360"/>
      <c r="G2214" s="248"/>
    </row>
    <row r="2215" spans="1:8">
      <c r="A2215" s="247"/>
      <c r="B2215" s="410" t="s">
        <v>742</v>
      </c>
      <c r="C2215" s="247"/>
      <c r="D2215" s="247" t="s">
        <v>1423</v>
      </c>
      <c r="E2215" s="372">
        <v>140</v>
      </c>
      <c r="F2215" s="360">
        <f>'UPAD-BAHAN-ALAT'!$I$61</f>
        <v>700</v>
      </c>
      <c r="G2215" s="248">
        <f>F2215*E2215</f>
        <v>98000</v>
      </c>
    </row>
    <row r="2216" spans="1:8">
      <c r="A2216" s="247"/>
      <c r="B2216" s="410" t="s">
        <v>818</v>
      </c>
      <c r="C2216" s="247"/>
      <c r="D2216" s="247" t="s">
        <v>690</v>
      </c>
      <c r="E2216" s="372">
        <v>26.55</v>
      </c>
      <c r="F2216" s="360">
        <f>'UPAD-BAHAN-ALAT'!$I$77</f>
        <v>1625</v>
      </c>
      <c r="G2216" s="248">
        <f>F2216*E2216</f>
        <v>43143.75</v>
      </c>
    </row>
    <row r="2217" spans="1:8">
      <c r="A2217" s="247"/>
      <c r="B2217" s="410" t="s">
        <v>808</v>
      </c>
      <c r="C2217" s="247"/>
      <c r="D2217" s="247" t="s">
        <v>2646</v>
      </c>
      <c r="E2217" s="372">
        <v>9.2999999999999999E-2</v>
      </c>
      <c r="F2217" s="360">
        <f>'UPAD-BAHAN-ALAT'!$I$71</f>
        <v>176000</v>
      </c>
      <c r="G2217" s="248">
        <f>F2217*E2217</f>
        <v>16368</v>
      </c>
    </row>
    <row r="2218" spans="1:8">
      <c r="A2218" s="247"/>
      <c r="B2218" s="295"/>
      <c r="C2218" s="296"/>
      <c r="D2218" s="296"/>
      <c r="E2218" s="1146" t="s">
        <v>702</v>
      </c>
      <c r="F2218" s="1146"/>
      <c r="G2218" s="248">
        <f>SUM(G2215:G2217)</f>
        <v>157511.75</v>
      </c>
    </row>
    <row r="2219" spans="1:8" s="265" customFormat="1">
      <c r="A2219" s="294" t="s">
        <v>703</v>
      </c>
      <c r="B2219" s="1147" t="s">
        <v>3910</v>
      </c>
      <c r="C2219" s="1147"/>
      <c r="D2219" s="1147"/>
      <c r="E2219" s="1147"/>
      <c r="F2219" s="1147"/>
      <c r="G2219" s="255">
        <f>G2213+G2218</f>
        <v>258711.75</v>
      </c>
    </row>
    <row r="2220" spans="1:8" s="265" customFormat="1">
      <c r="A2220" s="294" t="s">
        <v>706</v>
      </c>
      <c r="B2220" s="1148" t="s">
        <v>876</v>
      </c>
      <c r="C2220" s="1148"/>
      <c r="D2220" s="1148"/>
      <c r="E2220" s="1147" t="s">
        <v>4030</v>
      </c>
      <c r="F2220" s="1147"/>
      <c r="G2220" s="255">
        <f>G2219*0.15</f>
        <v>38806.762499999997</v>
      </c>
    </row>
    <row r="2221" spans="1:8" s="265" customFormat="1">
      <c r="A2221" s="294" t="s">
        <v>708</v>
      </c>
      <c r="B2221" s="1149" t="s">
        <v>3911</v>
      </c>
      <c r="C2221" s="1149"/>
      <c r="D2221" s="1149"/>
      <c r="E2221" s="1149"/>
      <c r="F2221" s="1149"/>
      <c r="G2221" s="255">
        <f>ROUND(SUM(G2219:G2220),2)</f>
        <v>297518.51</v>
      </c>
      <c r="H2221" s="255">
        <f>SUM(G2219:G2220)</f>
        <v>297518.51250000001</v>
      </c>
    </row>
    <row r="2222" spans="1:8">
      <c r="A2222" s="268"/>
      <c r="B2222" s="269"/>
      <c r="C2222" s="268"/>
      <c r="D2222" s="268"/>
      <c r="E2222" s="380"/>
      <c r="F2222" s="365"/>
      <c r="G2222" s="270"/>
    </row>
    <row r="2223" spans="1:8">
      <c r="A2223" s="284" t="s">
        <v>4147</v>
      </c>
      <c r="B2223" s="250" t="s">
        <v>2888</v>
      </c>
      <c r="C2223" s="252"/>
      <c r="D2223" s="252"/>
      <c r="E2223" s="374"/>
      <c r="F2223" s="361"/>
      <c r="G2223" s="253"/>
    </row>
    <row r="2224" spans="1:8" s="292" customFormat="1" ht="24.95" customHeight="1">
      <c r="A2224" s="298" t="s">
        <v>1003</v>
      </c>
      <c r="B2224" s="298" t="s">
        <v>1004</v>
      </c>
      <c r="C2224" s="298" t="s">
        <v>1005</v>
      </c>
      <c r="D2224" s="298" t="s">
        <v>1006</v>
      </c>
      <c r="E2224" s="377" t="s">
        <v>1007</v>
      </c>
      <c r="F2224" s="363" t="s">
        <v>2639</v>
      </c>
      <c r="G2224" s="291" t="s">
        <v>2638</v>
      </c>
    </row>
    <row r="2225" spans="1:8">
      <c r="A2225" s="294" t="s">
        <v>671</v>
      </c>
      <c r="B2225" s="411" t="s">
        <v>672</v>
      </c>
      <c r="C2225" s="247"/>
      <c r="D2225" s="247"/>
      <c r="E2225" s="372"/>
      <c r="F2225" s="360"/>
      <c r="G2225" s="248"/>
    </row>
    <row r="2226" spans="1:8">
      <c r="A2226" s="247"/>
      <c r="B2226" s="410" t="s">
        <v>673</v>
      </c>
      <c r="C2226" s="247" t="s">
        <v>674</v>
      </c>
      <c r="D2226" s="247" t="s">
        <v>675</v>
      </c>
      <c r="E2226" s="372">
        <v>0.6</v>
      </c>
      <c r="F2226" s="360">
        <f>'UPAD-BAHAN-ALAT'!$I$12</f>
        <v>110000</v>
      </c>
      <c r="G2226" s="248">
        <f>F2226*E2226</f>
        <v>66000</v>
      </c>
    </row>
    <row r="2227" spans="1:8">
      <c r="A2227" s="247"/>
      <c r="B2227" s="410" t="s">
        <v>816</v>
      </c>
      <c r="C2227" s="247" t="s">
        <v>678</v>
      </c>
      <c r="D2227" s="247" t="s">
        <v>675</v>
      </c>
      <c r="E2227" s="372">
        <v>0.2</v>
      </c>
      <c r="F2227" s="360">
        <f>'UPAD-BAHAN-ALAT'!$I$13</f>
        <v>140000</v>
      </c>
      <c r="G2227" s="248">
        <f>F2227*E2227</f>
        <v>28000</v>
      </c>
    </row>
    <row r="2228" spans="1:8">
      <c r="A2228" s="247"/>
      <c r="B2228" s="410" t="s">
        <v>680</v>
      </c>
      <c r="C2228" s="247" t="s">
        <v>681</v>
      </c>
      <c r="D2228" s="247" t="s">
        <v>675</v>
      </c>
      <c r="E2228" s="372">
        <v>0.02</v>
      </c>
      <c r="F2228" s="360">
        <f>'UPAD-BAHAN-ALAT'!$I$15</f>
        <v>150000</v>
      </c>
      <c r="G2228" s="248">
        <f>F2228*E2228</f>
        <v>3000</v>
      </c>
    </row>
    <row r="2229" spans="1:8">
      <c r="A2229" s="247"/>
      <c r="B2229" s="410" t="s">
        <v>683</v>
      </c>
      <c r="C2229" s="247" t="s">
        <v>684</v>
      </c>
      <c r="D2229" s="247" t="s">
        <v>675</v>
      </c>
      <c r="E2229" s="372">
        <v>0.03</v>
      </c>
      <c r="F2229" s="360">
        <f>'UPAD-BAHAN-ALAT'!$I$14</f>
        <v>140000</v>
      </c>
      <c r="G2229" s="248">
        <f>F2229*E2229</f>
        <v>4200</v>
      </c>
    </row>
    <row r="2230" spans="1:8">
      <c r="A2230" s="247"/>
      <c r="B2230" s="410"/>
      <c r="C2230" s="247"/>
      <c r="D2230" s="247"/>
      <c r="E2230" s="1146" t="s">
        <v>685</v>
      </c>
      <c r="F2230" s="1146"/>
      <c r="G2230" s="248">
        <f>SUM(G2226:G2229)</f>
        <v>101200</v>
      </c>
    </row>
    <row r="2231" spans="1:8">
      <c r="A2231" s="294" t="s">
        <v>686</v>
      </c>
      <c r="B2231" s="411" t="s">
        <v>687</v>
      </c>
      <c r="C2231" s="247"/>
      <c r="D2231" s="247"/>
      <c r="E2231" s="372"/>
      <c r="F2231" s="360"/>
      <c r="G2231" s="248"/>
    </row>
    <row r="2232" spans="1:8">
      <c r="A2232" s="247"/>
      <c r="B2232" s="410" t="s">
        <v>742</v>
      </c>
      <c r="C2232" s="247"/>
      <c r="D2232" s="247" t="s">
        <v>1423</v>
      </c>
      <c r="E2232" s="372">
        <v>140</v>
      </c>
      <c r="F2232" s="360">
        <f>'UPAD-BAHAN-ALAT'!$I$61</f>
        <v>700</v>
      </c>
      <c r="G2232" s="248">
        <f>F2232*E2232</f>
        <v>98000</v>
      </c>
    </row>
    <row r="2233" spans="1:8">
      <c r="A2233" s="247"/>
      <c r="B2233" s="410" t="s">
        <v>818</v>
      </c>
      <c r="C2233" s="247"/>
      <c r="D2233" s="247" t="s">
        <v>690</v>
      </c>
      <c r="E2233" s="372">
        <v>22.2</v>
      </c>
      <c r="F2233" s="360">
        <f>'UPAD-BAHAN-ALAT'!$I$77</f>
        <v>1625</v>
      </c>
      <c r="G2233" s="248">
        <f>F2233*E2233</f>
        <v>36075</v>
      </c>
    </row>
    <row r="2234" spans="1:8">
      <c r="A2234" s="247"/>
      <c r="B2234" s="410" t="s">
        <v>808</v>
      </c>
      <c r="C2234" s="247"/>
      <c r="D2234" s="247" t="s">
        <v>2646</v>
      </c>
      <c r="E2234" s="372">
        <v>0.10199999999999999</v>
      </c>
      <c r="F2234" s="360">
        <f>'UPAD-BAHAN-ALAT'!$I$71</f>
        <v>176000</v>
      </c>
      <c r="G2234" s="248">
        <f>F2234*E2234</f>
        <v>17952</v>
      </c>
    </row>
    <row r="2235" spans="1:8">
      <c r="A2235" s="247"/>
      <c r="B2235" s="295"/>
      <c r="C2235" s="296"/>
      <c r="D2235" s="296"/>
      <c r="E2235" s="1146" t="s">
        <v>702</v>
      </c>
      <c r="F2235" s="1146"/>
      <c r="G2235" s="248">
        <f>SUM(G2232:G2234)</f>
        <v>152027</v>
      </c>
    </row>
    <row r="2236" spans="1:8" s="265" customFormat="1">
      <c r="A2236" s="294" t="s">
        <v>703</v>
      </c>
      <c r="B2236" s="1147" t="s">
        <v>3910</v>
      </c>
      <c r="C2236" s="1147"/>
      <c r="D2236" s="1147"/>
      <c r="E2236" s="1147"/>
      <c r="F2236" s="1147"/>
      <c r="G2236" s="255">
        <f>G2230+G2235</f>
        <v>253227</v>
      </c>
    </row>
    <row r="2237" spans="1:8" s="265" customFormat="1">
      <c r="A2237" s="294" t="s">
        <v>706</v>
      </c>
      <c r="B2237" s="1148" t="s">
        <v>876</v>
      </c>
      <c r="C2237" s="1148"/>
      <c r="D2237" s="1148"/>
      <c r="E2237" s="1147" t="s">
        <v>4030</v>
      </c>
      <c r="F2237" s="1147"/>
      <c r="G2237" s="255">
        <f>G2236*0.15</f>
        <v>37984.049999999996</v>
      </c>
    </row>
    <row r="2238" spans="1:8" s="265" customFormat="1">
      <c r="A2238" s="294" t="s">
        <v>708</v>
      </c>
      <c r="B2238" s="1149" t="s">
        <v>3911</v>
      </c>
      <c r="C2238" s="1149"/>
      <c r="D2238" s="1149"/>
      <c r="E2238" s="1149"/>
      <c r="F2238" s="1149"/>
      <c r="G2238" s="255">
        <f>ROUND(SUM(G2236:G2237),2)</f>
        <v>291211.05</v>
      </c>
      <c r="H2238" s="255">
        <f>SUM(G2236:G2237)</f>
        <v>291211.05</v>
      </c>
    </row>
    <row r="2240" spans="1:8">
      <c r="A2240" s="600" t="s">
        <v>4148</v>
      </c>
      <c r="B2240" s="265" t="s">
        <v>2889</v>
      </c>
    </row>
    <row r="2241" spans="1:8" s="292" customFormat="1" ht="24.95" customHeight="1">
      <c r="A2241" s="298" t="s">
        <v>1003</v>
      </c>
      <c r="B2241" s="298" t="s">
        <v>1004</v>
      </c>
      <c r="C2241" s="298" t="s">
        <v>1005</v>
      </c>
      <c r="D2241" s="298" t="s">
        <v>1006</v>
      </c>
      <c r="E2241" s="377" t="s">
        <v>1007</v>
      </c>
      <c r="F2241" s="363" t="s">
        <v>2639</v>
      </c>
      <c r="G2241" s="291" t="s">
        <v>2638</v>
      </c>
    </row>
    <row r="2242" spans="1:8">
      <c r="A2242" s="294" t="s">
        <v>671</v>
      </c>
      <c r="B2242" s="410" t="s">
        <v>672</v>
      </c>
      <c r="C2242" s="247"/>
      <c r="D2242" s="247"/>
      <c r="E2242" s="372"/>
      <c r="F2242" s="360"/>
      <c r="G2242" s="248"/>
    </row>
    <row r="2243" spans="1:8">
      <c r="A2243" s="294"/>
      <c r="B2243" s="410" t="s">
        <v>673</v>
      </c>
      <c r="C2243" s="247" t="s">
        <v>674</v>
      </c>
      <c r="D2243" s="247" t="s">
        <v>675</v>
      </c>
      <c r="E2243" s="372">
        <v>0.6</v>
      </c>
      <c r="F2243" s="360">
        <f>'UPAD-BAHAN-ALAT'!$I$12</f>
        <v>110000</v>
      </c>
      <c r="G2243" s="248">
        <f>F2243*E2243</f>
        <v>66000</v>
      </c>
    </row>
    <row r="2244" spans="1:8">
      <c r="A2244" s="294"/>
      <c r="B2244" s="410" t="s">
        <v>816</v>
      </c>
      <c r="C2244" s="247" t="s">
        <v>678</v>
      </c>
      <c r="D2244" s="247" t="s">
        <v>675</v>
      </c>
      <c r="E2244" s="372">
        <v>0.2</v>
      </c>
      <c r="F2244" s="360">
        <f>'UPAD-BAHAN-ALAT'!$I$13</f>
        <v>140000</v>
      </c>
      <c r="G2244" s="248">
        <f>F2244*E2244</f>
        <v>28000</v>
      </c>
    </row>
    <row r="2245" spans="1:8">
      <c r="A2245" s="294"/>
      <c r="B2245" s="410" t="s">
        <v>680</v>
      </c>
      <c r="C2245" s="247" t="s">
        <v>681</v>
      </c>
      <c r="D2245" s="247" t="s">
        <v>675</v>
      </c>
      <c r="E2245" s="372">
        <v>0.02</v>
      </c>
      <c r="F2245" s="360">
        <f>'UPAD-BAHAN-ALAT'!$I$15</f>
        <v>150000</v>
      </c>
      <c r="G2245" s="248">
        <f>F2245*E2245</f>
        <v>3000</v>
      </c>
    </row>
    <row r="2246" spans="1:8">
      <c r="A2246" s="294"/>
      <c r="B2246" s="410" t="s">
        <v>683</v>
      </c>
      <c r="C2246" s="247" t="s">
        <v>684</v>
      </c>
      <c r="D2246" s="247" t="s">
        <v>675</v>
      </c>
      <c r="E2246" s="372">
        <v>0.03</v>
      </c>
      <c r="F2246" s="360">
        <f>'UPAD-BAHAN-ALAT'!$I$14</f>
        <v>140000</v>
      </c>
      <c r="G2246" s="248">
        <f>F2246*E2246</f>
        <v>4200</v>
      </c>
    </row>
    <row r="2247" spans="1:8">
      <c r="A2247" s="294"/>
      <c r="B2247" s="410"/>
      <c r="C2247" s="247"/>
      <c r="D2247" s="247"/>
      <c r="E2247" s="1146" t="s">
        <v>685</v>
      </c>
      <c r="F2247" s="1146"/>
      <c r="G2247" s="248">
        <f>SUM(G2243:G2246)</f>
        <v>101200</v>
      </c>
    </row>
    <row r="2248" spans="1:8">
      <c r="A2248" s="294" t="s">
        <v>686</v>
      </c>
      <c r="B2248" s="410" t="s">
        <v>687</v>
      </c>
      <c r="C2248" s="247"/>
      <c r="D2248" s="247"/>
      <c r="E2248" s="372"/>
      <c r="F2248" s="360"/>
      <c r="G2248" s="248"/>
    </row>
    <row r="2249" spans="1:8">
      <c r="A2249" s="294"/>
      <c r="B2249" s="410" t="s">
        <v>742</v>
      </c>
      <c r="C2249" s="247"/>
      <c r="D2249" s="247" t="s">
        <v>1423</v>
      </c>
      <c r="E2249" s="372">
        <v>140</v>
      </c>
      <c r="F2249" s="360">
        <f>'UPAD-BAHAN-ALAT'!$I$61</f>
        <v>700</v>
      </c>
      <c r="G2249" s="248">
        <f>F2249*E2249</f>
        <v>98000</v>
      </c>
    </row>
    <row r="2250" spans="1:8">
      <c r="A2250" s="294"/>
      <c r="B2250" s="410" t="s">
        <v>818</v>
      </c>
      <c r="C2250" s="247"/>
      <c r="D2250" s="247" t="s">
        <v>690</v>
      </c>
      <c r="E2250" s="372">
        <v>18.5</v>
      </c>
      <c r="F2250" s="360">
        <f>'UPAD-BAHAN-ALAT'!$I$77</f>
        <v>1625</v>
      </c>
      <c r="G2250" s="248">
        <f>F2250*E2250</f>
        <v>30062.5</v>
      </c>
    </row>
    <row r="2251" spans="1:8">
      <c r="A2251" s="294"/>
      <c r="B2251" s="410" t="s">
        <v>808</v>
      </c>
      <c r="C2251" s="247"/>
      <c r="D2251" s="247" t="s">
        <v>2646</v>
      </c>
      <c r="E2251" s="372">
        <v>0.122</v>
      </c>
      <c r="F2251" s="360">
        <f>'UPAD-BAHAN-ALAT'!$I$71</f>
        <v>176000</v>
      </c>
      <c r="G2251" s="248">
        <f>F2251*E2251</f>
        <v>21472</v>
      </c>
    </row>
    <row r="2252" spans="1:8">
      <c r="A2252" s="294"/>
      <c r="B2252" s="410"/>
      <c r="C2252" s="247"/>
      <c r="D2252" s="247"/>
      <c r="E2252" s="1146" t="s">
        <v>702</v>
      </c>
      <c r="F2252" s="1146"/>
      <c r="G2252" s="248">
        <f>SUM(G2249:G2251)</f>
        <v>149534.5</v>
      </c>
    </row>
    <row r="2253" spans="1:8">
      <c r="A2253" s="294"/>
      <c r="B2253" s="410"/>
      <c r="C2253" s="247"/>
      <c r="D2253" s="247"/>
      <c r="E2253" s="372"/>
      <c r="F2253" s="360"/>
      <c r="G2253" s="248"/>
    </row>
    <row r="2254" spans="1:8" s="265" customFormat="1">
      <c r="A2254" s="294" t="s">
        <v>703</v>
      </c>
      <c r="B2254" s="1151" t="s">
        <v>3910</v>
      </c>
      <c r="C2254" s="1151"/>
      <c r="D2254" s="1151"/>
      <c r="E2254" s="1151"/>
      <c r="F2254" s="1151"/>
      <c r="G2254" s="255">
        <f>G2247+G2252</f>
        <v>250734.5</v>
      </c>
    </row>
    <row r="2255" spans="1:8" s="265" customFormat="1">
      <c r="A2255" s="294" t="s">
        <v>706</v>
      </c>
      <c r="B2255" s="1148" t="s">
        <v>876</v>
      </c>
      <c r="C2255" s="1148"/>
      <c r="D2255" s="1148"/>
      <c r="E2255" s="1147" t="s">
        <v>4030</v>
      </c>
      <c r="F2255" s="1147"/>
      <c r="G2255" s="255">
        <f>G2254*0.15</f>
        <v>37610.174999999996</v>
      </c>
    </row>
    <row r="2256" spans="1:8" s="265" customFormat="1">
      <c r="A2256" s="294" t="s">
        <v>708</v>
      </c>
      <c r="B2256" s="1149" t="s">
        <v>3911</v>
      </c>
      <c r="C2256" s="1149"/>
      <c r="D2256" s="1149"/>
      <c r="E2256" s="1149"/>
      <c r="F2256" s="1149"/>
      <c r="G2256" s="255">
        <f>ROUND(SUM(G2254:G2255),2)</f>
        <v>288344.68</v>
      </c>
      <c r="H2256" s="255">
        <f>SUM(G2254:G2255)</f>
        <v>288344.67499999999</v>
      </c>
    </row>
    <row r="2257" spans="1:7">
      <c r="A2257" s="268"/>
      <c r="B2257" s="269"/>
      <c r="C2257" s="268"/>
      <c r="D2257" s="268"/>
      <c r="E2257" s="380"/>
      <c r="F2257" s="365"/>
      <c r="G2257" s="270"/>
    </row>
    <row r="2258" spans="1:7">
      <c r="A2258" s="600" t="s">
        <v>4149</v>
      </c>
      <c r="B2258" s="265" t="s">
        <v>2890</v>
      </c>
    </row>
    <row r="2259" spans="1:7" s="292" customFormat="1" ht="24.95" customHeight="1">
      <c r="A2259" s="298" t="s">
        <v>1003</v>
      </c>
      <c r="B2259" s="298" t="s">
        <v>1004</v>
      </c>
      <c r="C2259" s="298" t="s">
        <v>1005</v>
      </c>
      <c r="D2259" s="298" t="s">
        <v>1006</v>
      </c>
      <c r="E2259" s="377" t="s">
        <v>1007</v>
      </c>
      <c r="F2259" s="363" t="s">
        <v>2639</v>
      </c>
      <c r="G2259" s="291" t="s">
        <v>2638</v>
      </c>
    </row>
    <row r="2260" spans="1:7">
      <c r="A2260" s="294" t="s">
        <v>671</v>
      </c>
      <c r="B2260" s="410" t="s">
        <v>672</v>
      </c>
      <c r="C2260" s="247"/>
      <c r="D2260" s="247"/>
      <c r="E2260" s="372"/>
      <c r="F2260" s="360"/>
      <c r="G2260" s="248"/>
    </row>
    <row r="2261" spans="1:7">
      <c r="A2261" s="294"/>
      <c r="B2261" s="410" t="s">
        <v>673</v>
      </c>
      <c r="C2261" s="247" t="s">
        <v>674</v>
      </c>
      <c r="D2261" s="247" t="s">
        <v>675</v>
      </c>
      <c r="E2261" s="372">
        <v>0.3</v>
      </c>
      <c r="F2261" s="360">
        <f>'UPAD-BAHAN-ALAT'!$I$12</f>
        <v>110000</v>
      </c>
      <c r="G2261" s="248">
        <f>F2261*E2261</f>
        <v>33000</v>
      </c>
    </row>
    <row r="2262" spans="1:7">
      <c r="A2262" s="294"/>
      <c r="B2262" s="410" t="s">
        <v>816</v>
      </c>
      <c r="C2262" s="247" t="s">
        <v>678</v>
      </c>
      <c r="D2262" s="247" t="s">
        <v>675</v>
      </c>
      <c r="E2262" s="372">
        <v>0.1</v>
      </c>
      <c r="F2262" s="360">
        <f>'UPAD-BAHAN-ALAT'!$I$13</f>
        <v>140000</v>
      </c>
      <c r="G2262" s="248">
        <f>F2262*E2262</f>
        <v>14000</v>
      </c>
    </row>
    <row r="2263" spans="1:7">
      <c r="A2263" s="294"/>
      <c r="B2263" s="410" t="s">
        <v>680</v>
      </c>
      <c r="C2263" s="247" t="s">
        <v>681</v>
      </c>
      <c r="D2263" s="247" t="s">
        <v>675</v>
      </c>
      <c r="E2263" s="372">
        <v>0.01</v>
      </c>
      <c r="F2263" s="360">
        <f>'UPAD-BAHAN-ALAT'!$I$15</f>
        <v>150000</v>
      </c>
      <c r="G2263" s="248">
        <f>F2263*E2263</f>
        <v>1500</v>
      </c>
    </row>
    <row r="2264" spans="1:7">
      <c r="A2264" s="294"/>
      <c r="B2264" s="410" t="s">
        <v>683</v>
      </c>
      <c r="C2264" s="247" t="s">
        <v>684</v>
      </c>
      <c r="D2264" s="247" t="s">
        <v>675</v>
      </c>
      <c r="E2264" s="372">
        <v>1.4999999999999999E-2</v>
      </c>
      <c r="F2264" s="360">
        <f>'UPAD-BAHAN-ALAT'!$I$14</f>
        <v>140000</v>
      </c>
      <c r="G2264" s="248">
        <f>F2264*E2264</f>
        <v>2100</v>
      </c>
    </row>
    <row r="2265" spans="1:7">
      <c r="A2265" s="294"/>
      <c r="B2265" s="410"/>
      <c r="C2265" s="247"/>
      <c r="D2265" s="247"/>
      <c r="E2265" s="1146" t="s">
        <v>685</v>
      </c>
      <c r="F2265" s="1146"/>
      <c r="G2265" s="248">
        <f>SUM(G2261:G2264)</f>
        <v>50600</v>
      </c>
    </row>
    <row r="2266" spans="1:7">
      <c r="A2266" s="294" t="s">
        <v>686</v>
      </c>
      <c r="B2266" s="410" t="s">
        <v>687</v>
      </c>
      <c r="C2266" s="247"/>
      <c r="D2266" s="247"/>
      <c r="E2266" s="372"/>
      <c r="F2266" s="360"/>
      <c r="G2266" s="248"/>
    </row>
    <row r="2267" spans="1:7">
      <c r="A2267" s="294"/>
      <c r="B2267" s="410" t="s">
        <v>742</v>
      </c>
      <c r="C2267" s="247"/>
      <c r="D2267" s="247" t="s">
        <v>1423</v>
      </c>
      <c r="E2267" s="372">
        <v>70</v>
      </c>
      <c r="F2267" s="360">
        <f>'UPAD-BAHAN-ALAT'!$I$61</f>
        <v>700</v>
      </c>
      <c r="G2267" s="248">
        <f>F2267*E2267</f>
        <v>49000</v>
      </c>
    </row>
    <row r="2268" spans="1:7">
      <c r="A2268" s="294"/>
      <c r="B2268" s="410" t="s">
        <v>818</v>
      </c>
      <c r="C2268" s="247"/>
      <c r="D2268" s="247" t="s">
        <v>690</v>
      </c>
      <c r="E2268" s="372">
        <v>18.95</v>
      </c>
      <c r="F2268" s="360">
        <f>'UPAD-BAHAN-ALAT'!$I$77</f>
        <v>1625</v>
      </c>
      <c r="G2268" s="248">
        <f>F2268*E2268</f>
        <v>30793.75</v>
      </c>
    </row>
    <row r="2269" spans="1:7">
      <c r="A2269" s="294"/>
      <c r="B2269" s="410" t="s">
        <v>808</v>
      </c>
      <c r="C2269" s="247"/>
      <c r="D2269" s="247" t="s">
        <v>2646</v>
      </c>
      <c r="E2269" s="372">
        <v>3.7999999999999999E-2</v>
      </c>
      <c r="F2269" s="360">
        <f>'UPAD-BAHAN-ALAT'!$I$71</f>
        <v>176000</v>
      </c>
      <c r="G2269" s="248">
        <f>F2269*E2269</f>
        <v>6688</v>
      </c>
    </row>
    <row r="2270" spans="1:7">
      <c r="A2270" s="294"/>
      <c r="B2270" s="295"/>
      <c r="C2270" s="296"/>
      <c r="D2270" s="296"/>
      <c r="E2270" s="1146" t="s">
        <v>702</v>
      </c>
      <c r="F2270" s="1146"/>
      <c r="G2270" s="248">
        <f>SUM(G2267:G2269)</f>
        <v>86481.75</v>
      </c>
    </row>
    <row r="2271" spans="1:7" s="265" customFormat="1">
      <c r="A2271" s="294" t="s">
        <v>703</v>
      </c>
      <c r="B2271" s="1147" t="s">
        <v>3910</v>
      </c>
      <c r="C2271" s="1147"/>
      <c r="D2271" s="1147"/>
      <c r="E2271" s="1147"/>
      <c r="F2271" s="1147"/>
      <c r="G2271" s="255">
        <f>G2265+G2270</f>
        <v>137081.75</v>
      </c>
    </row>
    <row r="2272" spans="1:7" s="265" customFormat="1">
      <c r="A2272" s="294" t="s">
        <v>706</v>
      </c>
      <c r="B2272" s="1148" t="s">
        <v>876</v>
      </c>
      <c r="C2272" s="1148"/>
      <c r="D2272" s="1148"/>
      <c r="E2272" s="1147" t="s">
        <v>4030</v>
      </c>
      <c r="F2272" s="1147"/>
      <c r="G2272" s="255">
        <f>G2271*0.15</f>
        <v>20562.262500000001</v>
      </c>
    </row>
    <row r="2273" spans="1:8" s="265" customFormat="1">
      <c r="A2273" s="294" t="s">
        <v>708</v>
      </c>
      <c r="B2273" s="1149" t="s">
        <v>3911</v>
      </c>
      <c r="C2273" s="1149"/>
      <c r="D2273" s="1149"/>
      <c r="E2273" s="1149"/>
      <c r="F2273" s="1149"/>
      <c r="G2273" s="255">
        <f>ROUND(SUM(G2271:G2272),2)</f>
        <v>157644.01</v>
      </c>
      <c r="H2273" s="255">
        <f>SUM(G2271:G2272)</f>
        <v>157644.01250000001</v>
      </c>
    </row>
    <row r="2274" spans="1:8">
      <c r="A2274" s="268"/>
      <c r="B2274" s="269"/>
      <c r="C2274" s="268"/>
      <c r="D2274" s="268"/>
      <c r="E2274" s="380"/>
      <c r="F2274" s="365"/>
      <c r="G2274" s="270"/>
    </row>
    <row r="2275" spans="1:8">
      <c r="A2275" s="284" t="s">
        <v>4150</v>
      </c>
      <c r="B2275" s="250" t="s">
        <v>2891</v>
      </c>
      <c r="C2275" s="252"/>
      <c r="D2275" s="252"/>
      <c r="E2275" s="374"/>
      <c r="F2275" s="361"/>
      <c r="G2275" s="253"/>
    </row>
    <row r="2276" spans="1:8" s="292" customFormat="1" ht="24.95" customHeight="1">
      <c r="A2276" s="298" t="s">
        <v>1003</v>
      </c>
      <c r="B2276" s="298" t="s">
        <v>1004</v>
      </c>
      <c r="C2276" s="298" t="s">
        <v>1005</v>
      </c>
      <c r="D2276" s="298" t="s">
        <v>1006</v>
      </c>
      <c r="E2276" s="377" t="s">
        <v>1007</v>
      </c>
      <c r="F2276" s="363" t="s">
        <v>2639</v>
      </c>
      <c r="G2276" s="291" t="s">
        <v>2638</v>
      </c>
    </row>
    <row r="2277" spans="1:8">
      <c r="A2277" s="294" t="s">
        <v>671</v>
      </c>
      <c r="B2277" s="410" t="s">
        <v>672</v>
      </c>
      <c r="C2277" s="247"/>
      <c r="D2277" s="247"/>
      <c r="E2277" s="372"/>
      <c r="F2277" s="360"/>
      <c r="G2277" s="248"/>
    </row>
    <row r="2278" spans="1:8">
      <c r="A2278" s="294"/>
      <c r="B2278" s="410" t="s">
        <v>673</v>
      </c>
      <c r="C2278" s="247" t="s">
        <v>674</v>
      </c>
      <c r="D2278" s="247" t="s">
        <v>675</v>
      </c>
      <c r="E2278" s="372">
        <v>0.3</v>
      </c>
      <c r="F2278" s="360">
        <f>'UPAD-BAHAN-ALAT'!$I$12</f>
        <v>110000</v>
      </c>
      <c r="G2278" s="248">
        <f>F2278*E2278</f>
        <v>33000</v>
      </c>
    </row>
    <row r="2279" spans="1:8">
      <c r="A2279" s="294"/>
      <c r="B2279" s="410" t="s">
        <v>816</v>
      </c>
      <c r="C2279" s="247" t="s">
        <v>678</v>
      </c>
      <c r="D2279" s="247" t="s">
        <v>675</v>
      </c>
      <c r="E2279" s="372">
        <v>0.1</v>
      </c>
      <c r="F2279" s="360">
        <f>'UPAD-BAHAN-ALAT'!$I$13</f>
        <v>140000</v>
      </c>
      <c r="G2279" s="248">
        <f>F2279*E2279</f>
        <v>14000</v>
      </c>
    </row>
    <row r="2280" spans="1:8">
      <c r="A2280" s="294"/>
      <c r="B2280" s="410" t="s">
        <v>680</v>
      </c>
      <c r="C2280" s="247" t="s">
        <v>681</v>
      </c>
      <c r="D2280" s="247" t="s">
        <v>675</v>
      </c>
      <c r="E2280" s="372">
        <v>0.01</v>
      </c>
      <c r="F2280" s="360">
        <f>'UPAD-BAHAN-ALAT'!$I$15</f>
        <v>150000</v>
      </c>
      <c r="G2280" s="248">
        <f>F2280*E2280</f>
        <v>1500</v>
      </c>
    </row>
    <row r="2281" spans="1:8">
      <c r="A2281" s="294"/>
      <c r="B2281" s="410" t="s">
        <v>683</v>
      </c>
      <c r="C2281" s="247" t="s">
        <v>684</v>
      </c>
      <c r="D2281" s="247" t="s">
        <v>675</v>
      </c>
      <c r="E2281" s="372">
        <v>1.4999999999999999E-2</v>
      </c>
      <c r="F2281" s="360">
        <f>'UPAD-BAHAN-ALAT'!$I$14</f>
        <v>140000</v>
      </c>
      <c r="G2281" s="248">
        <f>F2281*E2281</f>
        <v>2100</v>
      </c>
    </row>
    <row r="2282" spans="1:8">
      <c r="A2282" s="294"/>
      <c r="B2282" s="410"/>
      <c r="C2282" s="247"/>
      <c r="D2282" s="247"/>
      <c r="E2282" s="1146" t="s">
        <v>685</v>
      </c>
      <c r="F2282" s="1146"/>
      <c r="G2282" s="248">
        <f>SUM(G2278:G2281)</f>
        <v>50600</v>
      </c>
    </row>
    <row r="2283" spans="1:8">
      <c r="A2283" s="294" t="s">
        <v>686</v>
      </c>
      <c r="B2283" s="410" t="s">
        <v>687</v>
      </c>
      <c r="C2283" s="247"/>
      <c r="D2283" s="247"/>
      <c r="E2283" s="372"/>
      <c r="F2283" s="360"/>
      <c r="G2283" s="248"/>
    </row>
    <row r="2284" spans="1:8">
      <c r="A2284" s="294"/>
      <c r="B2284" s="410" t="s">
        <v>742</v>
      </c>
      <c r="C2284" s="247"/>
      <c r="D2284" s="247" t="s">
        <v>1423</v>
      </c>
      <c r="E2284" s="372">
        <v>70</v>
      </c>
      <c r="F2284" s="360">
        <f>'UPAD-BAHAN-ALAT'!$I$61</f>
        <v>700</v>
      </c>
      <c r="G2284" s="248">
        <f>F2284*E2284</f>
        <v>49000</v>
      </c>
    </row>
    <row r="2285" spans="1:8">
      <c r="A2285" s="294"/>
      <c r="B2285" s="410" t="s">
        <v>818</v>
      </c>
      <c r="C2285" s="247"/>
      <c r="D2285" s="247" t="s">
        <v>690</v>
      </c>
      <c r="E2285" s="372">
        <v>14.37</v>
      </c>
      <c r="F2285" s="360">
        <f>'UPAD-BAHAN-ALAT'!$I$77</f>
        <v>1625</v>
      </c>
      <c r="G2285" s="248">
        <f>F2285*E2285</f>
        <v>23351.25</v>
      </c>
    </row>
    <row r="2286" spans="1:8">
      <c r="A2286" s="294"/>
      <c r="B2286" s="410" t="s">
        <v>808</v>
      </c>
      <c r="C2286" s="247"/>
      <c r="D2286" s="247" t="s">
        <v>2646</v>
      </c>
      <c r="E2286" s="372">
        <v>0.04</v>
      </c>
      <c r="F2286" s="360">
        <f>'UPAD-BAHAN-ALAT'!$I$71</f>
        <v>176000</v>
      </c>
      <c r="G2286" s="248">
        <f>F2286*E2286</f>
        <v>7040</v>
      </c>
    </row>
    <row r="2287" spans="1:8">
      <c r="A2287" s="294"/>
      <c r="B2287" s="295"/>
      <c r="C2287" s="296"/>
      <c r="D2287" s="296"/>
      <c r="E2287" s="1146" t="s">
        <v>702</v>
      </c>
      <c r="F2287" s="1146"/>
      <c r="G2287" s="248">
        <f>SUM(G2284:G2286)</f>
        <v>79391.25</v>
      </c>
    </row>
    <row r="2288" spans="1:8" s="265" customFormat="1">
      <c r="A2288" s="294" t="s">
        <v>703</v>
      </c>
      <c r="B2288" s="1147" t="s">
        <v>3910</v>
      </c>
      <c r="C2288" s="1147"/>
      <c r="D2288" s="1147"/>
      <c r="E2288" s="1147"/>
      <c r="F2288" s="1147"/>
      <c r="G2288" s="255">
        <f>G2282+G2287</f>
        <v>129991.25</v>
      </c>
    </row>
    <row r="2289" spans="1:8" s="265" customFormat="1">
      <c r="A2289" s="294" t="s">
        <v>706</v>
      </c>
      <c r="B2289" s="1148" t="s">
        <v>876</v>
      </c>
      <c r="C2289" s="1148"/>
      <c r="D2289" s="1148"/>
      <c r="E2289" s="1147" t="s">
        <v>4030</v>
      </c>
      <c r="F2289" s="1147"/>
      <c r="G2289" s="255">
        <f>G2288*0.15</f>
        <v>19498.6875</v>
      </c>
    </row>
    <row r="2290" spans="1:8" s="265" customFormat="1">
      <c r="A2290" s="294" t="s">
        <v>708</v>
      </c>
      <c r="B2290" s="1149" t="s">
        <v>3911</v>
      </c>
      <c r="C2290" s="1149"/>
      <c r="D2290" s="1149"/>
      <c r="E2290" s="1149"/>
      <c r="F2290" s="1149"/>
      <c r="G2290" s="255">
        <f>ROUND(SUM(G2288:G2289),2)</f>
        <v>149489.94</v>
      </c>
      <c r="H2290" s="255">
        <f>SUM(G2288:G2289)</f>
        <v>149489.9375</v>
      </c>
    </row>
    <row r="2292" spans="1:8" s="814" customFormat="1">
      <c r="A2292" s="847" t="s">
        <v>4151</v>
      </c>
      <c r="B2292" s="848" t="s">
        <v>4727</v>
      </c>
      <c r="C2292" s="849"/>
      <c r="D2292" s="849"/>
      <c r="E2292" s="850"/>
      <c r="F2292" s="851"/>
      <c r="G2292" s="852"/>
    </row>
    <row r="2293" spans="1:8" s="858" customFormat="1" ht="24.95" customHeight="1">
      <c r="A2293" s="898" t="s">
        <v>1003</v>
      </c>
      <c r="B2293" s="898" t="s">
        <v>1004</v>
      </c>
      <c r="C2293" s="898" t="s">
        <v>1005</v>
      </c>
      <c r="D2293" s="898" t="s">
        <v>1006</v>
      </c>
      <c r="E2293" s="899" t="s">
        <v>1007</v>
      </c>
      <c r="F2293" s="881" t="s">
        <v>2639</v>
      </c>
      <c r="G2293" s="857" t="s">
        <v>2638</v>
      </c>
    </row>
    <row r="2294" spans="1:8" s="814" customFormat="1">
      <c r="A2294" s="859" t="s">
        <v>671</v>
      </c>
      <c r="B2294" s="891" t="s">
        <v>672</v>
      </c>
      <c r="C2294" s="865"/>
      <c r="D2294" s="865"/>
      <c r="E2294" s="889"/>
      <c r="F2294" s="866"/>
      <c r="G2294" s="864"/>
    </row>
    <row r="2295" spans="1:8" s="814" customFormat="1">
      <c r="A2295" s="859"/>
      <c r="B2295" s="891" t="s">
        <v>673</v>
      </c>
      <c r="C2295" s="865" t="s">
        <v>674</v>
      </c>
      <c r="D2295" s="865" t="s">
        <v>675</v>
      </c>
      <c r="E2295" s="889">
        <v>0.3</v>
      </c>
      <c r="F2295" s="866">
        <f>'UPAD-BAHAN-ALAT'!$I$12</f>
        <v>110000</v>
      </c>
      <c r="G2295" s="864">
        <f>F2295*E2295</f>
        <v>33000</v>
      </c>
    </row>
    <row r="2296" spans="1:8" s="814" customFormat="1">
      <c r="A2296" s="859"/>
      <c r="B2296" s="891" t="s">
        <v>816</v>
      </c>
      <c r="C2296" s="865" t="s">
        <v>678</v>
      </c>
      <c r="D2296" s="865" t="s">
        <v>675</v>
      </c>
      <c r="E2296" s="889">
        <v>0.1</v>
      </c>
      <c r="F2296" s="866">
        <f>'UPAD-BAHAN-ALAT'!$I$13</f>
        <v>140000</v>
      </c>
      <c r="G2296" s="864">
        <f>F2296*E2296</f>
        <v>14000</v>
      </c>
    </row>
    <row r="2297" spans="1:8" s="814" customFormat="1">
      <c r="A2297" s="859"/>
      <c r="B2297" s="891" t="s">
        <v>680</v>
      </c>
      <c r="C2297" s="865" t="s">
        <v>681</v>
      </c>
      <c r="D2297" s="865" t="s">
        <v>675</v>
      </c>
      <c r="E2297" s="889">
        <v>0.01</v>
      </c>
      <c r="F2297" s="866">
        <f>'UPAD-BAHAN-ALAT'!$I$15</f>
        <v>150000</v>
      </c>
      <c r="G2297" s="864">
        <f>F2297*E2297</f>
        <v>1500</v>
      </c>
    </row>
    <row r="2298" spans="1:8" s="814" customFormat="1">
      <c r="A2298" s="859"/>
      <c r="B2298" s="891" t="s">
        <v>683</v>
      </c>
      <c r="C2298" s="865" t="s">
        <v>684</v>
      </c>
      <c r="D2298" s="865" t="s">
        <v>675</v>
      </c>
      <c r="E2298" s="889">
        <v>1.4999999999999999E-2</v>
      </c>
      <c r="F2298" s="866">
        <f>'UPAD-BAHAN-ALAT'!$I$14</f>
        <v>140000</v>
      </c>
      <c r="G2298" s="864">
        <f>F2298*E2298</f>
        <v>2100</v>
      </c>
    </row>
    <row r="2299" spans="1:8" s="814" customFormat="1">
      <c r="A2299" s="859"/>
      <c r="B2299" s="891"/>
      <c r="C2299" s="865"/>
      <c r="D2299" s="865"/>
      <c r="E2299" s="1156" t="s">
        <v>685</v>
      </c>
      <c r="F2299" s="1156"/>
      <c r="G2299" s="864">
        <f>SUM(G2295:G2298)</f>
        <v>50600</v>
      </c>
    </row>
    <row r="2300" spans="1:8" s="814" customFormat="1">
      <c r="A2300" s="859" t="s">
        <v>686</v>
      </c>
      <c r="B2300" s="891" t="s">
        <v>687</v>
      </c>
      <c r="C2300" s="865"/>
      <c r="D2300" s="865"/>
      <c r="E2300" s="889"/>
      <c r="F2300" s="866"/>
      <c r="G2300" s="864"/>
    </row>
    <row r="2301" spans="1:8" s="814" customFormat="1">
      <c r="A2301" s="859"/>
      <c r="B2301" s="891" t="s">
        <v>742</v>
      </c>
      <c r="C2301" s="865"/>
      <c r="D2301" s="865" t="s">
        <v>1423</v>
      </c>
      <c r="E2301" s="889">
        <v>70</v>
      </c>
      <c r="F2301" s="866">
        <f>'UPAD-BAHAN-ALAT'!$I$61</f>
        <v>700</v>
      </c>
      <c r="G2301" s="864">
        <f>F2301*E2301</f>
        <v>49000</v>
      </c>
    </row>
    <row r="2302" spans="1:8" s="814" customFormat="1">
      <c r="A2302" s="859"/>
      <c r="B2302" s="891" t="s">
        <v>818</v>
      </c>
      <c r="C2302" s="865"/>
      <c r="D2302" s="865" t="s">
        <v>690</v>
      </c>
      <c r="E2302" s="889">
        <v>11.5</v>
      </c>
      <c r="F2302" s="866">
        <f>'UPAD-BAHAN-ALAT'!$I$77</f>
        <v>1625</v>
      </c>
      <c r="G2302" s="864">
        <f>F2302*E2302</f>
        <v>18687.5</v>
      </c>
    </row>
    <row r="2303" spans="1:8" s="814" customFormat="1">
      <c r="A2303" s="859"/>
      <c r="B2303" s="891" t="s">
        <v>808</v>
      </c>
      <c r="C2303" s="865"/>
      <c r="D2303" s="865" t="s">
        <v>2646</v>
      </c>
      <c r="E2303" s="889">
        <v>4.2999999999999997E-2</v>
      </c>
      <c r="F2303" s="866">
        <f>'UPAD-BAHAN-ALAT'!$I$71</f>
        <v>176000</v>
      </c>
      <c r="G2303" s="864">
        <f>F2303*E2303</f>
        <v>7567.9999999999991</v>
      </c>
    </row>
    <row r="2304" spans="1:8" s="814" customFormat="1">
      <c r="A2304" s="859"/>
      <c r="B2304" s="900"/>
      <c r="C2304" s="897"/>
      <c r="D2304" s="897"/>
      <c r="E2304" s="1156" t="s">
        <v>702</v>
      </c>
      <c r="F2304" s="1156"/>
      <c r="G2304" s="864">
        <f>SUM(G2301:G2303)</f>
        <v>75255.5</v>
      </c>
    </row>
    <row r="2305" spans="1:8" s="848" customFormat="1">
      <c r="A2305" s="859" t="s">
        <v>703</v>
      </c>
      <c r="B2305" s="1153" t="s">
        <v>3910</v>
      </c>
      <c r="C2305" s="1153"/>
      <c r="D2305" s="1153"/>
      <c r="E2305" s="1153"/>
      <c r="F2305" s="1153"/>
      <c r="G2305" s="872">
        <f>G2299+G2304</f>
        <v>125855.5</v>
      </c>
    </row>
    <row r="2306" spans="1:8" s="848" customFormat="1">
      <c r="A2306" s="859" t="s">
        <v>706</v>
      </c>
      <c r="B2306" s="1152" t="s">
        <v>876</v>
      </c>
      <c r="C2306" s="1152"/>
      <c r="D2306" s="1152"/>
      <c r="E2306" s="1153" t="s">
        <v>4030</v>
      </c>
      <c r="F2306" s="1153"/>
      <c r="G2306" s="872">
        <f>G2305*0.15</f>
        <v>18878.325000000001</v>
      </c>
    </row>
    <row r="2307" spans="1:8" s="848" customFormat="1">
      <c r="A2307" s="859" t="s">
        <v>708</v>
      </c>
      <c r="B2307" s="1154" t="s">
        <v>3911</v>
      </c>
      <c r="C2307" s="1154"/>
      <c r="D2307" s="1154"/>
      <c r="E2307" s="1154"/>
      <c r="F2307" s="1154"/>
      <c r="G2307" s="872">
        <f>ROUND(SUM(G2305:G2306),2)</f>
        <v>144733.82999999999</v>
      </c>
      <c r="H2307" s="872">
        <f>SUM(G2305:G2306)</f>
        <v>144733.82500000001</v>
      </c>
    </row>
    <row r="2308" spans="1:8">
      <c r="A2308" s="268"/>
      <c r="B2308" s="269"/>
      <c r="C2308" s="268"/>
      <c r="D2308" s="268"/>
      <c r="E2308" s="380"/>
      <c r="F2308" s="365"/>
      <c r="G2308" s="270"/>
    </row>
    <row r="2309" spans="1:8">
      <c r="A2309" s="284" t="s">
        <v>4152</v>
      </c>
      <c r="B2309" s="250" t="s">
        <v>2893</v>
      </c>
      <c r="C2309" s="252"/>
      <c r="D2309" s="252"/>
      <c r="E2309" s="374"/>
      <c r="F2309" s="361"/>
      <c r="G2309" s="253"/>
    </row>
    <row r="2310" spans="1:8" s="292" customFormat="1" ht="24.95" customHeight="1">
      <c r="A2310" s="298" t="s">
        <v>1003</v>
      </c>
      <c r="B2310" s="298" t="s">
        <v>1004</v>
      </c>
      <c r="C2310" s="298" t="s">
        <v>1005</v>
      </c>
      <c r="D2310" s="298" t="s">
        <v>1006</v>
      </c>
      <c r="E2310" s="377" t="s">
        <v>1007</v>
      </c>
      <c r="F2310" s="363" t="s">
        <v>2639</v>
      </c>
      <c r="G2310" s="291" t="s">
        <v>2638</v>
      </c>
    </row>
    <row r="2311" spans="1:8">
      <c r="A2311" s="294" t="s">
        <v>671</v>
      </c>
      <c r="B2311" s="410" t="s">
        <v>672</v>
      </c>
      <c r="C2311" s="247"/>
      <c r="D2311" s="247"/>
      <c r="E2311" s="372"/>
      <c r="F2311" s="360"/>
      <c r="G2311" s="248"/>
    </row>
    <row r="2312" spans="1:8">
      <c r="A2312" s="294"/>
      <c r="B2312" s="410" t="s">
        <v>673</v>
      </c>
      <c r="C2312" s="247" t="s">
        <v>674</v>
      </c>
      <c r="D2312" s="247" t="s">
        <v>675</v>
      </c>
      <c r="E2312" s="372">
        <v>0.3</v>
      </c>
      <c r="F2312" s="360">
        <f>'UPAD-BAHAN-ALAT'!$I$12</f>
        <v>110000</v>
      </c>
      <c r="G2312" s="248">
        <f>F2312*E2312</f>
        <v>33000</v>
      </c>
    </row>
    <row r="2313" spans="1:8">
      <c r="A2313" s="294"/>
      <c r="B2313" s="410" t="s">
        <v>816</v>
      </c>
      <c r="C2313" s="247" t="s">
        <v>678</v>
      </c>
      <c r="D2313" s="247" t="s">
        <v>675</v>
      </c>
      <c r="E2313" s="372">
        <v>0.1</v>
      </c>
      <c r="F2313" s="360">
        <f>'UPAD-BAHAN-ALAT'!$I$13</f>
        <v>140000</v>
      </c>
      <c r="G2313" s="248">
        <f>F2313*E2313</f>
        <v>14000</v>
      </c>
    </row>
    <row r="2314" spans="1:8">
      <c r="A2314" s="294"/>
      <c r="B2314" s="410" t="s">
        <v>680</v>
      </c>
      <c r="C2314" s="247" t="s">
        <v>681</v>
      </c>
      <c r="D2314" s="247" t="s">
        <v>675</v>
      </c>
      <c r="E2314" s="372">
        <v>0.01</v>
      </c>
      <c r="F2314" s="360">
        <f>'UPAD-BAHAN-ALAT'!$I$15</f>
        <v>150000</v>
      </c>
      <c r="G2314" s="248">
        <f>F2314*E2314</f>
        <v>1500</v>
      </c>
    </row>
    <row r="2315" spans="1:8">
      <c r="A2315" s="294"/>
      <c r="B2315" s="410" t="s">
        <v>683</v>
      </c>
      <c r="C2315" s="247" t="s">
        <v>684</v>
      </c>
      <c r="D2315" s="247" t="s">
        <v>675</v>
      </c>
      <c r="E2315" s="372">
        <v>1.4999999999999999E-2</v>
      </c>
      <c r="F2315" s="360">
        <f>'UPAD-BAHAN-ALAT'!$I$14</f>
        <v>140000</v>
      </c>
      <c r="G2315" s="248">
        <f>F2315*E2315</f>
        <v>2100</v>
      </c>
    </row>
    <row r="2316" spans="1:8">
      <c r="A2316" s="294"/>
      <c r="B2316" s="410"/>
      <c r="C2316" s="247"/>
      <c r="D2316" s="247"/>
      <c r="E2316" s="1146" t="s">
        <v>685</v>
      </c>
      <c r="F2316" s="1146"/>
      <c r="G2316" s="248">
        <f>SUM(G2312:G2315)</f>
        <v>50600</v>
      </c>
    </row>
    <row r="2317" spans="1:8">
      <c r="A2317" s="294" t="s">
        <v>686</v>
      </c>
      <c r="B2317" s="410" t="s">
        <v>687</v>
      </c>
      <c r="C2317" s="247"/>
      <c r="D2317" s="247"/>
      <c r="E2317" s="372"/>
      <c r="F2317" s="360"/>
      <c r="G2317" s="248"/>
    </row>
    <row r="2318" spans="1:8">
      <c r="A2318" s="294"/>
      <c r="B2318" s="410" t="s">
        <v>742</v>
      </c>
      <c r="C2318" s="247"/>
      <c r="D2318" s="247" t="s">
        <v>1423</v>
      </c>
      <c r="E2318" s="372">
        <v>70</v>
      </c>
      <c r="F2318" s="360">
        <f>'UPAD-BAHAN-ALAT'!$I$61</f>
        <v>700</v>
      </c>
      <c r="G2318" s="248">
        <f>F2318*E2318</f>
        <v>49000</v>
      </c>
    </row>
    <row r="2319" spans="1:8">
      <c r="A2319" s="294"/>
      <c r="B2319" s="410" t="s">
        <v>818</v>
      </c>
      <c r="C2319" s="247"/>
      <c r="D2319" s="247" t="s">
        <v>690</v>
      </c>
      <c r="E2319" s="372">
        <v>9.68</v>
      </c>
      <c r="F2319" s="360">
        <f>'UPAD-BAHAN-ALAT'!$I$77</f>
        <v>1625</v>
      </c>
      <c r="G2319" s="248">
        <f>F2319*E2319</f>
        <v>15730</v>
      </c>
    </row>
    <row r="2320" spans="1:8">
      <c r="A2320" s="294"/>
      <c r="B2320" s="410" t="s">
        <v>808</v>
      </c>
      <c r="C2320" s="247"/>
      <c r="D2320" s="247" t="s">
        <v>2646</v>
      </c>
      <c r="E2320" s="372">
        <v>4.4999999999999998E-2</v>
      </c>
      <c r="F2320" s="360">
        <f>'UPAD-BAHAN-ALAT'!$I$71</f>
        <v>176000</v>
      </c>
      <c r="G2320" s="248">
        <f>F2320*E2320</f>
        <v>7920</v>
      </c>
    </row>
    <row r="2321" spans="1:8">
      <c r="A2321" s="294"/>
      <c r="B2321" s="295"/>
      <c r="C2321" s="296"/>
      <c r="D2321" s="296"/>
      <c r="E2321" s="1146" t="s">
        <v>702</v>
      </c>
      <c r="F2321" s="1146"/>
      <c r="G2321" s="248">
        <f>SUM(G2318:G2320)</f>
        <v>72650</v>
      </c>
    </row>
    <row r="2322" spans="1:8" s="265" customFormat="1">
      <c r="A2322" s="294" t="s">
        <v>703</v>
      </c>
      <c r="B2322" s="1147" t="s">
        <v>3910</v>
      </c>
      <c r="C2322" s="1147"/>
      <c r="D2322" s="1147"/>
      <c r="E2322" s="1147"/>
      <c r="F2322" s="1147"/>
      <c r="G2322" s="255">
        <f>G2316+G2321</f>
        <v>123250</v>
      </c>
    </row>
    <row r="2323" spans="1:8" s="265" customFormat="1">
      <c r="A2323" s="294" t="s">
        <v>706</v>
      </c>
      <c r="B2323" s="1148" t="s">
        <v>876</v>
      </c>
      <c r="C2323" s="1148"/>
      <c r="D2323" s="1148"/>
      <c r="E2323" s="1147" t="s">
        <v>4030</v>
      </c>
      <c r="F2323" s="1147"/>
      <c r="G2323" s="255">
        <f>G2322*0.15</f>
        <v>18487.5</v>
      </c>
    </row>
    <row r="2324" spans="1:8" s="265" customFormat="1">
      <c r="A2324" s="294" t="s">
        <v>708</v>
      </c>
      <c r="B2324" s="1149" t="s">
        <v>3911</v>
      </c>
      <c r="C2324" s="1149"/>
      <c r="D2324" s="1149"/>
      <c r="E2324" s="1149"/>
      <c r="F2324" s="1149"/>
      <c r="G2324" s="255">
        <f>ROUND(SUM(G2322:G2323),2)</f>
        <v>141737.5</v>
      </c>
      <c r="H2324" s="255">
        <f>SUM(G2322:G2323)</f>
        <v>141737.5</v>
      </c>
    </row>
    <row r="2326" spans="1:8">
      <c r="A2326" s="600" t="s">
        <v>4153</v>
      </c>
      <c r="B2326" s="265" t="s">
        <v>2894</v>
      </c>
    </row>
    <row r="2327" spans="1:8" s="292" customFormat="1" ht="24.95" customHeight="1">
      <c r="A2327" s="298" t="s">
        <v>1003</v>
      </c>
      <c r="B2327" s="298" t="s">
        <v>1004</v>
      </c>
      <c r="C2327" s="298" t="s">
        <v>1005</v>
      </c>
      <c r="D2327" s="298" t="s">
        <v>1006</v>
      </c>
      <c r="E2327" s="377" t="s">
        <v>1007</v>
      </c>
      <c r="F2327" s="363" t="s">
        <v>2639</v>
      </c>
      <c r="G2327" s="291" t="s">
        <v>2638</v>
      </c>
    </row>
    <row r="2328" spans="1:8">
      <c r="A2328" s="294" t="s">
        <v>671</v>
      </c>
      <c r="B2328" s="410" t="s">
        <v>672</v>
      </c>
      <c r="C2328" s="247"/>
      <c r="D2328" s="247"/>
      <c r="E2328" s="372"/>
      <c r="F2328" s="360"/>
      <c r="G2328" s="248"/>
    </row>
    <row r="2329" spans="1:8">
      <c r="A2329" s="294"/>
      <c r="B2329" s="410" t="s">
        <v>673</v>
      </c>
      <c r="C2329" s="247" t="s">
        <v>674</v>
      </c>
      <c r="D2329" s="247" t="s">
        <v>675</v>
      </c>
      <c r="E2329" s="372">
        <v>0.3</v>
      </c>
      <c r="F2329" s="360">
        <f>'UPAD-BAHAN-ALAT'!$I$12</f>
        <v>110000</v>
      </c>
      <c r="G2329" s="248">
        <f>F2329*E2329</f>
        <v>33000</v>
      </c>
    </row>
    <row r="2330" spans="1:8">
      <c r="A2330" s="294"/>
      <c r="B2330" s="410" t="s">
        <v>816</v>
      </c>
      <c r="C2330" s="247" t="s">
        <v>678</v>
      </c>
      <c r="D2330" s="247" t="s">
        <v>675</v>
      </c>
      <c r="E2330" s="372">
        <v>0.1</v>
      </c>
      <c r="F2330" s="360">
        <f>'UPAD-BAHAN-ALAT'!$I$13</f>
        <v>140000</v>
      </c>
      <c r="G2330" s="248">
        <f>F2330*E2330</f>
        <v>14000</v>
      </c>
    </row>
    <row r="2331" spans="1:8">
      <c r="A2331" s="294"/>
      <c r="B2331" s="410" t="s">
        <v>680</v>
      </c>
      <c r="C2331" s="247" t="s">
        <v>681</v>
      </c>
      <c r="D2331" s="247" t="s">
        <v>675</v>
      </c>
      <c r="E2331" s="372">
        <v>0.01</v>
      </c>
      <c r="F2331" s="360">
        <f>'UPAD-BAHAN-ALAT'!$I$15</f>
        <v>150000</v>
      </c>
      <c r="G2331" s="248">
        <f>F2331*E2331</f>
        <v>1500</v>
      </c>
    </row>
    <row r="2332" spans="1:8">
      <c r="A2332" s="294"/>
      <c r="B2332" s="410" t="s">
        <v>683</v>
      </c>
      <c r="C2332" s="247" t="s">
        <v>684</v>
      </c>
      <c r="D2332" s="247" t="s">
        <v>675</v>
      </c>
      <c r="E2332" s="372">
        <v>1.4999999999999999E-2</v>
      </c>
      <c r="F2332" s="360">
        <f>'UPAD-BAHAN-ALAT'!$I$14</f>
        <v>140000</v>
      </c>
      <c r="G2332" s="248">
        <f>F2332*E2332</f>
        <v>2100</v>
      </c>
    </row>
    <row r="2333" spans="1:8">
      <c r="A2333" s="294"/>
      <c r="B2333" s="410"/>
      <c r="C2333" s="247"/>
      <c r="D2333" s="247"/>
      <c r="E2333" s="1146" t="s">
        <v>685</v>
      </c>
      <c r="F2333" s="1146"/>
      <c r="G2333" s="248">
        <f>SUM(G2329:G2332)</f>
        <v>50600</v>
      </c>
    </row>
    <row r="2334" spans="1:8">
      <c r="A2334" s="294" t="s">
        <v>686</v>
      </c>
      <c r="B2334" s="410" t="s">
        <v>687</v>
      </c>
      <c r="C2334" s="247"/>
      <c r="D2334" s="247"/>
      <c r="E2334" s="372"/>
      <c r="F2334" s="360"/>
      <c r="G2334" s="248"/>
    </row>
    <row r="2335" spans="1:8">
      <c r="A2335" s="294"/>
      <c r="B2335" s="410" t="s">
        <v>742</v>
      </c>
      <c r="C2335" s="247"/>
      <c r="D2335" s="247" t="s">
        <v>1423</v>
      </c>
      <c r="E2335" s="372">
        <v>70</v>
      </c>
      <c r="F2335" s="360">
        <f>'UPAD-BAHAN-ALAT'!$I$61</f>
        <v>700</v>
      </c>
      <c r="G2335" s="248">
        <f>F2335*E2335</f>
        <v>49000</v>
      </c>
    </row>
    <row r="2336" spans="1:8">
      <c r="A2336" s="294"/>
      <c r="B2336" s="410" t="s">
        <v>738</v>
      </c>
      <c r="C2336" s="247"/>
      <c r="D2336" s="247" t="s">
        <v>690</v>
      </c>
      <c r="E2336" s="372">
        <v>8.32</v>
      </c>
      <c r="F2336" s="360">
        <f>'UPAD-BAHAN-ALAT'!$I$77</f>
        <v>1625</v>
      </c>
      <c r="G2336" s="248">
        <f>F2336*E2336</f>
        <v>13520</v>
      </c>
    </row>
    <row r="2337" spans="1:8">
      <c r="A2337" s="294"/>
      <c r="B2337" s="410" t="s">
        <v>808</v>
      </c>
      <c r="C2337" s="247"/>
      <c r="D2337" s="247" t="s">
        <v>2646</v>
      </c>
      <c r="E2337" s="372">
        <v>4.9000000000000002E-2</v>
      </c>
      <c r="F2337" s="360">
        <f>'UPAD-BAHAN-ALAT'!$I$71</f>
        <v>176000</v>
      </c>
      <c r="G2337" s="248">
        <f>F2337*E2337</f>
        <v>8624</v>
      </c>
    </row>
    <row r="2338" spans="1:8">
      <c r="A2338" s="294"/>
      <c r="B2338" s="295"/>
      <c r="C2338" s="296"/>
      <c r="D2338" s="296"/>
      <c r="E2338" s="1146" t="s">
        <v>702</v>
      </c>
      <c r="F2338" s="1146"/>
      <c r="G2338" s="248">
        <f>SUM(G2335:G2337)</f>
        <v>71144</v>
      </c>
    </row>
    <row r="2339" spans="1:8" s="265" customFormat="1">
      <c r="A2339" s="294" t="s">
        <v>703</v>
      </c>
      <c r="B2339" s="1147" t="s">
        <v>3910</v>
      </c>
      <c r="C2339" s="1147"/>
      <c r="D2339" s="1147"/>
      <c r="E2339" s="1147"/>
      <c r="F2339" s="1147"/>
      <c r="G2339" s="255">
        <f>G2333+G2338</f>
        <v>121744</v>
      </c>
    </row>
    <row r="2340" spans="1:8" s="265" customFormat="1">
      <c r="A2340" s="294" t="s">
        <v>706</v>
      </c>
      <c r="B2340" s="1148" t="s">
        <v>876</v>
      </c>
      <c r="C2340" s="1148"/>
      <c r="D2340" s="1148"/>
      <c r="E2340" s="1147" t="s">
        <v>4030</v>
      </c>
      <c r="F2340" s="1147"/>
      <c r="G2340" s="255">
        <f>G2339*0.15</f>
        <v>18261.599999999999</v>
      </c>
    </row>
    <row r="2341" spans="1:8" s="265" customFormat="1">
      <c r="A2341" s="294" t="s">
        <v>708</v>
      </c>
      <c r="B2341" s="1149" t="s">
        <v>3911</v>
      </c>
      <c r="C2341" s="1149"/>
      <c r="D2341" s="1149"/>
      <c r="E2341" s="1149"/>
      <c r="F2341" s="1149"/>
      <c r="G2341" s="255">
        <f>ROUND(SUM(G2339:G2340),2)</f>
        <v>140005.6</v>
      </c>
      <c r="H2341" s="255">
        <f>SUM(G2339:G2340)</f>
        <v>140005.6</v>
      </c>
    </row>
    <row r="2342" spans="1:8">
      <c r="A2342" s="268"/>
      <c r="B2342" s="269"/>
      <c r="C2342" s="268"/>
      <c r="D2342" s="268"/>
      <c r="E2342" s="380"/>
      <c r="F2342" s="365"/>
      <c r="G2342" s="270"/>
    </row>
    <row r="2343" spans="1:8">
      <c r="A2343" s="285" t="s">
        <v>4154</v>
      </c>
      <c r="B2343" s="250" t="s">
        <v>2895</v>
      </c>
      <c r="C2343" s="252"/>
      <c r="D2343" s="252"/>
      <c r="E2343" s="374"/>
      <c r="F2343" s="361"/>
      <c r="G2343" s="253"/>
    </row>
    <row r="2344" spans="1:8" s="292" customFormat="1" ht="24.95" customHeight="1">
      <c r="A2344" s="298" t="s">
        <v>1003</v>
      </c>
      <c r="B2344" s="298" t="s">
        <v>1004</v>
      </c>
      <c r="C2344" s="298" t="s">
        <v>1005</v>
      </c>
      <c r="D2344" s="298" t="s">
        <v>1006</v>
      </c>
      <c r="E2344" s="377" t="s">
        <v>1007</v>
      </c>
      <c r="F2344" s="363" t="s">
        <v>2639</v>
      </c>
      <c r="G2344" s="291" t="s">
        <v>2638</v>
      </c>
    </row>
    <row r="2345" spans="1:8">
      <c r="A2345" s="294" t="s">
        <v>671</v>
      </c>
      <c r="B2345" s="410" t="s">
        <v>672</v>
      </c>
      <c r="C2345" s="247"/>
      <c r="D2345" s="247"/>
      <c r="E2345" s="372"/>
      <c r="F2345" s="360"/>
      <c r="G2345" s="248"/>
    </row>
    <row r="2346" spans="1:8">
      <c r="A2346" s="294"/>
      <c r="B2346" s="410" t="s">
        <v>673</v>
      </c>
      <c r="C2346" s="247" t="s">
        <v>674</v>
      </c>
      <c r="D2346" s="247" t="s">
        <v>675</v>
      </c>
      <c r="E2346" s="372">
        <v>0.35</v>
      </c>
      <c r="F2346" s="360">
        <f>'UPAD-BAHAN-ALAT'!$I$12</f>
        <v>110000</v>
      </c>
      <c r="G2346" s="248">
        <f>F2346*E2346</f>
        <v>38500</v>
      </c>
    </row>
    <row r="2347" spans="1:8">
      <c r="A2347" s="294"/>
      <c r="B2347" s="410" t="s">
        <v>816</v>
      </c>
      <c r="C2347" s="247" t="s">
        <v>678</v>
      </c>
      <c r="D2347" s="247" t="s">
        <v>675</v>
      </c>
      <c r="E2347" s="372">
        <v>0.15</v>
      </c>
      <c r="F2347" s="360">
        <f>'UPAD-BAHAN-ALAT'!$I$13</f>
        <v>140000</v>
      </c>
      <c r="G2347" s="248">
        <f>F2347*E2347</f>
        <v>21000</v>
      </c>
    </row>
    <row r="2348" spans="1:8">
      <c r="A2348" s="294"/>
      <c r="B2348" s="410" t="s">
        <v>680</v>
      </c>
      <c r="C2348" s="247" t="s">
        <v>681</v>
      </c>
      <c r="D2348" s="247" t="s">
        <v>675</v>
      </c>
      <c r="E2348" s="372">
        <v>1.4999999999999999E-2</v>
      </c>
      <c r="F2348" s="360">
        <f>'UPAD-BAHAN-ALAT'!$I$15</f>
        <v>150000</v>
      </c>
      <c r="G2348" s="248">
        <f>F2348*E2348</f>
        <v>2250</v>
      </c>
    </row>
    <row r="2349" spans="1:8">
      <c r="A2349" s="294"/>
      <c r="B2349" s="410" t="s">
        <v>683</v>
      </c>
      <c r="C2349" s="247" t="s">
        <v>684</v>
      </c>
      <c r="D2349" s="247" t="s">
        <v>675</v>
      </c>
      <c r="E2349" s="372">
        <v>1.7999999999999999E-2</v>
      </c>
      <c r="F2349" s="360">
        <f>'UPAD-BAHAN-ALAT'!$I$14</f>
        <v>140000</v>
      </c>
      <c r="G2349" s="248">
        <f>F2349*E2349</f>
        <v>2520</v>
      </c>
    </row>
    <row r="2350" spans="1:8">
      <c r="A2350" s="294"/>
      <c r="B2350" s="410"/>
      <c r="C2350" s="247"/>
      <c r="D2350" s="247"/>
      <c r="E2350" s="1146" t="s">
        <v>685</v>
      </c>
      <c r="F2350" s="1146"/>
      <c r="G2350" s="248">
        <f>SUM(G2346:G2349)</f>
        <v>64270</v>
      </c>
    </row>
    <row r="2351" spans="1:8">
      <c r="A2351" s="294" t="s">
        <v>686</v>
      </c>
      <c r="B2351" s="410" t="s">
        <v>687</v>
      </c>
      <c r="C2351" s="247"/>
      <c r="D2351" s="247"/>
      <c r="E2351" s="372"/>
      <c r="F2351" s="360"/>
      <c r="G2351" s="248"/>
    </row>
    <row r="2352" spans="1:8">
      <c r="A2352" s="294"/>
      <c r="B2352" s="410" t="s">
        <v>1035</v>
      </c>
      <c r="C2352" s="247"/>
      <c r="D2352" s="247" t="s">
        <v>1423</v>
      </c>
      <c r="E2352" s="372">
        <v>12.5</v>
      </c>
      <c r="F2352" s="360">
        <f>'UPAD-BAHAN-ALAT'!$I$66</f>
        <v>3570</v>
      </c>
      <c r="G2352" s="248">
        <f>F2352*E2352</f>
        <v>44625</v>
      </c>
    </row>
    <row r="2353" spans="1:8">
      <c r="A2353" s="294"/>
      <c r="B2353" s="410" t="s">
        <v>738</v>
      </c>
      <c r="C2353" s="247"/>
      <c r="D2353" s="247" t="s">
        <v>690</v>
      </c>
      <c r="E2353" s="372">
        <v>30.32</v>
      </c>
      <c r="F2353" s="360">
        <f>'UPAD-BAHAN-ALAT'!$I$77</f>
        <v>1625</v>
      </c>
      <c r="G2353" s="248">
        <f>F2353*E2353</f>
        <v>49270</v>
      </c>
    </row>
    <row r="2354" spans="1:8">
      <c r="A2354" s="294"/>
      <c r="B2354" s="410" t="s">
        <v>808</v>
      </c>
      <c r="C2354" s="247"/>
      <c r="D2354" s="247" t="s">
        <v>2646</v>
      </c>
      <c r="E2354" s="372">
        <v>0.72799999999999998</v>
      </c>
      <c r="F2354" s="360">
        <f>'UPAD-BAHAN-ALAT'!$I$71</f>
        <v>176000</v>
      </c>
      <c r="G2354" s="248">
        <f>F2354*E2354</f>
        <v>128128</v>
      </c>
    </row>
    <row r="2355" spans="1:8">
      <c r="A2355" s="294"/>
      <c r="B2355" s="410" t="s">
        <v>1039</v>
      </c>
      <c r="C2355" s="247"/>
      <c r="D2355" s="247" t="s">
        <v>690</v>
      </c>
      <c r="E2355" s="372">
        <v>0.28000000000000003</v>
      </c>
      <c r="F2355" s="360">
        <f>'UPAD-BAHAN-ALAT'!$I$112</f>
        <v>13200</v>
      </c>
      <c r="G2355" s="248">
        <f>F2355*E2355</f>
        <v>3696.0000000000005</v>
      </c>
    </row>
    <row r="2356" spans="1:8">
      <c r="A2356" s="294"/>
      <c r="B2356" s="295"/>
      <c r="C2356" s="296"/>
      <c r="D2356" s="296"/>
      <c r="E2356" s="1146" t="s">
        <v>702</v>
      </c>
      <c r="F2356" s="1146"/>
      <c r="G2356" s="248">
        <f>SUM(G2352:G2355)</f>
        <v>225719</v>
      </c>
    </row>
    <row r="2357" spans="1:8" s="265" customFormat="1">
      <c r="A2357" s="294" t="s">
        <v>703</v>
      </c>
      <c r="B2357" s="1147" t="s">
        <v>3910</v>
      </c>
      <c r="C2357" s="1147"/>
      <c r="D2357" s="1147"/>
      <c r="E2357" s="1147"/>
      <c r="F2357" s="1147"/>
      <c r="G2357" s="255">
        <f>G2350+G2356</f>
        <v>289989</v>
      </c>
    </row>
    <row r="2358" spans="1:8" s="265" customFormat="1">
      <c r="A2358" s="294" t="s">
        <v>706</v>
      </c>
      <c r="B2358" s="1148" t="s">
        <v>876</v>
      </c>
      <c r="C2358" s="1148"/>
      <c r="D2358" s="1148"/>
      <c r="E2358" s="1147" t="s">
        <v>4030</v>
      </c>
      <c r="F2358" s="1147"/>
      <c r="G2358" s="255">
        <f>G2357*0.15</f>
        <v>43498.35</v>
      </c>
    </row>
    <row r="2359" spans="1:8" s="265" customFormat="1">
      <c r="A2359" s="294" t="s">
        <v>708</v>
      </c>
      <c r="B2359" s="1149" t="s">
        <v>3911</v>
      </c>
      <c r="C2359" s="1149"/>
      <c r="D2359" s="1149"/>
      <c r="E2359" s="1149"/>
      <c r="F2359" s="1149"/>
      <c r="G2359" s="255">
        <f>ROUND(SUM(G2357:G2358),2)</f>
        <v>333487.34999999998</v>
      </c>
      <c r="H2359" s="255">
        <f>SUM(G2357:G2358)</f>
        <v>333487.34999999998</v>
      </c>
    </row>
    <row r="2361" spans="1:8">
      <c r="A2361" s="286" t="s">
        <v>4155</v>
      </c>
      <c r="B2361" s="265" t="s">
        <v>2896</v>
      </c>
    </row>
    <row r="2362" spans="1:8" s="292" customFormat="1" ht="24.95" customHeight="1">
      <c r="A2362" s="298" t="s">
        <v>1003</v>
      </c>
      <c r="B2362" s="298" t="s">
        <v>1004</v>
      </c>
      <c r="C2362" s="298" t="s">
        <v>1005</v>
      </c>
      <c r="D2362" s="298" t="s">
        <v>1006</v>
      </c>
      <c r="E2362" s="377" t="s">
        <v>1007</v>
      </c>
      <c r="F2362" s="363" t="s">
        <v>2639</v>
      </c>
      <c r="G2362" s="291" t="s">
        <v>2638</v>
      </c>
    </row>
    <row r="2363" spans="1:8">
      <c r="A2363" s="294" t="s">
        <v>671</v>
      </c>
      <c r="B2363" s="410" t="s">
        <v>672</v>
      </c>
      <c r="C2363" s="247"/>
      <c r="D2363" s="247"/>
      <c r="E2363" s="372"/>
      <c r="F2363" s="360"/>
      <c r="G2363" s="248"/>
    </row>
    <row r="2364" spans="1:8">
      <c r="A2364" s="294"/>
      <c r="B2364" s="410" t="s">
        <v>673</v>
      </c>
      <c r="C2364" s="247" t="s">
        <v>674</v>
      </c>
      <c r="D2364" s="247" t="s">
        <v>675</v>
      </c>
      <c r="E2364" s="372">
        <v>0.35</v>
      </c>
      <c r="F2364" s="360">
        <f>'UPAD-BAHAN-ALAT'!$I$12</f>
        <v>110000</v>
      </c>
      <c r="G2364" s="248">
        <f>F2364*E2364</f>
        <v>38500</v>
      </c>
    </row>
    <row r="2365" spans="1:8">
      <c r="A2365" s="294"/>
      <c r="B2365" s="410" t="s">
        <v>816</v>
      </c>
      <c r="C2365" s="247" t="s">
        <v>678</v>
      </c>
      <c r="D2365" s="247" t="s">
        <v>675</v>
      </c>
      <c r="E2365" s="372">
        <v>0.15</v>
      </c>
      <c r="F2365" s="360">
        <f>'UPAD-BAHAN-ALAT'!$I$13</f>
        <v>140000</v>
      </c>
      <c r="G2365" s="248">
        <f>F2365*E2365</f>
        <v>21000</v>
      </c>
    </row>
    <row r="2366" spans="1:8">
      <c r="A2366" s="294"/>
      <c r="B2366" s="410" t="s">
        <v>680</v>
      </c>
      <c r="C2366" s="247" t="s">
        <v>681</v>
      </c>
      <c r="D2366" s="247" t="s">
        <v>675</v>
      </c>
      <c r="E2366" s="372">
        <v>1.4999999999999999E-2</v>
      </c>
      <c r="F2366" s="360">
        <f>'UPAD-BAHAN-ALAT'!$I$15</f>
        <v>150000</v>
      </c>
      <c r="G2366" s="248">
        <f>F2366*E2366</f>
        <v>2250</v>
      </c>
    </row>
    <row r="2367" spans="1:8">
      <c r="A2367" s="294"/>
      <c r="B2367" s="410" t="s">
        <v>683</v>
      </c>
      <c r="C2367" s="247" t="s">
        <v>684</v>
      </c>
      <c r="D2367" s="247" t="s">
        <v>675</v>
      </c>
      <c r="E2367" s="372">
        <v>1.7999999999999999E-2</v>
      </c>
      <c r="F2367" s="360">
        <f>'UPAD-BAHAN-ALAT'!$I$14</f>
        <v>140000</v>
      </c>
      <c r="G2367" s="248">
        <f>F2367*E2367</f>
        <v>2520</v>
      </c>
    </row>
    <row r="2368" spans="1:8">
      <c r="A2368" s="294"/>
      <c r="B2368" s="410"/>
      <c r="C2368" s="247"/>
      <c r="D2368" s="247"/>
      <c r="E2368" s="1146" t="s">
        <v>685</v>
      </c>
      <c r="F2368" s="1146"/>
      <c r="G2368" s="248">
        <f>SUM(G2364:G2367)</f>
        <v>64270</v>
      </c>
    </row>
    <row r="2369" spans="1:8">
      <c r="A2369" s="294" t="s">
        <v>686</v>
      </c>
      <c r="B2369" s="410" t="s">
        <v>687</v>
      </c>
      <c r="C2369" s="247"/>
      <c r="D2369" s="247"/>
      <c r="E2369" s="372"/>
      <c r="F2369" s="360"/>
      <c r="G2369" s="248"/>
    </row>
    <row r="2370" spans="1:8">
      <c r="A2370" s="294"/>
      <c r="B2370" s="410" t="s">
        <v>1035</v>
      </c>
      <c r="C2370" s="247"/>
      <c r="D2370" s="247" t="s">
        <v>1423</v>
      </c>
      <c r="E2370" s="372">
        <v>12.5</v>
      </c>
      <c r="F2370" s="360">
        <f>'UPAD-BAHAN-ALAT'!$I$66</f>
        <v>3570</v>
      </c>
      <c r="G2370" s="248">
        <f>F2370*E2370</f>
        <v>44625</v>
      </c>
    </row>
    <row r="2371" spans="1:8">
      <c r="A2371" s="294"/>
      <c r="B2371" s="410" t="s">
        <v>738</v>
      </c>
      <c r="C2371" s="247"/>
      <c r="D2371" s="247" t="s">
        <v>690</v>
      </c>
      <c r="E2371" s="372">
        <v>24.26</v>
      </c>
      <c r="F2371" s="360">
        <f>'UPAD-BAHAN-ALAT'!$I$77</f>
        <v>1625</v>
      </c>
      <c r="G2371" s="248">
        <f>F2371*E2371</f>
        <v>39422.5</v>
      </c>
    </row>
    <row r="2372" spans="1:8">
      <c r="A2372" s="294"/>
      <c r="B2372" s="410" t="s">
        <v>808</v>
      </c>
      <c r="C2372" s="247"/>
      <c r="D2372" s="247" t="s">
        <v>2646</v>
      </c>
      <c r="E2372" s="372">
        <v>0.77200000000000002</v>
      </c>
      <c r="F2372" s="360">
        <f>'UPAD-BAHAN-ALAT'!$I$71</f>
        <v>176000</v>
      </c>
      <c r="G2372" s="248">
        <f>F2372*E2372</f>
        <v>135872</v>
      </c>
    </row>
    <row r="2373" spans="1:8">
      <c r="A2373" s="294"/>
      <c r="B2373" s="410" t="s">
        <v>1043</v>
      </c>
      <c r="C2373" s="247"/>
      <c r="D2373" s="247" t="s">
        <v>690</v>
      </c>
      <c r="E2373" s="372">
        <v>0.28000000000000003</v>
      </c>
      <c r="F2373" s="360">
        <f>'UPAD-BAHAN-ALAT'!$I$112</f>
        <v>13200</v>
      </c>
      <c r="G2373" s="248">
        <f>F2373*E2373</f>
        <v>3696.0000000000005</v>
      </c>
    </row>
    <row r="2374" spans="1:8">
      <c r="A2374" s="294"/>
      <c r="B2374" s="295"/>
      <c r="C2374" s="296"/>
      <c r="D2374" s="296"/>
      <c r="E2374" s="1146" t="s">
        <v>702</v>
      </c>
      <c r="F2374" s="1146"/>
      <c r="G2374" s="248">
        <f>SUM(G2370:G2373)</f>
        <v>223615.5</v>
      </c>
    </row>
    <row r="2375" spans="1:8" s="265" customFormat="1">
      <c r="A2375" s="294" t="s">
        <v>703</v>
      </c>
      <c r="B2375" s="1147" t="s">
        <v>3910</v>
      </c>
      <c r="C2375" s="1147"/>
      <c r="D2375" s="1147"/>
      <c r="E2375" s="1147"/>
      <c r="F2375" s="1147"/>
      <c r="G2375" s="255">
        <f>G2368+G2374</f>
        <v>287885.5</v>
      </c>
    </row>
    <row r="2376" spans="1:8" s="265" customFormat="1">
      <c r="A2376" s="294" t="s">
        <v>706</v>
      </c>
      <c r="B2376" s="1148" t="s">
        <v>876</v>
      </c>
      <c r="C2376" s="1148"/>
      <c r="D2376" s="1148"/>
      <c r="E2376" s="1147" t="s">
        <v>4030</v>
      </c>
      <c r="F2376" s="1147"/>
      <c r="G2376" s="255">
        <f>G2375*0.15</f>
        <v>43182.824999999997</v>
      </c>
    </row>
    <row r="2377" spans="1:8" s="265" customFormat="1">
      <c r="A2377" s="294" t="s">
        <v>708</v>
      </c>
      <c r="B2377" s="1149" t="s">
        <v>3911</v>
      </c>
      <c r="C2377" s="1149"/>
      <c r="D2377" s="1149"/>
      <c r="E2377" s="1149"/>
      <c r="F2377" s="1149"/>
      <c r="G2377" s="255">
        <f>ROUND(SUM(G2375:G2376),2)</f>
        <v>331068.33</v>
      </c>
      <c r="H2377" s="255">
        <f>SUM(G2375:G2376)</f>
        <v>331068.32500000001</v>
      </c>
    </row>
    <row r="2378" spans="1:8">
      <c r="A2378" s="268"/>
      <c r="B2378" s="269"/>
      <c r="C2378" s="268"/>
      <c r="D2378" s="268"/>
      <c r="E2378" s="380"/>
      <c r="F2378" s="365"/>
      <c r="G2378" s="270"/>
    </row>
    <row r="2379" spans="1:8">
      <c r="A2379" s="285" t="s">
        <v>4156</v>
      </c>
      <c r="B2379" s="250" t="s">
        <v>2897</v>
      </c>
      <c r="C2379" s="252"/>
      <c r="D2379" s="252"/>
      <c r="E2379" s="374"/>
      <c r="F2379" s="361"/>
      <c r="G2379" s="253"/>
    </row>
    <row r="2380" spans="1:8" s="292" customFormat="1" ht="24.95" customHeight="1">
      <c r="A2380" s="298" t="s">
        <v>1003</v>
      </c>
      <c r="B2380" s="298" t="s">
        <v>1004</v>
      </c>
      <c r="C2380" s="298" t="s">
        <v>1005</v>
      </c>
      <c r="D2380" s="298" t="s">
        <v>1006</v>
      </c>
      <c r="E2380" s="377" t="s">
        <v>1007</v>
      </c>
      <c r="F2380" s="363" t="s">
        <v>2639</v>
      </c>
      <c r="G2380" s="291" t="s">
        <v>2638</v>
      </c>
    </row>
    <row r="2381" spans="1:8">
      <c r="A2381" s="294" t="s">
        <v>671</v>
      </c>
      <c r="B2381" s="410" t="s">
        <v>672</v>
      </c>
      <c r="C2381" s="247"/>
      <c r="D2381" s="247"/>
      <c r="E2381" s="372"/>
      <c r="F2381" s="360"/>
      <c r="G2381" s="248"/>
    </row>
    <row r="2382" spans="1:8">
      <c r="A2382" s="294"/>
      <c r="B2382" s="410" t="s">
        <v>673</v>
      </c>
      <c r="C2382" s="247" t="s">
        <v>674</v>
      </c>
      <c r="D2382" s="247" t="s">
        <v>675</v>
      </c>
      <c r="E2382" s="372">
        <v>0.32</v>
      </c>
      <c r="F2382" s="360">
        <f>'UPAD-BAHAN-ALAT'!$I$12</f>
        <v>110000</v>
      </c>
      <c r="G2382" s="248">
        <f>F2382*E2382</f>
        <v>35200</v>
      </c>
    </row>
    <row r="2383" spans="1:8">
      <c r="A2383" s="294"/>
      <c r="B2383" s="410" t="s">
        <v>816</v>
      </c>
      <c r="C2383" s="247" t="s">
        <v>678</v>
      </c>
      <c r="D2383" s="247" t="s">
        <v>675</v>
      </c>
      <c r="E2383" s="372">
        <v>0.12</v>
      </c>
      <c r="F2383" s="360">
        <f>'UPAD-BAHAN-ALAT'!$I$13</f>
        <v>140000</v>
      </c>
      <c r="G2383" s="248">
        <f>F2383*E2383</f>
        <v>16800</v>
      </c>
    </row>
    <row r="2384" spans="1:8">
      <c r="A2384" s="294"/>
      <c r="B2384" s="410" t="s">
        <v>680</v>
      </c>
      <c r="C2384" s="247" t="s">
        <v>681</v>
      </c>
      <c r="D2384" s="247" t="s">
        <v>675</v>
      </c>
      <c r="E2384" s="372">
        <v>1.2E-2</v>
      </c>
      <c r="F2384" s="360">
        <f>'UPAD-BAHAN-ALAT'!$I$15</f>
        <v>150000</v>
      </c>
      <c r="G2384" s="248">
        <f>F2384*E2384</f>
        <v>1800</v>
      </c>
    </row>
    <row r="2385" spans="1:8">
      <c r="A2385" s="294"/>
      <c r="B2385" s="410" t="s">
        <v>683</v>
      </c>
      <c r="C2385" s="247" t="s">
        <v>684</v>
      </c>
      <c r="D2385" s="247" t="s">
        <v>675</v>
      </c>
      <c r="E2385" s="372">
        <v>1.6E-2</v>
      </c>
      <c r="F2385" s="360">
        <f>'UPAD-BAHAN-ALAT'!$I$14</f>
        <v>140000</v>
      </c>
      <c r="G2385" s="248">
        <f>F2385*E2385</f>
        <v>2240</v>
      </c>
    </row>
    <row r="2386" spans="1:8">
      <c r="A2386" s="294"/>
      <c r="B2386" s="410"/>
      <c r="C2386" s="247"/>
      <c r="D2386" s="247"/>
      <c r="E2386" s="1146" t="s">
        <v>685</v>
      </c>
      <c r="F2386" s="1146"/>
      <c r="G2386" s="248">
        <f>SUM(G2382:G2385)</f>
        <v>56040</v>
      </c>
    </row>
    <row r="2387" spans="1:8">
      <c r="A2387" s="294" t="s">
        <v>686</v>
      </c>
      <c r="B2387" s="410" t="s">
        <v>687</v>
      </c>
      <c r="C2387" s="247"/>
      <c r="D2387" s="247"/>
      <c r="E2387" s="372"/>
      <c r="F2387" s="360"/>
      <c r="G2387" s="248"/>
    </row>
    <row r="2388" spans="1:8">
      <c r="A2388" s="294"/>
      <c r="B2388" s="410" t="s">
        <v>1045</v>
      </c>
      <c r="C2388" s="247"/>
      <c r="D2388" s="247" t="s">
        <v>1423</v>
      </c>
      <c r="E2388" s="372">
        <v>12.5</v>
      </c>
      <c r="F2388" s="360">
        <f>'UPAD-BAHAN-ALAT'!$I$67</f>
        <v>3200</v>
      </c>
      <c r="G2388" s="248">
        <f>F2388*E2388</f>
        <v>40000</v>
      </c>
    </row>
    <row r="2389" spans="1:8">
      <c r="A2389" s="294"/>
      <c r="B2389" s="410" t="s">
        <v>738</v>
      </c>
      <c r="C2389" s="247"/>
      <c r="D2389" s="247" t="s">
        <v>690</v>
      </c>
      <c r="E2389" s="372">
        <v>22.74</v>
      </c>
      <c r="F2389" s="360">
        <f>'UPAD-BAHAN-ALAT'!$I$77</f>
        <v>1625</v>
      </c>
      <c r="G2389" s="248">
        <f>F2389*E2389</f>
        <v>36952.5</v>
      </c>
    </row>
    <row r="2390" spans="1:8">
      <c r="A2390" s="294"/>
      <c r="B2390" s="410" t="s">
        <v>808</v>
      </c>
      <c r="C2390" s="247"/>
      <c r="D2390" s="247" t="s">
        <v>2646</v>
      </c>
      <c r="E2390" s="372">
        <v>0.55000000000000004</v>
      </c>
      <c r="F2390" s="360">
        <f>'UPAD-BAHAN-ALAT'!$I$71</f>
        <v>176000</v>
      </c>
      <c r="G2390" s="248">
        <f>F2390*E2390</f>
        <v>96800.000000000015</v>
      </c>
    </row>
    <row r="2391" spans="1:8">
      <c r="A2391" s="294"/>
      <c r="B2391" s="410" t="s">
        <v>1043</v>
      </c>
      <c r="C2391" s="247"/>
      <c r="D2391" s="247" t="s">
        <v>690</v>
      </c>
      <c r="E2391" s="372">
        <v>0.28000000000000003</v>
      </c>
      <c r="F2391" s="360">
        <f>'UPAD-BAHAN-ALAT'!$I$112</f>
        <v>13200</v>
      </c>
      <c r="G2391" s="248">
        <f>F2391*E2391</f>
        <v>3696.0000000000005</v>
      </c>
    </row>
    <row r="2392" spans="1:8">
      <c r="A2392" s="294"/>
      <c r="B2392" s="295"/>
      <c r="C2392" s="296"/>
      <c r="D2392" s="296"/>
      <c r="E2392" s="1146" t="s">
        <v>702</v>
      </c>
      <c r="F2392" s="1146"/>
      <c r="G2392" s="248">
        <f>SUM(G2388:G2391)</f>
        <v>177448.5</v>
      </c>
    </row>
    <row r="2393" spans="1:8" s="265" customFormat="1">
      <c r="A2393" s="294" t="s">
        <v>703</v>
      </c>
      <c r="B2393" s="1147" t="s">
        <v>3910</v>
      </c>
      <c r="C2393" s="1147"/>
      <c r="D2393" s="1147"/>
      <c r="E2393" s="1147"/>
      <c r="F2393" s="1147"/>
      <c r="G2393" s="255">
        <f>G2386+G2392</f>
        <v>233488.5</v>
      </c>
    </row>
    <row r="2394" spans="1:8" s="265" customFormat="1">
      <c r="A2394" s="294" t="s">
        <v>706</v>
      </c>
      <c r="B2394" s="1148" t="s">
        <v>876</v>
      </c>
      <c r="C2394" s="1148"/>
      <c r="D2394" s="1148"/>
      <c r="E2394" s="1147" t="s">
        <v>4030</v>
      </c>
      <c r="F2394" s="1147"/>
      <c r="G2394" s="255">
        <f>G2393*0.15</f>
        <v>35023.275000000001</v>
      </c>
    </row>
    <row r="2395" spans="1:8" s="265" customFormat="1">
      <c r="A2395" s="294" t="s">
        <v>708</v>
      </c>
      <c r="B2395" s="1149" t="s">
        <v>3911</v>
      </c>
      <c r="C2395" s="1149"/>
      <c r="D2395" s="1149"/>
      <c r="E2395" s="1149"/>
      <c r="F2395" s="1149"/>
      <c r="G2395" s="255">
        <f>ROUND(SUM(G2393:G2394),2)</f>
        <v>268511.78000000003</v>
      </c>
      <c r="H2395" s="255">
        <f>SUM(G2393:G2394)</f>
        <v>268511.77500000002</v>
      </c>
    </row>
    <row r="2397" spans="1:8">
      <c r="A2397" s="286" t="s">
        <v>4157</v>
      </c>
      <c r="B2397" s="265" t="s">
        <v>3469</v>
      </c>
    </row>
    <row r="2398" spans="1:8" s="292" customFormat="1" ht="24.95" customHeight="1">
      <c r="A2398" s="298" t="s">
        <v>1003</v>
      </c>
      <c r="B2398" s="298" t="s">
        <v>1004</v>
      </c>
      <c r="C2398" s="298" t="s">
        <v>1005</v>
      </c>
      <c r="D2398" s="298" t="s">
        <v>1006</v>
      </c>
      <c r="E2398" s="377" t="s">
        <v>1007</v>
      </c>
      <c r="F2398" s="363" t="s">
        <v>2639</v>
      </c>
      <c r="G2398" s="291" t="s">
        <v>2638</v>
      </c>
    </row>
    <row r="2399" spans="1:8">
      <c r="A2399" s="294" t="s">
        <v>671</v>
      </c>
      <c r="B2399" s="410" t="s">
        <v>672</v>
      </c>
      <c r="C2399" s="247"/>
      <c r="D2399" s="247"/>
      <c r="E2399" s="372"/>
      <c r="F2399" s="360"/>
      <c r="G2399" s="248"/>
    </row>
    <row r="2400" spans="1:8">
      <c r="A2400" s="294"/>
      <c r="B2400" s="410" t="s">
        <v>673</v>
      </c>
      <c r="C2400" s="247" t="s">
        <v>674</v>
      </c>
      <c r="D2400" s="247" t="s">
        <v>675</v>
      </c>
      <c r="E2400" s="372">
        <v>0.32</v>
      </c>
      <c r="F2400" s="360">
        <f>'UPAD-BAHAN-ALAT'!$I$12</f>
        <v>110000</v>
      </c>
      <c r="G2400" s="248">
        <f>F2400*E2400</f>
        <v>35200</v>
      </c>
    </row>
    <row r="2401" spans="1:8">
      <c r="A2401" s="294"/>
      <c r="B2401" s="410" t="s">
        <v>816</v>
      </c>
      <c r="C2401" s="247" t="s">
        <v>678</v>
      </c>
      <c r="D2401" s="247" t="s">
        <v>675</v>
      </c>
      <c r="E2401" s="372">
        <v>0.12</v>
      </c>
      <c r="F2401" s="360">
        <f>'UPAD-BAHAN-ALAT'!$I$13</f>
        <v>140000</v>
      </c>
      <c r="G2401" s="248">
        <f>F2401*E2401</f>
        <v>16800</v>
      </c>
    </row>
    <row r="2402" spans="1:8">
      <c r="A2402" s="294"/>
      <c r="B2402" s="410" t="s">
        <v>680</v>
      </c>
      <c r="C2402" s="247" t="s">
        <v>681</v>
      </c>
      <c r="D2402" s="247" t="s">
        <v>675</v>
      </c>
      <c r="E2402" s="372">
        <v>1.2E-2</v>
      </c>
      <c r="F2402" s="360">
        <f>'UPAD-BAHAN-ALAT'!$I$15</f>
        <v>150000</v>
      </c>
      <c r="G2402" s="248">
        <f>F2402*E2402</f>
        <v>1800</v>
      </c>
    </row>
    <row r="2403" spans="1:8">
      <c r="A2403" s="294"/>
      <c r="B2403" s="410" t="s">
        <v>683</v>
      </c>
      <c r="C2403" s="247" t="s">
        <v>684</v>
      </c>
      <c r="D2403" s="247" t="s">
        <v>675</v>
      </c>
      <c r="E2403" s="372">
        <v>1.6E-2</v>
      </c>
      <c r="F2403" s="360">
        <f>'UPAD-BAHAN-ALAT'!$I$14</f>
        <v>140000</v>
      </c>
      <c r="G2403" s="248">
        <f>F2403*E2403</f>
        <v>2240</v>
      </c>
    </row>
    <row r="2404" spans="1:8">
      <c r="A2404" s="294"/>
      <c r="B2404" s="410"/>
      <c r="C2404" s="247"/>
      <c r="D2404" s="247"/>
      <c r="E2404" s="1146" t="s">
        <v>685</v>
      </c>
      <c r="F2404" s="1146"/>
      <c r="G2404" s="248">
        <f>SUM(G2400:G2403)</f>
        <v>56040</v>
      </c>
    </row>
    <row r="2405" spans="1:8">
      <c r="A2405" s="294" t="s">
        <v>686</v>
      </c>
      <c r="B2405" s="410" t="s">
        <v>687</v>
      </c>
      <c r="C2405" s="247"/>
      <c r="D2405" s="247"/>
      <c r="E2405" s="372"/>
      <c r="F2405" s="360"/>
      <c r="G2405" s="248"/>
    </row>
    <row r="2406" spans="1:8">
      <c r="A2406" s="294"/>
      <c r="B2406" s="410" t="s">
        <v>1045</v>
      </c>
      <c r="C2406" s="247"/>
      <c r="D2406" s="247" t="s">
        <v>1423</v>
      </c>
      <c r="E2406" s="372">
        <v>12.5</v>
      </c>
      <c r="F2406" s="360">
        <f>'UPAD-BAHAN-ALAT'!$I$67</f>
        <v>3200</v>
      </c>
      <c r="G2406" s="248">
        <f>F2406*E2406</f>
        <v>40000</v>
      </c>
    </row>
    <row r="2407" spans="1:8">
      <c r="A2407" s="294"/>
      <c r="B2407" s="410" t="s">
        <v>738</v>
      </c>
      <c r="C2407" s="247"/>
      <c r="D2407" s="247" t="s">
        <v>690</v>
      </c>
      <c r="E2407" s="372">
        <v>18.2</v>
      </c>
      <c r="F2407" s="360">
        <f>'UPAD-BAHAN-ALAT'!$I$77</f>
        <v>1625</v>
      </c>
      <c r="G2407" s="248">
        <f>F2407*E2407</f>
        <v>29575</v>
      </c>
    </row>
    <row r="2408" spans="1:8">
      <c r="A2408" s="294"/>
      <c r="B2408" s="410" t="s">
        <v>808</v>
      </c>
      <c r="C2408" s="247"/>
      <c r="D2408" s="247" t="s">
        <v>2646</v>
      </c>
      <c r="E2408" s="372">
        <v>0.58199999999999996</v>
      </c>
      <c r="F2408" s="360">
        <f>'UPAD-BAHAN-ALAT'!$I$71</f>
        <v>176000</v>
      </c>
      <c r="G2408" s="248">
        <f>F2408*E2408</f>
        <v>102432</v>
      </c>
    </row>
    <row r="2409" spans="1:8">
      <c r="A2409" s="294"/>
      <c r="B2409" s="410" t="s">
        <v>1043</v>
      </c>
      <c r="C2409" s="247"/>
      <c r="D2409" s="247" t="s">
        <v>690</v>
      </c>
      <c r="E2409" s="372">
        <v>0.28000000000000003</v>
      </c>
      <c r="F2409" s="360">
        <f>'UPAD-BAHAN-ALAT'!$I$112</f>
        <v>13200</v>
      </c>
      <c r="G2409" s="248">
        <f>F2409*E2409</f>
        <v>3696.0000000000005</v>
      </c>
    </row>
    <row r="2410" spans="1:8">
      <c r="A2410" s="294"/>
      <c r="B2410" s="410"/>
      <c r="C2410" s="247"/>
      <c r="D2410" s="247"/>
      <c r="E2410" s="1155" t="s">
        <v>702</v>
      </c>
      <c r="F2410" s="1155"/>
      <c r="G2410" s="248">
        <f>SUM(G2406:G2409)</f>
        <v>175703</v>
      </c>
    </row>
    <row r="2411" spans="1:8" s="265" customFormat="1">
      <c r="A2411" s="294" t="s">
        <v>703</v>
      </c>
      <c r="B2411" s="1151" t="s">
        <v>3910</v>
      </c>
      <c r="C2411" s="1151"/>
      <c r="D2411" s="1151"/>
      <c r="E2411" s="1151"/>
      <c r="F2411" s="1151"/>
      <c r="G2411" s="255">
        <f>G2404+G2410</f>
        <v>231743</v>
      </c>
    </row>
    <row r="2412" spans="1:8" s="265" customFormat="1">
      <c r="A2412" s="294" t="s">
        <v>706</v>
      </c>
      <c r="B2412" s="1148" t="s">
        <v>876</v>
      </c>
      <c r="C2412" s="1148"/>
      <c r="D2412" s="1148"/>
      <c r="E2412" s="1147" t="s">
        <v>4030</v>
      </c>
      <c r="F2412" s="1147"/>
      <c r="G2412" s="255">
        <f>G2411*0.15</f>
        <v>34761.449999999997</v>
      </c>
    </row>
    <row r="2413" spans="1:8" s="265" customFormat="1">
      <c r="A2413" s="294" t="s">
        <v>708</v>
      </c>
      <c r="B2413" s="1149" t="s">
        <v>3911</v>
      </c>
      <c r="C2413" s="1149"/>
      <c r="D2413" s="1149"/>
      <c r="E2413" s="1149"/>
      <c r="F2413" s="1149"/>
      <c r="G2413" s="255">
        <f>ROUND(SUM(G2411:G2412),2)</f>
        <v>266504.45</v>
      </c>
      <c r="H2413" s="255">
        <f>SUM(G2411:G2412)</f>
        <v>266504.45</v>
      </c>
    </row>
    <row r="2414" spans="1:8">
      <c r="A2414" s="268"/>
      <c r="B2414" s="269"/>
      <c r="C2414" s="268"/>
      <c r="D2414" s="268"/>
      <c r="E2414" s="380"/>
      <c r="F2414" s="365"/>
      <c r="G2414" s="270"/>
    </row>
    <row r="2415" spans="1:8">
      <c r="A2415" s="285" t="s">
        <v>4158</v>
      </c>
      <c r="B2415" s="250" t="s">
        <v>3470</v>
      </c>
      <c r="C2415" s="252"/>
      <c r="D2415" s="252"/>
      <c r="E2415" s="374"/>
      <c r="F2415" s="361"/>
      <c r="G2415" s="253"/>
    </row>
    <row r="2416" spans="1:8" s="292" customFormat="1" ht="24.95" customHeight="1">
      <c r="A2416" s="298" t="s">
        <v>1003</v>
      </c>
      <c r="B2416" s="298" t="s">
        <v>1004</v>
      </c>
      <c r="C2416" s="298" t="s">
        <v>1005</v>
      </c>
      <c r="D2416" s="298" t="s">
        <v>1006</v>
      </c>
      <c r="E2416" s="377" t="s">
        <v>1007</v>
      </c>
      <c r="F2416" s="363" t="s">
        <v>2639</v>
      </c>
      <c r="G2416" s="291" t="s">
        <v>2638</v>
      </c>
    </row>
    <row r="2417" spans="1:8">
      <c r="A2417" s="294" t="s">
        <v>671</v>
      </c>
      <c r="B2417" s="410" t="s">
        <v>672</v>
      </c>
      <c r="C2417" s="247"/>
      <c r="D2417" s="247"/>
      <c r="E2417" s="372"/>
      <c r="F2417" s="360"/>
      <c r="G2417" s="248"/>
    </row>
    <row r="2418" spans="1:8">
      <c r="A2418" s="294"/>
      <c r="B2418" s="410" t="s">
        <v>673</v>
      </c>
      <c r="C2418" s="247" t="s">
        <v>674</v>
      </c>
      <c r="D2418" s="247" t="s">
        <v>675</v>
      </c>
      <c r="E2418" s="372">
        <v>0.3</v>
      </c>
      <c r="F2418" s="360">
        <f>'UPAD-BAHAN-ALAT'!$I$12</f>
        <v>110000</v>
      </c>
      <c r="G2418" s="248">
        <f>F2418*E2418</f>
        <v>33000</v>
      </c>
    </row>
    <row r="2419" spans="1:8">
      <c r="A2419" s="294"/>
      <c r="B2419" s="410" t="s">
        <v>816</v>
      </c>
      <c r="C2419" s="247" t="s">
        <v>678</v>
      </c>
      <c r="D2419" s="247" t="s">
        <v>675</v>
      </c>
      <c r="E2419" s="372">
        <v>0.1</v>
      </c>
      <c r="F2419" s="360">
        <f>'UPAD-BAHAN-ALAT'!$I$13</f>
        <v>140000</v>
      </c>
      <c r="G2419" s="248">
        <f>F2419*E2419</f>
        <v>14000</v>
      </c>
    </row>
    <row r="2420" spans="1:8">
      <c r="A2420" s="294"/>
      <c r="B2420" s="410" t="s">
        <v>680</v>
      </c>
      <c r="C2420" s="247" t="s">
        <v>681</v>
      </c>
      <c r="D2420" s="247" t="s">
        <v>675</v>
      </c>
      <c r="E2420" s="372">
        <v>0.01</v>
      </c>
      <c r="F2420" s="360">
        <f>'UPAD-BAHAN-ALAT'!$I$15</f>
        <v>150000</v>
      </c>
      <c r="G2420" s="248">
        <f>F2420*E2420</f>
        <v>1500</v>
      </c>
    </row>
    <row r="2421" spans="1:8">
      <c r="A2421" s="294"/>
      <c r="B2421" s="410" t="s">
        <v>683</v>
      </c>
      <c r="C2421" s="247" t="s">
        <v>684</v>
      </c>
      <c r="D2421" s="247" t="s">
        <v>675</v>
      </c>
      <c r="E2421" s="372">
        <v>1.4999999999999999E-2</v>
      </c>
      <c r="F2421" s="360">
        <f>'UPAD-BAHAN-ALAT'!$I$14</f>
        <v>140000</v>
      </c>
      <c r="G2421" s="248">
        <f>F2421*E2421</f>
        <v>2100</v>
      </c>
    </row>
    <row r="2422" spans="1:8">
      <c r="A2422" s="294"/>
      <c r="B2422" s="410"/>
      <c r="C2422" s="247"/>
      <c r="D2422" s="247"/>
      <c r="E2422" s="1146" t="s">
        <v>685</v>
      </c>
      <c r="F2422" s="1146"/>
      <c r="G2422" s="248">
        <f>SUM(G2418:G2421)</f>
        <v>50600</v>
      </c>
    </row>
    <row r="2423" spans="1:8">
      <c r="A2423" s="294" t="s">
        <v>686</v>
      </c>
      <c r="B2423" s="410" t="s">
        <v>687</v>
      </c>
      <c r="C2423" s="247"/>
      <c r="D2423" s="247"/>
      <c r="E2423" s="372"/>
      <c r="F2423" s="360"/>
      <c r="G2423" s="248"/>
    </row>
    <row r="2424" spans="1:8">
      <c r="A2424" s="294"/>
      <c r="B2424" s="410" t="s">
        <v>1050</v>
      </c>
      <c r="C2424" s="247"/>
      <c r="D2424" s="247" t="s">
        <v>1423</v>
      </c>
      <c r="E2424" s="372">
        <v>12.5</v>
      </c>
      <c r="F2424" s="360">
        <f>'UPAD-BAHAN-ALAT'!$I$68</f>
        <v>2700</v>
      </c>
      <c r="G2424" s="248">
        <f>F2424*E2424</f>
        <v>33750</v>
      </c>
    </row>
    <row r="2425" spans="1:8">
      <c r="A2425" s="294"/>
      <c r="B2425" s="410" t="s">
        <v>738</v>
      </c>
      <c r="C2425" s="247"/>
      <c r="D2425" s="247" t="s">
        <v>690</v>
      </c>
      <c r="E2425" s="372">
        <v>15.16</v>
      </c>
      <c r="F2425" s="360">
        <f>'UPAD-BAHAN-ALAT'!$I$77</f>
        <v>1625</v>
      </c>
      <c r="G2425" s="248">
        <f>F2425*E2425</f>
        <v>24635</v>
      </c>
    </row>
    <row r="2426" spans="1:8">
      <c r="A2426" s="294"/>
      <c r="B2426" s="410" t="s">
        <v>808</v>
      </c>
      <c r="C2426" s="247"/>
      <c r="D2426" s="247" t="s">
        <v>2646</v>
      </c>
      <c r="E2426" s="372">
        <v>0.36399999999999999</v>
      </c>
      <c r="F2426" s="360">
        <f>'UPAD-BAHAN-ALAT'!$I$71</f>
        <v>176000</v>
      </c>
      <c r="G2426" s="248">
        <f>F2426*E2426</f>
        <v>64064</v>
      </c>
    </row>
    <row r="2427" spans="1:8">
      <c r="A2427" s="294"/>
      <c r="B2427" s="410" t="s">
        <v>1043</v>
      </c>
      <c r="C2427" s="247"/>
      <c r="D2427" s="247" t="s">
        <v>690</v>
      </c>
      <c r="E2427" s="372">
        <v>0.28000000000000003</v>
      </c>
      <c r="F2427" s="360">
        <f>'UPAD-BAHAN-ALAT'!$I$112</f>
        <v>13200</v>
      </c>
      <c r="G2427" s="248">
        <f>F2427*E2427</f>
        <v>3696.0000000000005</v>
      </c>
    </row>
    <row r="2428" spans="1:8">
      <c r="A2428" s="294"/>
      <c r="B2428" s="295"/>
      <c r="C2428" s="296"/>
      <c r="D2428" s="296"/>
      <c r="E2428" s="1146" t="s">
        <v>702</v>
      </c>
      <c r="F2428" s="1146"/>
      <c r="G2428" s="248">
        <f>SUM(G2424:G2427)</f>
        <v>126145</v>
      </c>
    </row>
    <row r="2429" spans="1:8" s="265" customFormat="1">
      <c r="A2429" s="294" t="s">
        <v>703</v>
      </c>
      <c r="B2429" s="1147" t="s">
        <v>3910</v>
      </c>
      <c r="C2429" s="1147"/>
      <c r="D2429" s="1147"/>
      <c r="E2429" s="1147"/>
      <c r="F2429" s="1147"/>
      <c r="G2429" s="255">
        <f>G2422+G2428</f>
        <v>176745</v>
      </c>
    </row>
    <row r="2430" spans="1:8" s="265" customFormat="1">
      <c r="A2430" s="294" t="s">
        <v>706</v>
      </c>
      <c r="B2430" s="1148" t="s">
        <v>876</v>
      </c>
      <c r="C2430" s="1148"/>
      <c r="D2430" s="1148"/>
      <c r="E2430" s="1147" t="s">
        <v>4030</v>
      </c>
      <c r="F2430" s="1147"/>
      <c r="G2430" s="255">
        <f>G2429*0.15</f>
        <v>26511.75</v>
      </c>
    </row>
    <row r="2431" spans="1:8" s="265" customFormat="1">
      <c r="A2431" s="294" t="s">
        <v>708</v>
      </c>
      <c r="B2431" s="1149" t="s">
        <v>3911</v>
      </c>
      <c r="C2431" s="1149"/>
      <c r="D2431" s="1149"/>
      <c r="E2431" s="1149"/>
      <c r="F2431" s="1149"/>
      <c r="G2431" s="255">
        <f>ROUND(SUM(G2429:G2430),2)</f>
        <v>203256.75</v>
      </c>
      <c r="H2431" s="255">
        <f>SUM(G2429:G2430)</f>
        <v>203256.75</v>
      </c>
    </row>
    <row r="2433" spans="1:8">
      <c r="A2433" s="286" t="s">
        <v>4159</v>
      </c>
      <c r="B2433" s="265" t="s">
        <v>3471</v>
      </c>
    </row>
    <row r="2434" spans="1:8" s="292" customFormat="1" ht="24.95" customHeight="1">
      <c r="A2434" s="298" t="s">
        <v>1003</v>
      </c>
      <c r="B2434" s="298" t="s">
        <v>1004</v>
      </c>
      <c r="C2434" s="298" t="s">
        <v>1005</v>
      </c>
      <c r="D2434" s="298" t="s">
        <v>1006</v>
      </c>
      <c r="E2434" s="377" t="s">
        <v>1007</v>
      </c>
      <c r="F2434" s="363" t="s">
        <v>2639</v>
      </c>
      <c r="G2434" s="291" t="s">
        <v>2638</v>
      </c>
    </row>
    <row r="2435" spans="1:8">
      <c r="A2435" s="294" t="s">
        <v>671</v>
      </c>
      <c r="B2435" s="410" t="s">
        <v>672</v>
      </c>
      <c r="C2435" s="247"/>
      <c r="D2435" s="247"/>
      <c r="E2435" s="372"/>
      <c r="F2435" s="360"/>
      <c r="G2435" s="248"/>
    </row>
    <row r="2436" spans="1:8">
      <c r="A2436" s="294"/>
      <c r="B2436" s="410" t="s">
        <v>673</v>
      </c>
      <c r="C2436" s="247" t="s">
        <v>674</v>
      </c>
      <c r="D2436" s="247" t="s">
        <v>675</v>
      </c>
      <c r="E2436" s="372">
        <v>0.3</v>
      </c>
      <c r="F2436" s="360">
        <f>'UPAD-BAHAN-ALAT'!$I$12</f>
        <v>110000</v>
      </c>
      <c r="G2436" s="248">
        <f>F2436*E2436</f>
        <v>33000</v>
      </c>
    </row>
    <row r="2437" spans="1:8">
      <c r="A2437" s="294"/>
      <c r="B2437" s="410" t="s">
        <v>816</v>
      </c>
      <c r="C2437" s="247" t="s">
        <v>678</v>
      </c>
      <c r="D2437" s="247" t="s">
        <v>675</v>
      </c>
      <c r="E2437" s="372">
        <v>0.1</v>
      </c>
      <c r="F2437" s="360">
        <f>'UPAD-BAHAN-ALAT'!$I$13</f>
        <v>140000</v>
      </c>
      <c r="G2437" s="248">
        <f>F2437*E2437</f>
        <v>14000</v>
      </c>
    </row>
    <row r="2438" spans="1:8">
      <c r="A2438" s="294"/>
      <c r="B2438" s="410" t="s">
        <v>680</v>
      </c>
      <c r="C2438" s="247" t="s">
        <v>681</v>
      </c>
      <c r="D2438" s="247" t="s">
        <v>675</v>
      </c>
      <c r="E2438" s="372">
        <v>0.01</v>
      </c>
      <c r="F2438" s="360">
        <f>'UPAD-BAHAN-ALAT'!$I$15</f>
        <v>150000</v>
      </c>
      <c r="G2438" s="248">
        <f>F2438*E2438</f>
        <v>1500</v>
      </c>
    </row>
    <row r="2439" spans="1:8">
      <c r="A2439" s="294"/>
      <c r="B2439" s="410" t="s">
        <v>683</v>
      </c>
      <c r="C2439" s="247" t="s">
        <v>684</v>
      </c>
      <c r="D2439" s="247" t="s">
        <v>675</v>
      </c>
      <c r="E2439" s="372">
        <v>1.4999999999999999E-2</v>
      </c>
      <c r="F2439" s="360">
        <f>'UPAD-BAHAN-ALAT'!$I$14</f>
        <v>140000</v>
      </c>
      <c r="G2439" s="248">
        <f>F2439*E2439</f>
        <v>2100</v>
      </c>
    </row>
    <row r="2440" spans="1:8">
      <c r="A2440" s="294"/>
      <c r="B2440" s="410"/>
      <c r="C2440" s="247"/>
      <c r="D2440" s="247"/>
      <c r="E2440" s="1146" t="s">
        <v>685</v>
      </c>
      <c r="F2440" s="1146"/>
      <c r="G2440" s="248">
        <f>SUM(G2436:G2439)</f>
        <v>50600</v>
      </c>
    </row>
    <row r="2441" spans="1:8">
      <c r="A2441" s="294" t="s">
        <v>686</v>
      </c>
      <c r="B2441" s="410" t="s">
        <v>687</v>
      </c>
      <c r="C2441" s="247"/>
      <c r="D2441" s="247"/>
      <c r="E2441" s="372"/>
      <c r="F2441" s="360"/>
      <c r="G2441" s="248"/>
    </row>
    <row r="2442" spans="1:8">
      <c r="A2442" s="294"/>
      <c r="B2442" s="410" t="s">
        <v>1050</v>
      </c>
      <c r="C2442" s="247"/>
      <c r="D2442" s="247" t="s">
        <v>1423</v>
      </c>
      <c r="E2442" s="372">
        <v>12.5</v>
      </c>
      <c r="F2442" s="360">
        <f>'UPAD-BAHAN-ALAT'!$I$68</f>
        <v>2700</v>
      </c>
      <c r="G2442" s="248">
        <f>F2442*E2442</f>
        <v>33750</v>
      </c>
    </row>
    <row r="2443" spans="1:8">
      <c r="A2443" s="294"/>
      <c r="B2443" s="410" t="s">
        <v>738</v>
      </c>
      <c r="C2443" s="247"/>
      <c r="D2443" s="247" t="s">
        <v>690</v>
      </c>
      <c r="E2443" s="372">
        <v>12.13</v>
      </c>
      <c r="F2443" s="360">
        <f>'UPAD-BAHAN-ALAT'!$I$77</f>
        <v>1625</v>
      </c>
      <c r="G2443" s="248">
        <f>F2443*E2443</f>
        <v>19711.25</v>
      </c>
    </row>
    <row r="2444" spans="1:8">
      <c r="A2444" s="294"/>
      <c r="B2444" s="410" t="s">
        <v>808</v>
      </c>
      <c r="C2444" s="247"/>
      <c r="D2444" s="247" t="s">
        <v>2646</v>
      </c>
      <c r="E2444" s="372">
        <v>0.38800000000000001</v>
      </c>
      <c r="F2444" s="360">
        <f>'UPAD-BAHAN-ALAT'!$I$71</f>
        <v>176000</v>
      </c>
      <c r="G2444" s="248">
        <f>F2444*E2444</f>
        <v>68288</v>
      </c>
    </row>
    <row r="2445" spans="1:8">
      <c r="A2445" s="294"/>
      <c r="B2445" s="410" t="s">
        <v>1043</v>
      </c>
      <c r="C2445" s="247"/>
      <c r="D2445" s="247" t="s">
        <v>690</v>
      </c>
      <c r="E2445" s="372">
        <v>0.28000000000000003</v>
      </c>
      <c r="F2445" s="360">
        <f>'UPAD-BAHAN-ALAT'!$I$112</f>
        <v>13200</v>
      </c>
      <c r="G2445" s="248">
        <f>F2445*E2445</f>
        <v>3696.0000000000005</v>
      </c>
    </row>
    <row r="2446" spans="1:8">
      <c r="A2446" s="294"/>
      <c r="B2446" s="295"/>
      <c r="C2446" s="296"/>
      <c r="D2446" s="296"/>
      <c r="E2446" s="1183" t="s">
        <v>702</v>
      </c>
      <c r="F2446" s="1183"/>
      <c r="G2446" s="248">
        <f>SUM(G2442:G2445)</f>
        <v>125445.25</v>
      </c>
    </row>
    <row r="2447" spans="1:8" s="265" customFormat="1">
      <c r="A2447" s="294" t="s">
        <v>703</v>
      </c>
      <c r="B2447" s="1147" t="s">
        <v>3910</v>
      </c>
      <c r="C2447" s="1147"/>
      <c r="D2447" s="1147"/>
      <c r="E2447" s="1147"/>
      <c r="F2447" s="1147"/>
      <c r="G2447" s="255">
        <f>G2440+G2446</f>
        <v>176045.25</v>
      </c>
    </row>
    <row r="2448" spans="1:8" s="265" customFormat="1">
      <c r="A2448" s="294" t="s">
        <v>706</v>
      </c>
      <c r="B2448" s="1148" t="s">
        <v>876</v>
      </c>
      <c r="C2448" s="1148"/>
      <c r="D2448" s="1148"/>
      <c r="E2448" s="1147" t="s">
        <v>4030</v>
      </c>
      <c r="F2448" s="1147"/>
      <c r="G2448" s="255">
        <f>G2447*0.15</f>
        <v>26406.787499999999</v>
      </c>
      <c r="H2448" s="300">
        <f>G2447*15%</f>
        <v>26406.787499999999</v>
      </c>
    </row>
    <row r="2449" spans="1:8" s="265" customFormat="1">
      <c r="A2449" s="294" t="s">
        <v>708</v>
      </c>
      <c r="B2449" s="1149" t="s">
        <v>3911</v>
      </c>
      <c r="C2449" s="1149"/>
      <c r="D2449" s="1149"/>
      <c r="E2449" s="1149"/>
      <c r="F2449" s="1149"/>
      <c r="G2449" s="255">
        <f>ROUND(SUM(G2447:G2448),2)</f>
        <v>202452.04</v>
      </c>
      <c r="H2449" s="697">
        <f>SUM(G2447:G2448)</f>
        <v>202452.03750000001</v>
      </c>
    </row>
    <row r="2450" spans="1:8">
      <c r="A2450" s="268"/>
      <c r="B2450" s="269"/>
      <c r="C2450" s="268"/>
      <c r="D2450" s="268"/>
      <c r="E2450" s="380"/>
      <c r="F2450" s="365"/>
      <c r="G2450" s="270"/>
    </row>
    <row r="2451" spans="1:8">
      <c r="A2451" s="286" t="s">
        <v>4160</v>
      </c>
      <c r="B2451" s="265" t="s">
        <v>3472</v>
      </c>
    </row>
    <row r="2452" spans="1:8" s="292" customFormat="1" ht="24.95" customHeight="1">
      <c r="A2452" s="298" t="s">
        <v>1003</v>
      </c>
      <c r="B2452" s="298" t="s">
        <v>1004</v>
      </c>
      <c r="C2452" s="298" t="s">
        <v>1005</v>
      </c>
      <c r="D2452" s="298" t="s">
        <v>1006</v>
      </c>
      <c r="E2452" s="377" t="s">
        <v>1007</v>
      </c>
      <c r="F2452" s="363" t="s">
        <v>2639</v>
      </c>
      <c r="G2452" s="291" t="s">
        <v>2638</v>
      </c>
    </row>
    <row r="2453" spans="1:8">
      <c r="A2453" s="294" t="s">
        <v>671</v>
      </c>
      <c r="B2453" s="410" t="s">
        <v>672</v>
      </c>
      <c r="C2453" s="247"/>
      <c r="D2453" s="247"/>
      <c r="E2453" s="372"/>
      <c r="F2453" s="360"/>
      <c r="G2453" s="248"/>
    </row>
    <row r="2454" spans="1:8">
      <c r="A2454" s="294"/>
      <c r="B2454" s="410" t="s">
        <v>673</v>
      </c>
      <c r="C2454" s="247" t="s">
        <v>674</v>
      </c>
      <c r="D2454" s="247" t="s">
        <v>675</v>
      </c>
      <c r="E2454" s="372">
        <v>0.3</v>
      </c>
      <c r="F2454" s="360">
        <f>'UPAD-BAHAN-ALAT'!$I$12</f>
        <v>110000</v>
      </c>
      <c r="G2454" s="248">
        <f>F2454*E2454</f>
        <v>33000</v>
      </c>
    </row>
    <row r="2455" spans="1:8">
      <c r="A2455" s="294"/>
      <c r="B2455" s="410" t="s">
        <v>816</v>
      </c>
      <c r="C2455" s="247" t="s">
        <v>678</v>
      </c>
      <c r="D2455" s="247" t="s">
        <v>675</v>
      </c>
      <c r="E2455" s="372">
        <v>0.1</v>
      </c>
      <c r="F2455" s="360">
        <f>'UPAD-BAHAN-ALAT'!$I$13</f>
        <v>140000</v>
      </c>
      <c r="G2455" s="248">
        <f>F2455*E2455</f>
        <v>14000</v>
      </c>
    </row>
    <row r="2456" spans="1:8">
      <c r="A2456" s="294"/>
      <c r="B2456" s="410" t="s">
        <v>680</v>
      </c>
      <c r="C2456" s="247" t="s">
        <v>681</v>
      </c>
      <c r="D2456" s="247" t="s">
        <v>675</v>
      </c>
      <c r="E2456" s="372">
        <v>0.01</v>
      </c>
      <c r="F2456" s="360">
        <f>'UPAD-BAHAN-ALAT'!$I$15</f>
        <v>150000</v>
      </c>
      <c r="G2456" s="248">
        <f>F2456*E2456</f>
        <v>1500</v>
      </c>
    </row>
    <row r="2457" spans="1:8">
      <c r="A2457" s="294"/>
      <c r="B2457" s="410" t="s">
        <v>683</v>
      </c>
      <c r="C2457" s="247" t="s">
        <v>684</v>
      </c>
      <c r="D2457" s="247" t="s">
        <v>675</v>
      </c>
      <c r="E2457" s="372">
        <v>1.4999999999999999E-2</v>
      </c>
      <c r="F2457" s="360">
        <f>'UPAD-BAHAN-ALAT'!$I$14</f>
        <v>140000</v>
      </c>
      <c r="G2457" s="248">
        <f>F2457*E2457</f>
        <v>2100</v>
      </c>
    </row>
    <row r="2458" spans="1:8">
      <c r="A2458" s="294"/>
      <c r="B2458" s="410"/>
      <c r="C2458" s="247"/>
      <c r="D2458" s="247"/>
      <c r="E2458" s="1146" t="s">
        <v>685</v>
      </c>
      <c r="F2458" s="1146"/>
      <c r="G2458" s="248">
        <f>SUM(G2454:G2457)</f>
        <v>50600</v>
      </c>
    </row>
    <row r="2459" spans="1:8">
      <c r="A2459" s="294" t="s">
        <v>686</v>
      </c>
      <c r="B2459" s="410" t="s">
        <v>687</v>
      </c>
      <c r="C2459" s="247"/>
      <c r="D2459" s="247"/>
      <c r="E2459" s="372"/>
      <c r="F2459" s="360"/>
      <c r="G2459" s="248"/>
    </row>
    <row r="2460" spans="1:8">
      <c r="A2460" s="294"/>
      <c r="B2460" s="410" t="s">
        <v>3473</v>
      </c>
      <c r="C2460" s="247"/>
      <c r="D2460" s="247" t="s">
        <v>1423</v>
      </c>
      <c r="E2460" s="372">
        <v>30</v>
      </c>
      <c r="F2460" s="360">
        <f>'UPAD-BAHAN-ALAT'!$I$65</f>
        <v>14500</v>
      </c>
      <c r="G2460" s="248">
        <f>F2460*E2460</f>
        <v>435000</v>
      </c>
    </row>
    <row r="2461" spans="1:8">
      <c r="A2461" s="294"/>
      <c r="B2461" s="410" t="s">
        <v>738</v>
      </c>
      <c r="C2461" s="247"/>
      <c r="D2461" s="247" t="s">
        <v>690</v>
      </c>
      <c r="E2461" s="372">
        <v>11</v>
      </c>
      <c r="F2461" s="360">
        <f>'UPAD-BAHAN-ALAT'!$I$77</f>
        <v>1625</v>
      </c>
      <c r="G2461" s="248">
        <f>F2461*E2461</f>
        <v>17875</v>
      </c>
    </row>
    <row r="2462" spans="1:8">
      <c r="A2462" s="294"/>
      <c r="B2462" s="410" t="s">
        <v>808</v>
      </c>
      <c r="C2462" s="247"/>
      <c r="D2462" s="247" t="s">
        <v>2646</v>
      </c>
      <c r="E2462" s="372">
        <v>3.5000000000000003E-2</v>
      </c>
      <c r="F2462" s="360">
        <f>'UPAD-BAHAN-ALAT'!$I$71</f>
        <v>176000</v>
      </c>
      <c r="G2462" s="248">
        <f>F2462*E2462</f>
        <v>6160.0000000000009</v>
      </c>
    </row>
    <row r="2463" spans="1:8">
      <c r="A2463" s="294"/>
      <c r="B2463" s="410"/>
      <c r="C2463" s="247"/>
      <c r="D2463" s="247"/>
      <c r="E2463" s="1155" t="s">
        <v>702</v>
      </c>
      <c r="F2463" s="1155"/>
      <c r="G2463" s="248">
        <f>SUM(G2460:G2462)</f>
        <v>459035</v>
      </c>
    </row>
    <row r="2464" spans="1:8" s="265" customFormat="1">
      <c r="A2464" s="294" t="s">
        <v>703</v>
      </c>
      <c r="B2464" s="1151" t="s">
        <v>3910</v>
      </c>
      <c r="C2464" s="1151"/>
      <c r="D2464" s="1151"/>
      <c r="E2464" s="1151"/>
      <c r="F2464" s="1151"/>
      <c r="G2464" s="255">
        <f>G2458+G2463</f>
        <v>509635</v>
      </c>
    </row>
    <row r="2465" spans="1:8" s="265" customFormat="1">
      <c r="A2465" s="294" t="s">
        <v>706</v>
      </c>
      <c r="B2465" s="1148" t="s">
        <v>876</v>
      </c>
      <c r="C2465" s="1148"/>
      <c r="D2465" s="1148"/>
      <c r="E2465" s="1147" t="s">
        <v>4030</v>
      </c>
      <c r="F2465" s="1147"/>
      <c r="G2465" s="255">
        <f>G2464*0.15</f>
        <v>76445.25</v>
      </c>
    </row>
    <row r="2466" spans="1:8" s="265" customFormat="1">
      <c r="A2466" s="294" t="s">
        <v>708</v>
      </c>
      <c r="B2466" s="1149" t="s">
        <v>3911</v>
      </c>
      <c r="C2466" s="1149"/>
      <c r="D2466" s="1149"/>
      <c r="E2466" s="1149"/>
      <c r="F2466" s="1149"/>
      <c r="G2466" s="255">
        <f>ROUND(SUM(G2464:G2465),2)</f>
        <v>586080.25</v>
      </c>
      <c r="H2466" s="255">
        <f>SUM(G2464:G2465)</f>
        <v>586080.25</v>
      </c>
    </row>
    <row r="2467" spans="1:8">
      <c r="A2467" s="268"/>
      <c r="B2467" s="269"/>
      <c r="C2467" s="268"/>
      <c r="D2467" s="268"/>
      <c r="E2467" s="380"/>
      <c r="F2467" s="365"/>
      <c r="G2467" s="270"/>
    </row>
    <row r="2468" spans="1:8">
      <c r="A2468" s="284" t="s">
        <v>4161</v>
      </c>
      <c r="B2468" s="250" t="s">
        <v>3642</v>
      </c>
      <c r="C2468" s="252"/>
      <c r="D2468" s="252"/>
      <c r="E2468" s="374"/>
      <c r="F2468" s="361"/>
      <c r="G2468" s="253"/>
    </row>
    <row r="2469" spans="1:8" s="292" customFormat="1" ht="24.95" customHeight="1">
      <c r="A2469" s="298" t="s">
        <v>1003</v>
      </c>
      <c r="B2469" s="298" t="s">
        <v>1004</v>
      </c>
      <c r="C2469" s="298" t="s">
        <v>1005</v>
      </c>
      <c r="D2469" s="298" t="s">
        <v>1006</v>
      </c>
      <c r="E2469" s="377" t="s">
        <v>1007</v>
      </c>
      <c r="F2469" s="363" t="s">
        <v>2639</v>
      </c>
      <c r="G2469" s="291" t="s">
        <v>2638</v>
      </c>
    </row>
    <row r="2470" spans="1:8">
      <c r="A2470" s="294" t="s">
        <v>671</v>
      </c>
      <c r="B2470" s="410" t="s">
        <v>672</v>
      </c>
      <c r="C2470" s="247"/>
      <c r="D2470" s="247"/>
      <c r="E2470" s="372"/>
      <c r="F2470" s="360"/>
      <c r="G2470" s="248"/>
    </row>
    <row r="2471" spans="1:8">
      <c r="A2471" s="294"/>
      <c r="B2471" s="410" t="s">
        <v>673</v>
      </c>
      <c r="C2471" s="247" t="s">
        <v>674</v>
      </c>
      <c r="D2471" s="247" t="s">
        <v>675</v>
      </c>
      <c r="E2471" s="372">
        <v>0.67</v>
      </c>
      <c r="F2471" s="360">
        <f>'UPAD-BAHAN-ALAT'!$I$12</f>
        <v>110000</v>
      </c>
      <c r="G2471" s="248">
        <f>F2471*E2471</f>
        <v>73700</v>
      </c>
    </row>
    <row r="2472" spans="1:8">
      <c r="A2472" s="294"/>
      <c r="B2472" s="410" t="s">
        <v>816</v>
      </c>
      <c r="C2472" s="247" t="s">
        <v>678</v>
      </c>
      <c r="D2472" s="247" t="s">
        <v>675</v>
      </c>
      <c r="E2472" s="372">
        <v>0.3</v>
      </c>
      <c r="F2472" s="360">
        <f>'UPAD-BAHAN-ALAT'!$I$13</f>
        <v>140000</v>
      </c>
      <c r="G2472" s="248">
        <f>F2472*E2472</f>
        <v>42000</v>
      </c>
    </row>
    <row r="2473" spans="1:8">
      <c r="A2473" s="294"/>
      <c r="B2473" s="410" t="s">
        <v>680</v>
      </c>
      <c r="C2473" s="247" t="s">
        <v>681</v>
      </c>
      <c r="D2473" s="247" t="s">
        <v>675</v>
      </c>
      <c r="E2473" s="372">
        <v>0.13</v>
      </c>
      <c r="F2473" s="360">
        <f>'UPAD-BAHAN-ALAT'!$I$15</f>
        <v>150000</v>
      </c>
      <c r="G2473" s="248">
        <f>F2473*E2473</f>
        <v>19500</v>
      </c>
    </row>
    <row r="2474" spans="1:8">
      <c r="A2474" s="294"/>
      <c r="B2474" s="410" t="s">
        <v>683</v>
      </c>
      <c r="C2474" s="247" t="s">
        <v>684</v>
      </c>
      <c r="D2474" s="247" t="s">
        <v>675</v>
      </c>
      <c r="E2474" s="372">
        <v>3.0000000000000001E-3</v>
      </c>
      <c r="F2474" s="360">
        <f>'UPAD-BAHAN-ALAT'!$I$14</f>
        <v>140000</v>
      </c>
      <c r="G2474" s="248">
        <f>F2474*E2474</f>
        <v>420</v>
      </c>
    </row>
    <row r="2475" spans="1:8">
      <c r="A2475" s="294"/>
      <c r="B2475" s="410"/>
      <c r="C2475" s="247"/>
      <c r="D2475" s="247"/>
      <c r="E2475" s="1146" t="s">
        <v>685</v>
      </c>
      <c r="F2475" s="1146"/>
      <c r="G2475" s="248">
        <f>SUM(G2471:G2474)</f>
        <v>135620</v>
      </c>
    </row>
    <row r="2476" spans="1:8">
      <c r="A2476" s="294" t="s">
        <v>686</v>
      </c>
      <c r="B2476" s="410" t="s">
        <v>687</v>
      </c>
      <c r="C2476" s="247"/>
      <c r="D2476" s="247"/>
      <c r="E2476" s="372"/>
      <c r="F2476" s="360"/>
      <c r="G2476" s="248"/>
    </row>
    <row r="2477" spans="1:8">
      <c r="A2477" s="294"/>
      <c r="B2477" s="410" t="s">
        <v>3640</v>
      </c>
      <c r="C2477" s="247"/>
      <c r="D2477" s="247" t="s">
        <v>1423</v>
      </c>
      <c r="E2477" s="372">
        <v>8.4</v>
      </c>
      <c r="F2477" s="360">
        <f>'UPAD-BAHAN-ALAT'!$I$64</f>
        <v>13282.5</v>
      </c>
      <c r="G2477" s="248">
        <f>F2477*E2477</f>
        <v>111573</v>
      </c>
    </row>
    <row r="2478" spans="1:8">
      <c r="A2478" s="294"/>
      <c r="B2478" s="410" t="s">
        <v>3641</v>
      </c>
      <c r="C2478" s="247"/>
      <c r="D2478" s="247" t="s">
        <v>690</v>
      </c>
      <c r="E2478" s="372">
        <v>0.47299999999999998</v>
      </c>
      <c r="F2478" s="360">
        <f>'UPAD-BAHAN-ALAT'!$I$78</f>
        <v>6000</v>
      </c>
      <c r="G2478" s="248">
        <f>F2478*E2478</f>
        <v>2838</v>
      </c>
    </row>
    <row r="2479" spans="1:8">
      <c r="A2479" s="294"/>
      <c r="B2479" s="295"/>
      <c r="C2479" s="296"/>
      <c r="D2479" s="296"/>
      <c r="E2479" s="1146" t="s">
        <v>702</v>
      </c>
      <c r="F2479" s="1146"/>
      <c r="G2479" s="248">
        <f>SUM(G2477:G2478)</f>
        <v>114411</v>
      </c>
    </row>
    <row r="2480" spans="1:8" s="265" customFormat="1">
      <c r="A2480" s="294" t="s">
        <v>703</v>
      </c>
      <c r="B2480" s="1147" t="s">
        <v>3910</v>
      </c>
      <c r="C2480" s="1147"/>
      <c r="D2480" s="1147"/>
      <c r="E2480" s="1147"/>
      <c r="F2480" s="1147"/>
      <c r="G2480" s="255">
        <f>G2475+G2479</f>
        <v>250031</v>
      </c>
    </row>
    <row r="2481" spans="1:8" s="265" customFormat="1">
      <c r="A2481" s="294" t="s">
        <v>706</v>
      </c>
      <c r="B2481" s="1148" t="s">
        <v>876</v>
      </c>
      <c r="C2481" s="1148"/>
      <c r="D2481" s="1148"/>
      <c r="E2481" s="1147" t="s">
        <v>4030</v>
      </c>
      <c r="F2481" s="1147"/>
      <c r="G2481" s="255">
        <f>G2480*0.15</f>
        <v>37504.65</v>
      </c>
    </row>
    <row r="2482" spans="1:8" s="265" customFormat="1">
      <c r="A2482" s="294" t="s">
        <v>708</v>
      </c>
      <c r="B2482" s="1149" t="s">
        <v>3911</v>
      </c>
      <c r="C2482" s="1149"/>
      <c r="D2482" s="1149"/>
      <c r="E2482" s="1149"/>
      <c r="F2482" s="1149"/>
      <c r="G2482" s="255">
        <f>ROUND(SUM(G2480:G2481),2)</f>
        <v>287535.65000000002</v>
      </c>
      <c r="H2482" s="255">
        <f>SUM(G2480:G2481)</f>
        <v>287535.65000000002</v>
      </c>
    </row>
    <row r="2483" spans="1:8">
      <c r="A2483" s="252"/>
      <c r="B2483" s="251"/>
      <c r="C2483" s="252"/>
      <c r="D2483" s="251"/>
      <c r="E2483" s="378"/>
      <c r="F2483" s="364"/>
      <c r="G2483" s="253"/>
    </row>
    <row r="2484" spans="1:8">
      <c r="A2484" s="284" t="s">
        <v>4162</v>
      </c>
      <c r="B2484" s="250" t="s">
        <v>3643</v>
      </c>
      <c r="C2484" s="252"/>
      <c r="D2484" s="252"/>
      <c r="E2484" s="374"/>
      <c r="F2484" s="361"/>
      <c r="G2484" s="253"/>
    </row>
    <row r="2485" spans="1:8" s="292" customFormat="1" ht="24.95" customHeight="1">
      <c r="A2485" s="298" t="s">
        <v>1003</v>
      </c>
      <c r="B2485" s="298" t="s">
        <v>1004</v>
      </c>
      <c r="C2485" s="298" t="s">
        <v>1005</v>
      </c>
      <c r="D2485" s="298" t="s">
        <v>1006</v>
      </c>
      <c r="E2485" s="377" t="s">
        <v>1007</v>
      </c>
      <c r="F2485" s="363" t="s">
        <v>2639</v>
      </c>
      <c r="G2485" s="291" t="s">
        <v>2638</v>
      </c>
    </row>
    <row r="2486" spans="1:8">
      <c r="A2486" s="294" t="s">
        <v>671</v>
      </c>
      <c r="B2486" s="410" t="s">
        <v>672</v>
      </c>
      <c r="C2486" s="247"/>
      <c r="D2486" s="247"/>
      <c r="E2486" s="372"/>
      <c r="F2486" s="360"/>
      <c r="G2486" s="248"/>
    </row>
    <row r="2487" spans="1:8">
      <c r="A2487" s="294"/>
      <c r="B2487" s="410" t="s">
        <v>673</v>
      </c>
      <c r="C2487" s="247" t="s">
        <v>674</v>
      </c>
      <c r="D2487" s="247" t="s">
        <v>675</v>
      </c>
      <c r="E2487" s="372">
        <v>0.67100000000000004</v>
      </c>
      <c r="F2487" s="360">
        <f>'UPAD-BAHAN-ALAT'!$I$12</f>
        <v>110000</v>
      </c>
      <c r="G2487" s="248">
        <f>F2487*E2487</f>
        <v>73810</v>
      </c>
    </row>
    <row r="2488" spans="1:8">
      <c r="A2488" s="294"/>
      <c r="B2488" s="410" t="s">
        <v>816</v>
      </c>
      <c r="C2488" s="247" t="s">
        <v>678</v>
      </c>
      <c r="D2488" s="247" t="s">
        <v>675</v>
      </c>
      <c r="E2488" s="372">
        <v>0.3</v>
      </c>
      <c r="F2488" s="360">
        <f>'UPAD-BAHAN-ALAT'!$I$13</f>
        <v>140000</v>
      </c>
      <c r="G2488" s="248">
        <f>F2488*E2488</f>
        <v>42000</v>
      </c>
    </row>
    <row r="2489" spans="1:8">
      <c r="A2489" s="294"/>
      <c r="B2489" s="410" t="s">
        <v>680</v>
      </c>
      <c r="C2489" s="247" t="s">
        <v>681</v>
      </c>
      <c r="D2489" s="247" t="s">
        <v>675</v>
      </c>
      <c r="E2489" s="372">
        <v>0.13</v>
      </c>
      <c r="F2489" s="360">
        <f>'UPAD-BAHAN-ALAT'!$I$15</f>
        <v>150000</v>
      </c>
      <c r="G2489" s="248">
        <f>F2489*E2489</f>
        <v>19500</v>
      </c>
    </row>
    <row r="2490" spans="1:8">
      <c r="A2490" s="294"/>
      <c r="B2490" s="410" t="s">
        <v>683</v>
      </c>
      <c r="C2490" s="247" t="s">
        <v>684</v>
      </c>
      <c r="D2490" s="247" t="s">
        <v>675</v>
      </c>
      <c r="E2490" s="372">
        <v>3.0000000000000001E-3</v>
      </c>
      <c r="F2490" s="360">
        <f>'UPAD-BAHAN-ALAT'!$I$14</f>
        <v>140000</v>
      </c>
      <c r="G2490" s="248">
        <f>F2490*E2490</f>
        <v>420</v>
      </c>
    </row>
    <row r="2491" spans="1:8">
      <c r="A2491" s="294"/>
      <c r="B2491" s="410"/>
      <c r="C2491" s="247"/>
      <c r="D2491" s="247"/>
      <c r="E2491" s="1146" t="s">
        <v>685</v>
      </c>
      <c r="F2491" s="1146"/>
      <c r="G2491" s="248">
        <f>SUM(G2487:G2490)</f>
        <v>135730</v>
      </c>
    </row>
    <row r="2492" spans="1:8">
      <c r="A2492" s="294" t="s">
        <v>686</v>
      </c>
      <c r="B2492" s="410" t="s">
        <v>687</v>
      </c>
      <c r="C2492" s="247"/>
      <c r="D2492" s="247"/>
      <c r="E2492" s="372"/>
      <c r="F2492" s="360"/>
      <c r="G2492" s="248"/>
    </row>
    <row r="2493" spans="1:8">
      <c r="A2493" s="294"/>
      <c r="B2493" s="410" t="s">
        <v>3644</v>
      </c>
      <c r="C2493" s="247"/>
      <c r="D2493" s="247" t="s">
        <v>1423</v>
      </c>
      <c r="E2493" s="372">
        <v>8.4</v>
      </c>
      <c r="F2493" s="360">
        <f>'UPAD-BAHAN-ALAT'!$I$63</f>
        <v>17692.5</v>
      </c>
      <c r="G2493" s="248">
        <f>F2493*E2493</f>
        <v>148617</v>
      </c>
    </row>
    <row r="2494" spans="1:8">
      <c r="A2494" s="294"/>
      <c r="B2494" s="410" t="s">
        <v>3641</v>
      </c>
      <c r="C2494" s="247"/>
      <c r="D2494" s="247" t="s">
        <v>690</v>
      </c>
      <c r="E2494" s="372">
        <v>6.3E-2</v>
      </c>
      <c r="F2494" s="360">
        <f>'UPAD-BAHAN-ALAT'!$I$78</f>
        <v>6000</v>
      </c>
      <c r="G2494" s="248">
        <f>F2494*E2494</f>
        <v>378</v>
      </c>
    </row>
    <row r="2495" spans="1:8">
      <c r="A2495" s="294"/>
      <c r="B2495" s="295"/>
      <c r="C2495" s="296"/>
      <c r="D2495" s="296"/>
      <c r="E2495" s="1146" t="s">
        <v>702</v>
      </c>
      <c r="F2495" s="1146"/>
      <c r="G2495" s="248">
        <f>SUM(G2493:G2494)</f>
        <v>148995</v>
      </c>
    </row>
    <row r="2496" spans="1:8" s="265" customFormat="1">
      <c r="A2496" s="294" t="s">
        <v>703</v>
      </c>
      <c r="B2496" s="1147" t="s">
        <v>3910</v>
      </c>
      <c r="C2496" s="1147"/>
      <c r="D2496" s="1147"/>
      <c r="E2496" s="1147"/>
      <c r="F2496" s="1147"/>
      <c r="G2496" s="255">
        <f>G2491+G2495</f>
        <v>284725</v>
      </c>
    </row>
    <row r="2497" spans="1:8" s="265" customFormat="1">
      <c r="A2497" s="294" t="s">
        <v>706</v>
      </c>
      <c r="B2497" s="1148" t="s">
        <v>876</v>
      </c>
      <c r="C2497" s="1148"/>
      <c r="D2497" s="1148"/>
      <c r="E2497" s="1147" t="s">
        <v>4030</v>
      </c>
      <c r="F2497" s="1147"/>
      <c r="G2497" s="255">
        <f>G2496*0.15</f>
        <v>42708.75</v>
      </c>
    </row>
    <row r="2498" spans="1:8" s="265" customFormat="1">
      <c r="A2498" s="294" t="s">
        <v>708</v>
      </c>
      <c r="B2498" s="1149" t="s">
        <v>3911</v>
      </c>
      <c r="C2498" s="1149"/>
      <c r="D2498" s="1149"/>
      <c r="E2498" s="1149"/>
      <c r="F2498" s="1149"/>
      <c r="G2498" s="255">
        <f>ROUND(SUM(G2496:G2497),2)</f>
        <v>327433.75</v>
      </c>
      <c r="H2498" s="255">
        <f>SUM(G2496:G2497)</f>
        <v>327433.75</v>
      </c>
    </row>
    <row r="2500" spans="1:8">
      <c r="A2500" s="600" t="s">
        <v>4163</v>
      </c>
      <c r="B2500" s="265" t="s">
        <v>2837</v>
      </c>
    </row>
    <row r="2501" spans="1:8">
      <c r="A2501" s="286" t="s">
        <v>4164</v>
      </c>
      <c r="B2501" s="265" t="s">
        <v>2836</v>
      </c>
    </row>
    <row r="2502" spans="1:8" s="292" customFormat="1" ht="24.95" customHeight="1">
      <c r="A2502" s="298" t="s">
        <v>1003</v>
      </c>
      <c r="B2502" s="298" t="s">
        <v>1059</v>
      </c>
      <c r="C2502" s="298" t="s">
        <v>1005</v>
      </c>
      <c r="D2502" s="298" t="s">
        <v>1006</v>
      </c>
      <c r="E2502" s="377" t="s">
        <v>1007</v>
      </c>
      <c r="F2502" s="363" t="s">
        <v>2637</v>
      </c>
      <c r="G2502" s="291" t="s">
        <v>2638</v>
      </c>
    </row>
    <row r="2503" spans="1:8">
      <c r="A2503" s="294" t="s">
        <v>671</v>
      </c>
      <c r="B2503" s="410" t="s">
        <v>672</v>
      </c>
      <c r="C2503" s="247"/>
      <c r="D2503" s="247"/>
      <c r="E2503" s="372"/>
      <c r="F2503" s="360"/>
      <c r="G2503" s="248"/>
    </row>
    <row r="2504" spans="1:8">
      <c r="A2504" s="294"/>
      <c r="B2504" s="410" t="s">
        <v>673</v>
      </c>
      <c r="C2504" s="247" t="s">
        <v>674</v>
      </c>
      <c r="D2504" s="247" t="s">
        <v>675</v>
      </c>
      <c r="E2504" s="372">
        <v>0.3</v>
      </c>
      <c r="F2504" s="360">
        <f>'UPAD-BAHAN-ALAT'!$I$12</f>
        <v>110000</v>
      </c>
      <c r="G2504" s="248">
        <f>F2504*E2504</f>
        <v>33000</v>
      </c>
    </row>
    <row r="2505" spans="1:8">
      <c r="A2505" s="294"/>
      <c r="B2505" s="410" t="s">
        <v>816</v>
      </c>
      <c r="C2505" s="247" t="s">
        <v>678</v>
      </c>
      <c r="D2505" s="247" t="s">
        <v>675</v>
      </c>
      <c r="E2505" s="372">
        <v>0.15</v>
      </c>
      <c r="F2505" s="360">
        <f>'UPAD-BAHAN-ALAT'!$I$13</f>
        <v>140000</v>
      </c>
      <c r="G2505" s="248">
        <f>F2505*E2505</f>
        <v>21000</v>
      </c>
    </row>
    <row r="2506" spans="1:8">
      <c r="A2506" s="294"/>
      <c r="B2506" s="410" t="s">
        <v>680</v>
      </c>
      <c r="C2506" s="247" t="s">
        <v>681</v>
      </c>
      <c r="D2506" s="247" t="s">
        <v>675</v>
      </c>
      <c r="E2506" s="372">
        <v>1.4999999999999999E-2</v>
      </c>
      <c r="F2506" s="360">
        <f>'UPAD-BAHAN-ALAT'!$I$15</f>
        <v>150000</v>
      </c>
      <c r="G2506" s="248">
        <f>F2506*E2506</f>
        <v>2250</v>
      </c>
    </row>
    <row r="2507" spans="1:8">
      <c r="A2507" s="294"/>
      <c r="B2507" s="410" t="s">
        <v>683</v>
      </c>
      <c r="C2507" s="247" t="s">
        <v>684</v>
      </c>
      <c r="D2507" s="247" t="s">
        <v>675</v>
      </c>
      <c r="E2507" s="372">
        <v>1.4999999999999999E-2</v>
      </c>
      <c r="F2507" s="360">
        <f>'UPAD-BAHAN-ALAT'!$I$14</f>
        <v>140000</v>
      </c>
      <c r="G2507" s="248">
        <f>F2507*E2507</f>
        <v>2100</v>
      </c>
    </row>
    <row r="2508" spans="1:8">
      <c r="A2508" s="294"/>
      <c r="B2508" s="410"/>
      <c r="C2508" s="247"/>
      <c r="D2508" s="247"/>
      <c r="E2508" s="1146" t="s">
        <v>685</v>
      </c>
      <c r="F2508" s="1146"/>
      <c r="G2508" s="248">
        <f>SUM(G2504:G2507)</f>
        <v>58350</v>
      </c>
    </row>
    <row r="2509" spans="1:8">
      <c r="A2509" s="294" t="s">
        <v>686</v>
      </c>
      <c r="B2509" s="410" t="s">
        <v>687</v>
      </c>
      <c r="C2509" s="247"/>
      <c r="D2509" s="247"/>
      <c r="E2509" s="372"/>
      <c r="F2509" s="360"/>
      <c r="G2509" s="248"/>
    </row>
    <row r="2510" spans="1:8">
      <c r="A2510" s="294"/>
      <c r="B2510" s="410" t="s">
        <v>738</v>
      </c>
      <c r="C2510" s="247"/>
      <c r="D2510" s="247" t="s">
        <v>690</v>
      </c>
      <c r="E2510" s="372">
        <v>15.504</v>
      </c>
      <c r="F2510" s="360">
        <f>'UPAD-BAHAN-ALAT'!$I$77</f>
        <v>1625</v>
      </c>
      <c r="G2510" s="248">
        <f>F2510*E2510</f>
        <v>25194</v>
      </c>
    </row>
    <row r="2511" spans="1:8">
      <c r="A2511" s="294"/>
      <c r="B2511" s="410" t="s">
        <v>808</v>
      </c>
      <c r="C2511" s="247"/>
      <c r="D2511" s="247" t="s">
        <v>2646</v>
      </c>
      <c r="E2511" s="372">
        <v>1.6E-2</v>
      </c>
      <c r="F2511" s="360">
        <f>'UPAD-BAHAN-ALAT'!$I$71</f>
        <v>176000</v>
      </c>
      <c r="G2511" s="248">
        <f>F2511*E2511</f>
        <v>2816</v>
      </c>
    </row>
    <row r="2512" spans="1:8">
      <c r="A2512" s="294"/>
      <c r="B2512" s="295"/>
      <c r="C2512" s="296"/>
      <c r="D2512" s="296"/>
      <c r="E2512" s="1146" t="s">
        <v>702</v>
      </c>
      <c r="F2512" s="1146"/>
      <c r="G2512" s="248">
        <f>SUM(G2510:G2511)</f>
        <v>28010</v>
      </c>
    </row>
    <row r="2513" spans="1:8" s="265" customFormat="1">
      <c r="A2513" s="294" t="s">
        <v>703</v>
      </c>
      <c r="B2513" s="1147" t="s">
        <v>3910</v>
      </c>
      <c r="C2513" s="1147"/>
      <c r="D2513" s="1147"/>
      <c r="E2513" s="1147"/>
      <c r="F2513" s="1147"/>
      <c r="G2513" s="255">
        <f>G2508+G2512</f>
        <v>86360</v>
      </c>
    </row>
    <row r="2514" spans="1:8" s="265" customFormat="1">
      <c r="A2514" s="294" t="s">
        <v>706</v>
      </c>
      <c r="B2514" s="1148" t="s">
        <v>876</v>
      </c>
      <c r="C2514" s="1148"/>
      <c r="D2514" s="1148"/>
      <c r="E2514" s="1147" t="s">
        <v>4030</v>
      </c>
      <c r="F2514" s="1147"/>
      <c r="G2514" s="255">
        <f>G2513*0.15</f>
        <v>12954</v>
      </c>
    </row>
    <row r="2515" spans="1:8" s="265" customFormat="1">
      <c r="A2515" s="294" t="s">
        <v>708</v>
      </c>
      <c r="B2515" s="1149" t="s">
        <v>3911</v>
      </c>
      <c r="C2515" s="1149"/>
      <c r="D2515" s="1149"/>
      <c r="E2515" s="1149"/>
      <c r="F2515" s="1149"/>
      <c r="G2515" s="255">
        <f>ROUND(SUM(G2513:G2514),2)</f>
        <v>99314</v>
      </c>
      <c r="H2515" s="255">
        <f>SUM(G2513:G2514)</f>
        <v>99314</v>
      </c>
    </row>
    <row r="2516" spans="1:8">
      <c r="A2516" s="268"/>
      <c r="B2516" s="269"/>
      <c r="C2516" s="268"/>
      <c r="D2516" s="268"/>
      <c r="E2516" s="380"/>
      <c r="F2516" s="365"/>
      <c r="G2516" s="270"/>
    </row>
    <row r="2517" spans="1:8">
      <c r="A2517" s="285" t="s">
        <v>4165</v>
      </c>
      <c r="B2517" s="250" t="s">
        <v>2835</v>
      </c>
      <c r="C2517" s="252"/>
      <c r="D2517" s="252"/>
      <c r="E2517" s="374"/>
      <c r="F2517" s="361"/>
      <c r="G2517" s="253"/>
    </row>
    <row r="2518" spans="1:8" s="292" customFormat="1" ht="24.95" customHeight="1">
      <c r="A2518" s="298" t="s">
        <v>1003</v>
      </c>
      <c r="B2518" s="298" t="s">
        <v>1004</v>
      </c>
      <c r="C2518" s="298" t="s">
        <v>1005</v>
      </c>
      <c r="D2518" s="298" t="s">
        <v>1006</v>
      </c>
      <c r="E2518" s="377" t="s">
        <v>1007</v>
      </c>
      <c r="F2518" s="363" t="s">
        <v>2637</v>
      </c>
      <c r="G2518" s="291" t="s">
        <v>2638</v>
      </c>
    </row>
    <row r="2519" spans="1:8">
      <c r="A2519" s="294" t="s">
        <v>671</v>
      </c>
      <c r="B2519" s="410" t="s">
        <v>672</v>
      </c>
      <c r="C2519" s="247"/>
      <c r="D2519" s="247"/>
      <c r="E2519" s="372"/>
      <c r="F2519" s="360"/>
      <c r="G2519" s="248"/>
    </row>
    <row r="2520" spans="1:8">
      <c r="A2520" s="294"/>
      <c r="B2520" s="410" t="s">
        <v>673</v>
      </c>
      <c r="C2520" s="247" t="s">
        <v>674</v>
      </c>
      <c r="D2520" s="247" t="s">
        <v>675</v>
      </c>
      <c r="E2520" s="372">
        <v>0.3</v>
      </c>
      <c r="F2520" s="360">
        <f>'UPAD-BAHAN-ALAT'!$I$12</f>
        <v>110000</v>
      </c>
      <c r="G2520" s="248">
        <f>F2520*E2520</f>
        <v>33000</v>
      </c>
    </row>
    <row r="2521" spans="1:8">
      <c r="A2521" s="294"/>
      <c r="B2521" s="410" t="s">
        <v>816</v>
      </c>
      <c r="C2521" s="247" t="s">
        <v>678</v>
      </c>
      <c r="D2521" s="247" t="s">
        <v>675</v>
      </c>
      <c r="E2521" s="372">
        <v>0.15</v>
      </c>
      <c r="F2521" s="360">
        <f>'UPAD-BAHAN-ALAT'!$I$13</f>
        <v>140000</v>
      </c>
      <c r="G2521" s="248">
        <f>F2521*E2521</f>
        <v>21000</v>
      </c>
    </row>
    <row r="2522" spans="1:8">
      <c r="A2522" s="294"/>
      <c r="B2522" s="410" t="s">
        <v>680</v>
      </c>
      <c r="C2522" s="247" t="s">
        <v>681</v>
      </c>
      <c r="D2522" s="247" t="s">
        <v>675</v>
      </c>
      <c r="E2522" s="372">
        <v>1.4999999999999999E-2</v>
      </c>
      <c r="F2522" s="360">
        <f>'UPAD-BAHAN-ALAT'!$I$15</f>
        <v>150000</v>
      </c>
      <c r="G2522" s="248">
        <f>F2522*E2522</f>
        <v>2250</v>
      </c>
    </row>
    <row r="2523" spans="1:8">
      <c r="A2523" s="294"/>
      <c r="B2523" s="410" t="s">
        <v>683</v>
      </c>
      <c r="C2523" s="247" t="s">
        <v>684</v>
      </c>
      <c r="D2523" s="247" t="s">
        <v>675</v>
      </c>
      <c r="E2523" s="372">
        <v>1.4999999999999999E-2</v>
      </c>
      <c r="F2523" s="360">
        <f>'UPAD-BAHAN-ALAT'!$I$14</f>
        <v>140000</v>
      </c>
      <c r="G2523" s="248">
        <f>F2523*E2523</f>
        <v>2100</v>
      </c>
    </row>
    <row r="2524" spans="1:8">
      <c r="A2524" s="294"/>
      <c r="B2524" s="410"/>
      <c r="C2524" s="247"/>
      <c r="D2524" s="247"/>
      <c r="E2524" s="1146" t="s">
        <v>685</v>
      </c>
      <c r="F2524" s="1146"/>
      <c r="G2524" s="248">
        <f>SUM(G2520:G2523)</f>
        <v>58350</v>
      </c>
    </row>
    <row r="2525" spans="1:8">
      <c r="A2525" s="294" t="s">
        <v>686</v>
      </c>
      <c r="B2525" s="410" t="s">
        <v>687</v>
      </c>
      <c r="C2525" s="247"/>
      <c r="D2525" s="247"/>
      <c r="E2525" s="372"/>
      <c r="F2525" s="360"/>
      <c r="G2525" s="248"/>
    </row>
    <row r="2526" spans="1:8">
      <c r="A2526" s="294"/>
      <c r="B2526" s="410" t="s">
        <v>738</v>
      </c>
      <c r="C2526" s="247"/>
      <c r="D2526" s="247" t="s">
        <v>690</v>
      </c>
      <c r="E2526" s="372">
        <v>10.224</v>
      </c>
      <c r="F2526" s="360">
        <f>'UPAD-BAHAN-ALAT'!$I$77</f>
        <v>1625</v>
      </c>
      <c r="G2526" s="248">
        <f>F2526*E2526</f>
        <v>16614</v>
      </c>
    </row>
    <row r="2527" spans="1:8">
      <c r="A2527" s="294"/>
      <c r="B2527" s="410" t="s">
        <v>808</v>
      </c>
      <c r="C2527" s="247"/>
      <c r="D2527" s="247" t="s">
        <v>2646</v>
      </c>
      <c r="E2527" s="372">
        <v>0.02</v>
      </c>
      <c r="F2527" s="360">
        <f>'UPAD-BAHAN-ALAT'!$I$71</f>
        <v>176000</v>
      </c>
      <c r="G2527" s="248">
        <f>F2527*E2527</f>
        <v>3520</v>
      </c>
    </row>
    <row r="2528" spans="1:8">
      <c r="A2528" s="294"/>
      <c r="B2528" s="295"/>
      <c r="C2528" s="296"/>
      <c r="D2528" s="296"/>
      <c r="E2528" s="1146" t="s">
        <v>702</v>
      </c>
      <c r="F2528" s="1146"/>
      <c r="G2528" s="248">
        <f>SUM(G2526:G2527)</f>
        <v>20134</v>
      </c>
    </row>
    <row r="2529" spans="1:8" s="265" customFormat="1">
      <c r="A2529" s="294" t="s">
        <v>703</v>
      </c>
      <c r="B2529" s="1147" t="s">
        <v>3910</v>
      </c>
      <c r="C2529" s="1147"/>
      <c r="D2529" s="1147"/>
      <c r="E2529" s="1147"/>
      <c r="F2529" s="1147"/>
      <c r="G2529" s="255">
        <f>G2524+G2528</f>
        <v>78484</v>
      </c>
    </row>
    <row r="2530" spans="1:8" s="265" customFormat="1">
      <c r="A2530" s="294" t="s">
        <v>706</v>
      </c>
      <c r="B2530" s="1148" t="s">
        <v>876</v>
      </c>
      <c r="C2530" s="1148"/>
      <c r="D2530" s="1148"/>
      <c r="E2530" s="1147" t="s">
        <v>4030</v>
      </c>
      <c r="F2530" s="1147"/>
      <c r="G2530" s="255">
        <f>G2529*0.15</f>
        <v>11772.6</v>
      </c>
    </row>
    <row r="2531" spans="1:8" s="265" customFormat="1">
      <c r="A2531" s="294" t="s">
        <v>708</v>
      </c>
      <c r="B2531" s="1149" t="s">
        <v>3911</v>
      </c>
      <c r="C2531" s="1149"/>
      <c r="D2531" s="1149"/>
      <c r="E2531" s="1149"/>
      <c r="F2531" s="1149"/>
      <c r="G2531" s="255">
        <f>ROUND(SUM(G2529:G2530),2)</f>
        <v>90256.6</v>
      </c>
      <c r="H2531" s="255">
        <f>SUM(G2529:G2530)</f>
        <v>90256.6</v>
      </c>
    </row>
    <row r="2533" spans="1:8">
      <c r="A2533" s="286" t="s">
        <v>4166</v>
      </c>
      <c r="B2533" s="265" t="s">
        <v>2834</v>
      </c>
    </row>
    <row r="2534" spans="1:8" s="292" customFormat="1" ht="24.95" customHeight="1">
      <c r="A2534" s="298" t="s">
        <v>1003</v>
      </c>
      <c r="B2534" s="298" t="s">
        <v>1004</v>
      </c>
      <c r="C2534" s="298" t="s">
        <v>1005</v>
      </c>
      <c r="D2534" s="298" t="s">
        <v>1006</v>
      </c>
      <c r="E2534" s="377" t="s">
        <v>1007</v>
      </c>
      <c r="F2534" s="363" t="s">
        <v>2637</v>
      </c>
      <c r="G2534" s="291" t="s">
        <v>2638</v>
      </c>
    </row>
    <row r="2535" spans="1:8">
      <c r="A2535" s="294" t="s">
        <v>671</v>
      </c>
      <c r="B2535" s="410" t="s">
        <v>672</v>
      </c>
      <c r="C2535" s="247"/>
      <c r="D2535" s="247"/>
      <c r="E2535" s="372"/>
      <c r="F2535" s="360"/>
      <c r="G2535" s="248"/>
    </row>
    <row r="2536" spans="1:8">
      <c r="A2536" s="294"/>
      <c r="B2536" s="410" t="s">
        <v>673</v>
      </c>
      <c r="C2536" s="247" t="s">
        <v>674</v>
      </c>
      <c r="D2536" s="247" t="s">
        <v>675</v>
      </c>
      <c r="E2536" s="372">
        <v>0.3</v>
      </c>
      <c r="F2536" s="360">
        <f>'UPAD-BAHAN-ALAT'!$I$12</f>
        <v>110000</v>
      </c>
      <c r="G2536" s="248">
        <f>F2536*E2536</f>
        <v>33000</v>
      </c>
    </row>
    <row r="2537" spans="1:8">
      <c r="A2537" s="294"/>
      <c r="B2537" s="410" t="s">
        <v>816</v>
      </c>
      <c r="C2537" s="247" t="s">
        <v>678</v>
      </c>
      <c r="D2537" s="247" t="s">
        <v>675</v>
      </c>
      <c r="E2537" s="372">
        <v>0.15</v>
      </c>
      <c r="F2537" s="360">
        <f>'UPAD-BAHAN-ALAT'!$I$13</f>
        <v>140000</v>
      </c>
      <c r="G2537" s="248">
        <f>F2537*E2537</f>
        <v>21000</v>
      </c>
    </row>
    <row r="2538" spans="1:8">
      <c r="A2538" s="294"/>
      <c r="B2538" s="410" t="s">
        <v>680</v>
      </c>
      <c r="C2538" s="247" t="s">
        <v>681</v>
      </c>
      <c r="D2538" s="247" t="s">
        <v>675</v>
      </c>
      <c r="E2538" s="372">
        <v>1.4999999999999999E-2</v>
      </c>
      <c r="F2538" s="360">
        <f>'UPAD-BAHAN-ALAT'!$I$15</f>
        <v>150000</v>
      </c>
      <c r="G2538" s="248">
        <f>F2538*E2538</f>
        <v>2250</v>
      </c>
    </row>
    <row r="2539" spans="1:8">
      <c r="A2539" s="294"/>
      <c r="B2539" s="410" t="s">
        <v>683</v>
      </c>
      <c r="C2539" s="247" t="s">
        <v>684</v>
      </c>
      <c r="D2539" s="247" t="s">
        <v>675</v>
      </c>
      <c r="E2539" s="372">
        <v>1.4999999999999999E-2</v>
      </c>
      <c r="F2539" s="360">
        <f>'UPAD-BAHAN-ALAT'!$I$14</f>
        <v>140000</v>
      </c>
      <c r="G2539" s="248">
        <f>F2539*E2539</f>
        <v>2100</v>
      </c>
    </row>
    <row r="2540" spans="1:8">
      <c r="A2540" s="294"/>
      <c r="B2540" s="410"/>
      <c r="C2540" s="247"/>
      <c r="D2540" s="247"/>
      <c r="E2540" s="1146" t="s">
        <v>685</v>
      </c>
      <c r="F2540" s="1146"/>
      <c r="G2540" s="248">
        <f>SUM(G2536:G2539)</f>
        <v>58350</v>
      </c>
    </row>
    <row r="2541" spans="1:8">
      <c r="A2541" s="294" t="s">
        <v>686</v>
      </c>
      <c r="B2541" s="410" t="s">
        <v>687</v>
      </c>
      <c r="C2541" s="247"/>
      <c r="D2541" s="247"/>
      <c r="E2541" s="372"/>
      <c r="F2541" s="360"/>
      <c r="G2541" s="248"/>
    </row>
    <row r="2542" spans="1:8">
      <c r="A2542" s="294"/>
      <c r="B2542" s="410" t="s">
        <v>738</v>
      </c>
      <c r="C2542" s="247"/>
      <c r="D2542" s="247" t="s">
        <v>690</v>
      </c>
      <c r="E2542" s="372">
        <v>7.7759999999999998</v>
      </c>
      <c r="F2542" s="360">
        <f>'UPAD-BAHAN-ALAT'!$I$77</f>
        <v>1625</v>
      </c>
      <c r="G2542" s="248">
        <f>F2542*E2542</f>
        <v>12636</v>
      </c>
    </row>
    <row r="2543" spans="1:8">
      <c r="A2543" s="294"/>
      <c r="B2543" s="410" t="s">
        <v>808</v>
      </c>
      <c r="C2543" s="247"/>
      <c r="D2543" s="247" t="s">
        <v>2646</v>
      </c>
      <c r="E2543" s="372">
        <v>2.3E-2</v>
      </c>
      <c r="F2543" s="360">
        <f>'UPAD-BAHAN-ALAT'!$I$71</f>
        <v>176000</v>
      </c>
      <c r="G2543" s="248">
        <f>F2543*E2543</f>
        <v>4048</v>
      </c>
    </row>
    <row r="2544" spans="1:8">
      <c r="A2544" s="294"/>
      <c r="B2544" s="295"/>
      <c r="C2544" s="296"/>
      <c r="D2544" s="296"/>
      <c r="E2544" s="1146" t="s">
        <v>702</v>
      </c>
      <c r="F2544" s="1146"/>
      <c r="G2544" s="248">
        <f>SUM(G2542:G2543)</f>
        <v>16684</v>
      </c>
    </row>
    <row r="2545" spans="1:8" s="265" customFormat="1">
      <c r="A2545" s="294" t="s">
        <v>703</v>
      </c>
      <c r="B2545" s="1147" t="s">
        <v>3910</v>
      </c>
      <c r="C2545" s="1147"/>
      <c r="D2545" s="1147"/>
      <c r="E2545" s="1147"/>
      <c r="F2545" s="1147"/>
      <c r="G2545" s="255">
        <f>G2540+G2544</f>
        <v>75034</v>
      </c>
    </row>
    <row r="2546" spans="1:8" s="265" customFormat="1">
      <c r="A2546" s="294" t="s">
        <v>706</v>
      </c>
      <c r="B2546" s="1148" t="s">
        <v>876</v>
      </c>
      <c r="C2546" s="1148"/>
      <c r="D2546" s="1148"/>
      <c r="E2546" s="1147" t="s">
        <v>4030</v>
      </c>
      <c r="F2546" s="1147"/>
      <c r="G2546" s="255">
        <f>G2545*0.15</f>
        <v>11255.1</v>
      </c>
    </row>
    <row r="2547" spans="1:8" s="265" customFormat="1">
      <c r="A2547" s="294" t="s">
        <v>708</v>
      </c>
      <c r="B2547" s="1149" t="s">
        <v>3911</v>
      </c>
      <c r="C2547" s="1149"/>
      <c r="D2547" s="1149"/>
      <c r="E2547" s="1149"/>
      <c r="F2547" s="1149"/>
      <c r="G2547" s="255">
        <f>ROUND(SUM(G2545:G2546),2)</f>
        <v>86289.1</v>
      </c>
      <c r="H2547" s="255">
        <f>SUM(G2545:G2546)</f>
        <v>86289.1</v>
      </c>
    </row>
    <row r="2548" spans="1:8">
      <c r="A2548" s="268"/>
      <c r="B2548" s="269"/>
      <c r="C2548" s="268"/>
      <c r="D2548" s="268"/>
      <c r="E2548" s="380"/>
      <c r="F2548" s="365"/>
      <c r="G2548" s="270"/>
    </row>
    <row r="2549" spans="1:8" s="814" customFormat="1">
      <c r="A2549" s="808" t="s">
        <v>4167</v>
      </c>
      <c r="B2549" s="809" t="s">
        <v>2833</v>
      </c>
      <c r="C2549" s="810"/>
      <c r="D2549" s="810"/>
      <c r="E2549" s="811"/>
      <c r="F2549" s="812"/>
      <c r="G2549" s="813"/>
    </row>
    <row r="2550" spans="1:8" s="858" customFormat="1" ht="24.95" customHeight="1">
      <c r="A2550" s="898" t="s">
        <v>1003</v>
      </c>
      <c r="B2550" s="898" t="s">
        <v>1004</v>
      </c>
      <c r="C2550" s="898" t="s">
        <v>1005</v>
      </c>
      <c r="D2550" s="898" t="s">
        <v>1006</v>
      </c>
      <c r="E2550" s="899" t="s">
        <v>1007</v>
      </c>
      <c r="F2550" s="881" t="s">
        <v>2637</v>
      </c>
      <c r="G2550" s="857" t="s">
        <v>2638</v>
      </c>
    </row>
    <row r="2551" spans="1:8" s="814" customFormat="1">
      <c r="A2551" s="859" t="s">
        <v>671</v>
      </c>
      <c r="B2551" s="891" t="s">
        <v>672</v>
      </c>
      <c r="C2551" s="865"/>
      <c r="D2551" s="865"/>
      <c r="E2551" s="889"/>
      <c r="F2551" s="866"/>
      <c r="G2551" s="864"/>
    </row>
    <row r="2552" spans="1:8" s="814" customFormat="1">
      <c r="A2552" s="859"/>
      <c r="B2552" s="891" t="s">
        <v>673</v>
      </c>
      <c r="C2552" s="865" t="s">
        <v>674</v>
      </c>
      <c r="D2552" s="865" t="s">
        <v>675</v>
      </c>
      <c r="E2552" s="889">
        <v>0.3</v>
      </c>
      <c r="F2552" s="866">
        <f>'UPAD-BAHAN-ALAT'!$I$12</f>
        <v>110000</v>
      </c>
      <c r="G2552" s="864">
        <f>F2552*E2552</f>
        <v>33000</v>
      </c>
    </row>
    <row r="2553" spans="1:8" s="814" customFormat="1">
      <c r="A2553" s="859"/>
      <c r="B2553" s="891" t="s">
        <v>816</v>
      </c>
      <c r="C2553" s="865" t="s">
        <v>678</v>
      </c>
      <c r="D2553" s="865" t="s">
        <v>675</v>
      </c>
      <c r="E2553" s="889">
        <v>0.15</v>
      </c>
      <c r="F2553" s="866">
        <f>'UPAD-BAHAN-ALAT'!$I$13</f>
        <v>140000</v>
      </c>
      <c r="G2553" s="864">
        <f>F2553*E2553</f>
        <v>21000</v>
      </c>
    </row>
    <row r="2554" spans="1:8" s="814" customFormat="1">
      <c r="A2554" s="859"/>
      <c r="B2554" s="891" t="s">
        <v>680</v>
      </c>
      <c r="C2554" s="865" t="s">
        <v>681</v>
      </c>
      <c r="D2554" s="865" t="s">
        <v>675</v>
      </c>
      <c r="E2554" s="889">
        <v>1.4999999999999999E-2</v>
      </c>
      <c r="F2554" s="866">
        <f>'UPAD-BAHAN-ALAT'!$I$15</f>
        <v>150000</v>
      </c>
      <c r="G2554" s="864">
        <f>F2554*E2554</f>
        <v>2250</v>
      </c>
    </row>
    <row r="2555" spans="1:8" s="814" customFormat="1">
      <c r="A2555" s="859"/>
      <c r="B2555" s="891" t="s">
        <v>683</v>
      </c>
      <c r="C2555" s="865" t="s">
        <v>684</v>
      </c>
      <c r="D2555" s="865" t="s">
        <v>675</v>
      </c>
      <c r="E2555" s="889">
        <v>1.4999999999999999E-2</v>
      </c>
      <c r="F2555" s="866">
        <f>'UPAD-BAHAN-ALAT'!$I$14</f>
        <v>140000</v>
      </c>
      <c r="G2555" s="864">
        <f>F2555*E2555</f>
        <v>2100</v>
      </c>
    </row>
    <row r="2556" spans="1:8" s="814" customFormat="1">
      <c r="A2556" s="859"/>
      <c r="B2556" s="891"/>
      <c r="C2556" s="865"/>
      <c r="D2556" s="865"/>
      <c r="E2556" s="1156" t="s">
        <v>685</v>
      </c>
      <c r="F2556" s="1156"/>
      <c r="G2556" s="864">
        <f>SUM(G2552:G2555)</f>
        <v>58350</v>
      </c>
    </row>
    <row r="2557" spans="1:8" s="814" customFormat="1">
      <c r="A2557" s="859" t="s">
        <v>686</v>
      </c>
      <c r="B2557" s="891" t="s">
        <v>687</v>
      </c>
      <c r="C2557" s="865"/>
      <c r="D2557" s="865"/>
      <c r="E2557" s="889"/>
      <c r="F2557" s="866"/>
      <c r="G2557" s="864"/>
    </row>
    <row r="2558" spans="1:8" s="814" customFormat="1">
      <c r="A2558" s="859"/>
      <c r="B2558" s="891" t="s">
        <v>738</v>
      </c>
      <c r="C2558" s="865"/>
      <c r="D2558" s="865" t="s">
        <v>690</v>
      </c>
      <c r="E2558" s="889">
        <v>6.24</v>
      </c>
      <c r="F2558" s="866">
        <f>'UPAD-BAHAN-ALAT'!$I$77</f>
        <v>1625</v>
      </c>
      <c r="G2558" s="864">
        <f>F2558*E2558</f>
        <v>10140</v>
      </c>
    </row>
    <row r="2559" spans="1:8" s="814" customFormat="1">
      <c r="A2559" s="859"/>
      <c r="B2559" s="891" t="s">
        <v>808</v>
      </c>
      <c r="C2559" s="865"/>
      <c r="D2559" s="865" t="s">
        <v>2646</v>
      </c>
      <c r="E2559" s="889">
        <v>2.4E-2</v>
      </c>
      <c r="F2559" s="866">
        <f>'UPAD-BAHAN-ALAT'!$I$71</f>
        <v>176000</v>
      </c>
      <c r="G2559" s="864">
        <f>F2559*E2559</f>
        <v>4224</v>
      </c>
    </row>
    <row r="2560" spans="1:8" s="814" customFormat="1">
      <c r="A2560" s="859"/>
      <c r="B2560" s="900"/>
      <c r="C2560" s="897"/>
      <c r="D2560" s="897"/>
      <c r="E2560" s="1156" t="s">
        <v>702</v>
      </c>
      <c r="F2560" s="1156"/>
      <c r="G2560" s="864">
        <f>SUM(G2558:G2559)</f>
        <v>14364</v>
      </c>
    </row>
    <row r="2561" spans="1:8" s="848" customFormat="1">
      <c r="A2561" s="859" t="s">
        <v>703</v>
      </c>
      <c r="B2561" s="1153" t="s">
        <v>3910</v>
      </c>
      <c r="C2561" s="1153"/>
      <c r="D2561" s="1153"/>
      <c r="E2561" s="1153"/>
      <c r="F2561" s="1153"/>
      <c r="G2561" s="872">
        <f>G2556+G2560</f>
        <v>72714</v>
      </c>
    </row>
    <row r="2562" spans="1:8" s="848" customFormat="1">
      <c r="A2562" s="859" t="s">
        <v>706</v>
      </c>
      <c r="B2562" s="1152" t="s">
        <v>876</v>
      </c>
      <c r="C2562" s="1152"/>
      <c r="D2562" s="1152"/>
      <c r="E2562" s="1153" t="s">
        <v>4030</v>
      </c>
      <c r="F2562" s="1153"/>
      <c r="G2562" s="872">
        <f>G2561*0.15</f>
        <v>10907.1</v>
      </c>
      <c r="H2562" s="901">
        <f>G2561*15%</f>
        <v>10907.1</v>
      </c>
    </row>
    <row r="2563" spans="1:8" s="848" customFormat="1">
      <c r="A2563" s="859" t="s">
        <v>708</v>
      </c>
      <c r="B2563" s="1154" t="s">
        <v>3911</v>
      </c>
      <c r="C2563" s="1154"/>
      <c r="D2563" s="1154"/>
      <c r="E2563" s="1154"/>
      <c r="F2563" s="1154"/>
      <c r="G2563" s="872">
        <f>ROUND(SUM(G2561:G2562),2)</f>
        <v>83621.100000000006</v>
      </c>
      <c r="H2563" s="872">
        <f>SUM(G2561:G2562)</f>
        <v>83621.100000000006</v>
      </c>
    </row>
    <row r="2565" spans="1:8">
      <c r="A2565" s="286" t="s">
        <v>4168</v>
      </c>
      <c r="B2565" s="265" t="s">
        <v>2832</v>
      </c>
    </row>
    <row r="2566" spans="1:8" s="292" customFormat="1" ht="24.95" customHeight="1">
      <c r="A2566" s="298" t="s">
        <v>1003</v>
      </c>
      <c r="B2566" s="298" t="s">
        <v>1004</v>
      </c>
      <c r="C2566" s="298" t="s">
        <v>1005</v>
      </c>
      <c r="D2566" s="298" t="s">
        <v>1006</v>
      </c>
      <c r="E2566" s="377" t="s">
        <v>1007</v>
      </c>
      <c r="F2566" s="363" t="s">
        <v>2637</v>
      </c>
      <c r="G2566" s="291" t="s">
        <v>2638</v>
      </c>
    </row>
    <row r="2567" spans="1:8">
      <c r="A2567" s="294" t="s">
        <v>671</v>
      </c>
      <c r="B2567" s="410" t="s">
        <v>672</v>
      </c>
      <c r="C2567" s="247"/>
      <c r="D2567" s="247"/>
      <c r="E2567" s="372"/>
      <c r="F2567" s="360"/>
      <c r="G2567" s="248"/>
    </row>
    <row r="2568" spans="1:8">
      <c r="A2568" s="294"/>
      <c r="B2568" s="410" t="s">
        <v>673</v>
      </c>
      <c r="C2568" s="247" t="s">
        <v>674</v>
      </c>
      <c r="D2568" s="247" t="s">
        <v>675</v>
      </c>
      <c r="E2568" s="372">
        <v>0.3</v>
      </c>
      <c r="F2568" s="360">
        <f>'UPAD-BAHAN-ALAT'!$I$12</f>
        <v>110000</v>
      </c>
      <c r="G2568" s="248">
        <f>F2568*E2568</f>
        <v>33000</v>
      </c>
    </row>
    <row r="2569" spans="1:8">
      <c r="A2569" s="294"/>
      <c r="B2569" s="410" t="s">
        <v>816</v>
      </c>
      <c r="C2569" s="247" t="s">
        <v>678</v>
      </c>
      <c r="D2569" s="247" t="s">
        <v>675</v>
      </c>
      <c r="E2569" s="372">
        <v>0.15</v>
      </c>
      <c r="F2569" s="360">
        <f>'UPAD-BAHAN-ALAT'!$I$13</f>
        <v>140000</v>
      </c>
      <c r="G2569" s="248">
        <f>F2569*E2569</f>
        <v>21000</v>
      </c>
    </row>
    <row r="2570" spans="1:8">
      <c r="A2570" s="294"/>
      <c r="B2570" s="410" t="s">
        <v>680</v>
      </c>
      <c r="C2570" s="247" t="s">
        <v>681</v>
      </c>
      <c r="D2570" s="247" t="s">
        <v>675</v>
      </c>
      <c r="E2570" s="372">
        <v>1.4999999999999999E-2</v>
      </c>
      <c r="F2570" s="360">
        <f>'UPAD-BAHAN-ALAT'!$I$15</f>
        <v>150000</v>
      </c>
      <c r="G2570" s="248">
        <f>F2570*E2570</f>
        <v>2250</v>
      </c>
    </row>
    <row r="2571" spans="1:8">
      <c r="A2571" s="294"/>
      <c r="B2571" s="410" t="s">
        <v>683</v>
      </c>
      <c r="C2571" s="247" t="s">
        <v>684</v>
      </c>
      <c r="D2571" s="247" t="s">
        <v>675</v>
      </c>
      <c r="E2571" s="372">
        <v>1.4999999999999999E-2</v>
      </c>
      <c r="F2571" s="360">
        <f>'UPAD-BAHAN-ALAT'!$I$14</f>
        <v>140000</v>
      </c>
      <c r="G2571" s="248">
        <f>F2571*E2571</f>
        <v>2100</v>
      </c>
    </row>
    <row r="2572" spans="1:8">
      <c r="A2572" s="294"/>
      <c r="B2572" s="410"/>
      <c r="C2572" s="247"/>
      <c r="D2572" s="247"/>
      <c r="E2572" s="1146" t="s">
        <v>685</v>
      </c>
      <c r="F2572" s="1146"/>
      <c r="G2572" s="248">
        <f>SUM(G2568:G2571)</f>
        <v>58350</v>
      </c>
    </row>
    <row r="2573" spans="1:8">
      <c r="A2573" s="294" t="s">
        <v>686</v>
      </c>
      <c r="B2573" s="410" t="s">
        <v>687</v>
      </c>
      <c r="C2573" s="247"/>
      <c r="D2573" s="247"/>
      <c r="E2573" s="372"/>
      <c r="F2573" s="360"/>
      <c r="G2573" s="248"/>
    </row>
    <row r="2574" spans="1:8">
      <c r="A2574" s="294"/>
      <c r="B2574" s="410" t="s">
        <v>738</v>
      </c>
      <c r="C2574" s="247"/>
      <c r="D2574" s="247" t="s">
        <v>690</v>
      </c>
      <c r="E2574" s="372">
        <v>5.1840000000000002</v>
      </c>
      <c r="F2574" s="360">
        <f>'UPAD-BAHAN-ALAT'!$I$77</f>
        <v>1625</v>
      </c>
      <c r="G2574" s="248">
        <f>F2574*E2574</f>
        <v>8424</v>
      </c>
    </row>
    <row r="2575" spans="1:8">
      <c r="A2575" s="294"/>
      <c r="B2575" s="410" t="s">
        <v>808</v>
      </c>
      <c r="C2575" s="247"/>
      <c r="D2575" s="247" t="s">
        <v>2646</v>
      </c>
      <c r="E2575" s="372">
        <v>2.5999999999999999E-2</v>
      </c>
      <c r="F2575" s="360">
        <f>'UPAD-BAHAN-ALAT'!$I$71</f>
        <v>176000</v>
      </c>
      <c r="G2575" s="248">
        <f>F2575*E2575</f>
        <v>4576</v>
      </c>
    </row>
    <row r="2576" spans="1:8">
      <c r="A2576" s="294"/>
      <c r="B2576" s="295"/>
      <c r="C2576" s="296"/>
      <c r="D2576" s="296"/>
      <c r="E2576" s="1146" t="s">
        <v>702</v>
      </c>
      <c r="F2576" s="1146"/>
      <c r="G2576" s="248">
        <f>SUM(G2574:G2575)</f>
        <v>13000</v>
      </c>
    </row>
    <row r="2577" spans="1:8" s="265" customFormat="1">
      <c r="A2577" s="294" t="s">
        <v>703</v>
      </c>
      <c r="B2577" s="1147" t="s">
        <v>3910</v>
      </c>
      <c r="C2577" s="1147"/>
      <c r="D2577" s="1147"/>
      <c r="E2577" s="1147"/>
      <c r="F2577" s="1147"/>
      <c r="G2577" s="255">
        <f>G2572+G2576</f>
        <v>71350</v>
      </c>
    </row>
    <row r="2578" spans="1:8" s="265" customFormat="1">
      <c r="A2578" s="294" t="s">
        <v>706</v>
      </c>
      <c r="B2578" s="1148" t="s">
        <v>876</v>
      </c>
      <c r="C2578" s="1148"/>
      <c r="D2578" s="1148"/>
      <c r="E2578" s="1147" t="s">
        <v>4030</v>
      </c>
      <c r="F2578" s="1147"/>
      <c r="G2578" s="255">
        <f>G2577*0.15</f>
        <v>10702.5</v>
      </c>
    </row>
    <row r="2579" spans="1:8" s="265" customFormat="1">
      <c r="A2579" s="294" t="s">
        <v>708</v>
      </c>
      <c r="B2579" s="1149" t="s">
        <v>3911</v>
      </c>
      <c r="C2579" s="1149"/>
      <c r="D2579" s="1149"/>
      <c r="E2579" s="1149"/>
      <c r="F2579" s="1149"/>
      <c r="G2579" s="255">
        <f>ROUND(SUM(G2577:G2578),2)</f>
        <v>82052.5</v>
      </c>
      <c r="H2579" s="255">
        <f>SUM(G2577:G2578)</f>
        <v>82052.5</v>
      </c>
    </row>
    <row r="2580" spans="1:8">
      <c r="A2580" s="268"/>
      <c r="B2580" s="269"/>
      <c r="C2580" s="268"/>
      <c r="D2580" s="268"/>
      <c r="E2580" s="380"/>
      <c r="F2580" s="365"/>
      <c r="G2580" s="270"/>
    </row>
    <row r="2581" spans="1:8">
      <c r="A2581" s="285" t="s">
        <v>4169</v>
      </c>
      <c r="B2581" s="250" t="s">
        <v>2831</v>
      </c>
      <c r="C2581" s="252"/>
      <c r="D2581" s="252"/>
      <c r="E2581" s="374"/>
      <c r="F2581" s="361"/>
      <c r="G2581" s="253"/>
    </row>
    <row r="2582" spans="1:8" s="292" customFormat="1" ht="24.95" customHeight="1">
      <c r="A2582" s="298" t="s">
        <v>1003</v>
      </c>
      <c r="B2582" s="298" t="s">
        <v>1004</v>
      </c>
      <c r="C2582" s="298" t="s">
        <v>1005</v>
      </c>
      <c r="D2582" s="298" t="s">
        <v>1006</v>
      </c>
      <c r="E2582" s="377" t="s">
        <v>1007</v>
      </c>
      <c r="F2582" s="363" t="s">
        <v>2637</v>
      </c>
      <c r="G2582" s="291" t="s">
        <v>2638</v>
      </c>
    </row>
    <row r="2583" spans="1:8">
      <c r="A2583" s="294" t="s">
        <v>671</v>
      </c>
      <c r="B2583" s="410" t="s">
        <v>672</v>
      </c>
      <c r="C2583" s="247"/>
      <c r="D2583" s="247"/>
      <c r="E2583" s="372"/>
      <c r="F2583" s="360"/>
      <c r="G2583" s="248"/>
    </row>
    <row r="2584" spans="1:8">
      <c r="A2584" s="294"/>
      <c r="B2584" s="410" t="s">
        <v>673</v>
      </c>
      <c r="C2584" s="247" t="s">
        <v>674</v>
      </c>
      <c r="D2584" s="247" t="s">
        <v>675</v>
      </c>
      <c r="E2584" s="372">
        <v>0.3</v>
      </c>
      <c r="F2584" s="360">
        <f>'UPAD-BAHAN-ALAT'!$I$12</f>
        <v>110000</v>
      </c>
      <c r="G2584" s="248">
        <f>F2584*E2584</f>
        <v>33000</v>
      </c>
    </row>
    <row r="2585" spans="1:8">
      <c r="A2585" s="294"/>
      <c r="B2585" s="410" t="s">
        <v>816</v>
      </c>
      <c r="C2585" s="247" t="s">
        <v>678</v>
      </c>
      <c r="D2585" s="247" t="s">
        <v>675</v>
      </c>
      <c r="E2585" s="372">
        <v>0.15</v>
      </c>
      <c r="F2585" s="360">
        <f>'UPAD-BAHAN-ALAT'!$I$13</f>
        <v>140000</v>
      </c>
      <c r="G2585" s="248">
        <f>F2585*E2585</f>
        <v>21000</v>
      </c>
    </row>
    <row r="2586" spans="1:8">
      <c r="A2586" s="294"/>
      <c r="B2586" s="410" t="s">
        <v>680</v>
      </c>
      <c r="C2586" s="247" t="s">
        <v>681</v>
      </c>
      <c r="D2586" s="247" t="s">
        <v>675</v>
      </c>
      <c r="E2586" s="372">
        <v>1.4999999999999999E-2</v>
      </c>
      <c r="F2586" s="360">
        <f>'UPAD-BAHAN-ALAT'!$I$15</f>
        <v>150000</v>
      </c>
      <c r="G2586" s="248">
        <f>F2586*E2586</f>
        <v>2250</v>
      </c>
    </row>
    <row r="2587" spans="1:8">
      <c r="A2587" s="294"/>
      <c r="B2587" s="410" t="s">
        <v>683</v>
      </c>
      <c r="C2587" s="247" t="s">
        <v>684</v>
      </c>
      <c r="D2587" s="247" t="s">
        <v>675</v>
      </c>
      <c r="E2587" s="372">
        <v>1.4999999999999999E-2</v>
      </c>
      <c r="F2587" s="360">
        <f>'UPAD-BAHAN-ALAT'!$I$14</f>
        <v>140000</v>
      </c>
      <c r="G2587" s="248">
        <f>F2587*E2587</f>
        <v>2100</v>
      </c>
    </row>
    <row r="2588" spans="1:8">
      <c r="A2588" s="294"/>
      <c r="B2588" s="410"/>
      <c r="C2588" s="247"/>
      <c r="D2588" s="247"/>
      <c r="E2588" s="1146" t="s">
        <v>685</v>
      </c>
      <c r="F2588" s="1146"/>
      <c r="G2588" s="248">
        <f>SUM(G2584:G2587)</f>
        <v>58350</v>
      </c>
    </row>
    <row r="2589" spans="1:8">
      <c r="A2589" s="294" t="s">
        <v>686</v>
      </c>
      <c r="B2589" s="410" t="s">
        <v>687</v>
      </c>
      <c r="C2589" s="247"/>
      <c r="D2589" s="247"/>
      <c r="E2589" s="372"/>
      <c r="F2589" s="360"/>
      <c r="G2589" s="248"/>
    </row>
    <row r="2590" spans="1:8">
      <c r="A2590" s="294"/>
      <c r="B2590" s="410" t="s">
        <v>738</v>
      </c>
      <c r="C2590" s="247"/>
      <c r="D2590" s="247" t="s">
        <v>690</v>
      </c>
      <c r="E2590" s="372">
        <v>4.4160000000000004</v>
      </c>
      <c r="F2590" s="360">
        <f>'UPAD-BAHAN-ALAT'!$I$77</f>
        <v>1625</v>
      </c>
      <c r="G2590" s="248">
        <f>F2590*E2590</f>
        <v>7176.0000000000009</v>
      </c>
    </row>
    <row r="2591" spans="1:8">
      <c r="A2591" s="294"/>
      <c r="B2591" s="410" t="s">
        <v>808</v>
      </c>
      <c r="C2591" s="247"/>
      <c r="D2591" s="247" t="s">
        <v>2646</v>
      </c>
      <c r="E2591" s="372">
        <v>2.7E-2</v>
      </c>
      <c r="F2591" s="360">
        <f>'UPAD-BAHAN-ALAT'!$I$71</f>
        <v>176000</v>
      </c>
      <c r="G2591" s="248">
        <f>F2591*E2591</f>
        <v>4752</v>
      </c>
    </row>
    <row r="2592" spans="1:8">
      <c r="A2592" s="294"/>
      <c r="B2592" s="295"/>
      <c r="C2592" s="296"/>
      <c r="D2592" s="296"/>
      <c r="E2592" s="1146" t="s">
        <v>702</v>
      </c>
      <c r="F2592" s="1146"/>
      <c r="G2592" s="248">
        <f>SUM(G2590:G2591)</f>
        <v>11928</v>
      </c>
    </row>
    <row r="2593" spans="1:8" s="265" customFormat="1">
      <c r="A2593" s="294" t="s">
        <v>703</v>
      </c>
      <c r="B2593" s="1147" t="s">
        <v>3910</v>
      </c>
      <c r="C2593" s="1147"/>
      <c r="D2593" s="1147"/>
      <c r="E2593" s="1147"/>
      <c r="F2593" s="1147"/>
      <c r="G2593" s="255">
        <f>G2588+G2592</f>
        <v>70278</v>
      </c>
    </row>
    <row r="2594" spans="1:8" s="265" customFormat="1">
      <c r="A2594" s="294" t="s">
        <v>706</v>
      </c>
      <c r="B2594" s="1148" t="s">
        <v>876</v>
      </c>
      <c r="C2594" s="1148"/>
      <c r="D2594" s="1148"/>
      <c r="E2594" s="1147" t="s">
        <v>4030</v>
      </c>
      <c r="F2594" s="1147"/>
      <c r="G2594" s="255">
        <f>G2593*0.15</f>
        <v>10541.699999999999</v>
      </c>
    </row>
    <row r="2595" spans="1:8" s="265" customFormat="1">
      <c r="A2595" s="294" t="s">
        <v>708</v>
      </c>
      <c r="B2595" s="1149" t="s">
        <v>3911</v>
      </c>
      <c r="C2595" s="1149"/>
      <c r="D2595" s="1149"/>
      <c r="E2595" s="1149"/>
      <c r="F2595" s="1149"/>
      <c r="G2595" s="255">
        <f>ROUND(SUM(G2593:G2594),2)</f>
        <v>80819.7</v>
      </c>
      <c r="H2595" s="255">
        <f>SUM(G2593:G2594)</f>
        <v>80819.7</v>
      </c>
    </row>
    <row r="2597" spans="1:8">
      <c r="A2597" s="286" t="s">
        <v>4170</v>
      </c>
      <c r="B2597" s="265" t="s">
        <v>2830</v>
      </c>
    </row>
    <row r="2598" spans="1:8" s="292" customFormat="1" ht="24.95" customHeight="1">
      <c r="A2598" s="298" t="s">
        <v>1003</v>
      </c>
      <c r="B2598" s="298" t="s">
        <v>1004</v>
      </c>
      <c r="C2598" s="298" t="s">
        <v>1005</v>
      </c>
      <c r="D2598" s="298" t="s">
        <v>1006</v>
      </c>
      <c r="E2598" s="377" t="s">
        <v>1007</v>
      </c>
      <c r="F2598" s="363" t="s">
        <v>2637</v>
      </c>
      <c r="G2598" s="291" t="s">
        <v>2638</v>
      </c>
    </row>
    <row r="2599" spans="1:8">
      <c r="A2599" s="294" t="s">
        <v>671</v>
      </c>
      <c r="B2599" s="410" t="s">
        <v>672</v>
      </c>
      <c r="C2599" s="247"/>
      <c r="D2599" s="247"/>
      <c r="E2599" s="372"/>
      <c r="F2599" s="360"/>
      <c r="G2599" s="248"/>
    </row>
    <row r="2600" spans="1:8">
      <c r="A2600" s="294"/>
      <c r="B2600" s="410" t="s">
        <v>673</v>
      </c>
      <c r="C2600" s="247" t="s">
        <v>674</v>
      </c>
      <c r="D2600" s="247" t="s">
        <v>675</v>
      </c>
      <c r="E2600" s="372">
        <v>0.3</v>
      </c>
      <c r="F2600" s="360">
        <f>'UPAD-BAHAN-ALAT'!$I$12</f>
        <v>110000</v>
      </c>
      <c r="G2600" s="248">
        <f>F2600*E2600</f>
        <v>33000</v>
      </c>
    </row>
    <row r="2601" spans="1:8">
      <c r="A2601" s="294"/>
      <c r="B2601" s="410" t="s">
        <v>816</v>
      </c>
      <c r="C2601" s="247" t="s">
        <v>678</v>
      </c>
      <c r="D2601" s="247" t="s">
        <v>675</v>
      </c>
      <c r="E2601" s="372">
        <v>0.15</v>
      </c>
      <c r="F2601" s="360">
        <f>'UPAD-BAHAN-ALAT'!$I$13</f>
        <v>140000</v>
      </c>
      <c r="G2601" s="248">
        <f>F2601*E2601</f>
        <v>21000</v>
      </c>
    </row>
    <row r="2602" spans="1:8">
      <c r="A2602" s="294"/>
      <c r="B2602" s="410" t="s">
        <v>680</v>
      </c>
      <c r="C2602" s="247" t="s">
        <v>681</v>
      </c>
      <c r="D2602" s="247" t="s">
        <v>675</v>
      </c>
      <c r="E2602" s="372">
        <v>1.4999999999999999E-2</v>
      </c>
      <c r="F2602" s="360">
        <f>'UPAD-BAHAN-ALAT'!$I$15</f>
        <v>150000</v>
      </c>
      <c r="G2602" s="248">
        <f>F2602*E2602</f>
        <v>2250</v>
      </c>
    </row>
    <row r="2603" spans="1:8">
      <c r="A2603" s="294"/>
      <c r="B2603" s="410" t="s">
        <v>683</v>
      </c>
      <c r="C2603" s="247" t="s">
        <v>684</v>
      </c>
      <c r="D2603" s="247" t="s">
        <v>675</v>
      </c>
      <c r="E2603" s="372">
        <v>1.4999999999999999E-2</v>
      </c>
      <c r="F2603" s="360">
        <f>'UPAD-BAHAN-ALAT'!$I$14</f>
        <v>140000</v>
      </c>
      <c r="G2603" s="248">
        <f>F2603*E2603</f>
        <v>2100</v>
      </c>
    </row>
    <row r="2604" spans="1:8">
      <c r="A2604" s="294"/>
      <c r="B2604" s="410"/>
      <c r="C2604" s="247"/>
      <c r="D2604" s="247"/>
      <c r="E2604" s="1146" t="s">
        <v>685</v>
      </c>
      <c r="F2604" s="1146"/>
      <c r="G2604" s="248">
        <f>SUM(G2600:G2603)</f>
        <v>58350</v>
      </c>
    </row>
    <row r="2605" spans="1:8">
      <c r="A2605" s="294" t="s">
        <v>686</v>
      </c>
      <c r="B2605" s="410" t="s">
        <v>687</v>
      </c>
      <c r="C2605" s="247"/>
      <c r="D2605" s="247"/>
      <c r="E2605" s="372"/>
      <c r="F2605" s="360"/>
      <c r="G2605" s="248"/>
    </row>
    <row r="2606" spans="1:8">
      <c r="A2606" s="294"/>
      <c r="B2606" s="410" t="s">
        <v>738</v>
      </c>
      <c r="C2606" s="247"/>
      <c r="D2606" s="247" t="s">
        <v>690</v>
      </c>
      <c r="E2606" s="372">
        <v>3.9359999999999999</v>
      </c>
      <c r="F2606" s="360">
        <f>'UPAD-BAHAN-ALAT'!$I$77</f>
        <v>1625</v>
      </c>
      <c r="G2606" s="248">
        <f>F2606*E2606</f>
        <v>6396</v>
      </c>
    </row>
    <row r="2607" spans="1:8">
      <c r="A2607" s="294"/>
      <c r="B2607" s="410" t="s">
        <v>808</v>
      </c>
      <c r="C2607" s="247"/>
      <c r="D2607" s="247" t="s">
        <v>2646</v>
      </c>
      <c r="E2607" s="372">
        <v>2.8000000000000001E-2</v>
      </c>
      <c r="F2607" s="360">
        <f>'UPAD-BAHAN-ALAT'!$I$71</f>
        <v>176000</v>
      </c>
      <c r="G2607" s="248">
        <f>F2607*E2607</f>
        <v>4928</v>
      </c>
    </row>
    <row r="2608" spans="1:8">
      <c r="A2608" s="294"/>
      <c r="B2608" s="295"/>
      <c r="C2608" s="296"/>
      <c r="D2608" s="296"/>
      <c r="E2608" s="1146" t="s">
        <v>702</v>
      </c>
      <c r="F2608" s="1146"/>
      <c r="G2608" s="248">
        <f>SUM(G2606:G2607)</f>
        <v>11324</v>
      </c>
    </row>
    <row r="2609" spans="1:8" s="265" customFormat="1">
      <c r="A2609" s="294" t="s">
        <v>703</v>
      </c>
      <c r="B2609" s="1147" t="s">
        <v>3910</v>
      </c>
      <c r="C2609" s="1147"/>
      <c r="D2609" s="1147"/>
      <c r="E2609" s="1147"/>
      <c r="F2609" s="1147"/>
      <c r="G2609" s="255">
        <f>G2604+G2608</f>
        <v>69674</v>
      </c>
    </row>
    <row r="2610" spans="1:8" s="265" customFormat="1">
      <c r="A2610" s="294" t="s">
        <v>706</v>
      </c>
      <c r="B2610" s="1148" t="s">
        <v>876</v>
      </c>
      <c r="C2610" s="1148"/>
      <c r="D2610" s="1148"/>
      <c r="E2610" s="1147" t="s">
        <v>4030</v>
      </c>
      <c r="F2610" s="1147"/>
      <c r="G2610" s="255">
        <f>G2609*0.15</f>
        <v>10451.1</v>
      </c>
    </row>
    <row r="2611" spans="1:8" s="265" customFormat="1">
      <c r="A2611" s="294" t="s">
        <v>708</v>
      </c>
      <c r="B2611" s="1149" t="s">
        <v>3911</v>
      </c>
      <c r="C2611" s="1149"/>
      <c r="D2611" s="1149"/>
      <c r="E2611" s="1149"/>
      <c r="F2611" s="1149"/>
      <c r="G2611" s="255">
        <f>ROUND(SUM(G2609:G2610),2)</f>
        <v>80125.100000000006</v>
      </c>
      <c r="H2611" s="255">
        <f>SUM(G2609:G2610)</f>
        <v>80125.100000000006</v>
      </c>
    </row>
    <row r="2612" spans="1:8">
      <c r="A2612" s="268"/>
      <c r="B2612" s="269"/>
      <c r="C2612" s="268"/>
      <c r="D2612" s="268"/>
      <c r="E2612" s="380"/>
      <c r="F2612" s="365"/>
      <c r="G2612" s="270"/>
    </row>
    <row r="2613" spans="1:8">
      <c r="A2613" s="285" t="s">
        <v>4171</v>
      </c>
      <c r="B2613" s="250" t="s">
        <v>4549</v>
      </c>
      <c r="C2613" s="252"/>
      <c r="D2613" s="252"/>
      <c r="E2613" s="374"/>
      <c r="F2613" s="361"/>
      <c r="G2613" s="253"/>
    </row>
    <row r="2614" spans="1:8" s="292" customFormat="1" ht="24.95" customHeight="1">
      <c r="A2614" s="298" t="s">
        <v>1003</v>
      </c>
      <c r="B2614" s="298" t="s">
        <v>1004</v>
      </c>
      <c r="C2614" s="298" t="s">
        <v>1005</v>
      </c>
      <c r="D2614" s="298" t="s">
        <v>1006</v>
      </c>
      <c r="E2614" s="377" t="s">
        <v>1007</v>
      </c>
      <c r="F2614" s="363" t="s">
        <v>2637</v>
      </c>
      <c r="G2614" s="291" t="s">
        <v>2638</v>
      </c>
    </row>
    <row r="2615" spans="1:8">
      <c r="A2615" s="294" t="s">
        <v>671</v>
      </c>
      <c r="B2615" s="410" t="s">
        <v>672</v>
      </c>
      <c r="C2615" s="247"/>
      <c r="D2615" s="247"/>
      <c r="E2615" s="372"/>
      <c r="F2615" s="360"/>
      <c r="G2615" s="248"/>
    </row>
    <row r="2616" spans="1:8">
      <c r="A2616" s="294"/>
      <c r="B2616" s="410" t="s">
        <v>673</v>
      </c>
      <c r="C2616" s="247" t="s">
        <v>674</v>
      </c>
      <c r="D2616" s="247" t="s">
        <v>675</v>
      </c>
      <c r="E2616" s="372">
        <v>0.3</v>
      </c>
      <c r="F2616" s="360">
        <f>'UPAD-BAHAN-ALAT'!$I$12</f>
        <v>110000</v>
      </c>
      <c r="G2616" s="248">
        <f>F2616*E2616</f>
        <v>33000</v>
      </c>
    </row>
    <row r="2617" spans="1:8">
      <c r="A2617" s="294"/>
      <c r="B2617" s="410" t="s">
        <v>816</v>
      </c>
      <c r="C2617" s="247" t="s">
        <v>678</v>
      </c>
      <c r="D2617" s="247" t="s">
        <v>675</v>
      </c>
      <c r="E2617" s="372">
        <v>0.15</v>
      </c>
      <c r="F2617" s="360">
        <f>'UPAD-BAHAN-ALAT'!$I$13</f>
        <v>140000</v>
      </c>
      <c r="G2617" s="248">
        <f>F2617*E2617</f>
        <v>21000</v>
      </c>
    </row>
    <row r="2618" spans="1:8">
      <c r="A2618" s="294"/>
      <c r="B2618" s="410" t="s">
        <v>680</v>
      </c>
      <c r="C2618" s="247" t="s">
        <v>681</v>
      </c>
      <c r="D2618" s="247" t="s">
        <v>675</v>
      </c>
      <c r="E2618" s="372">
        <v>1.4999999999999999E-2</v>
      </c>
      <c r="F2618" s="360">
        <f>'UPAD-BAHAN-ALAT'!$I$15</f>
        <v>150000</v>
      </c>
      <c r="G2618" s="248">
        <f>F2618*E2618</f>
        <v>2250</v>
      </c>
    </row>
    <row r="2619" spans="1:8">
      <c r="A2619" s="294"/>
      <c r="B2619" s="410" t="s">
        <v>683</v>
      </c>
      <c r="C2619" s="247" t="s">
        <v>684</v>
      </c>
      <c r="D2619" s="247" t="s">
        <v>675</v>
      </c>
      <c r="E2619" s="372">
        <v>1.4999999999999999E-2</v>
      </c>
      <c r="F2619" s="360">
        <f>'UPAD-BAHAN-ALAT'!$I$14</f>
        <v>140000</v>
      </c>
      <c r="G2619" s="248">
        <f>F2619*E2619</f>
        <v>2100</v>
      </c>
    </row>
    <row r="2620" spans="1:8">
      <c r="A2620" s="294"/>
      <c r="B2620" s="410"/>
      <c r="C2620" s="247"/>
      <c r="D2620" s="247"/>
      <c r="E2620" s="1146" t="s">
        <v>685</v>
      </c>
      <c r="F2620" s="1146"/>
      <c r="G2620" s="248">
        <f>SUM(G2616:G2619)</f>
        <v>58350</v>
      </c>
    </row>
    <row r="2621" spans="1:8">
      <c r="A2621" s="294" t="s">
        <v>686</v>
      </c>
      <c r="B2621" s="410" t="s">
        <v>687</v>
      </c>
      <c r="C2621" s="247"/>
      <c r="D2621" s="247"/>
      <c r="E2621" s="372"/>
      <c r="F2621" s="360"/>
      <c r="G2621" s="248"/>
    </row>
    <row r="2622" spans="1:8">
      <c r="A2622" s="294"/>
      <c r="B2622" s="410" t="s">
        <v>738</v>
      </c>
      <c r="C2622" s="247"/>
      <c r="D2622" s="247" t="s">
        <v>690</v>
      </c>
      <c r="E2622" s="372">
        <v>3.456</v>
      </c>
      <c r="F2622" s="360">
        <f>'UPAD-BAHAN-ALAT'!$I$77</f>
        <v>1625</v>
      </c>
      <c r="G2622" s="248">
        <f>F2622*E2622</f>
        <v>5616</v>
      </c>
    </row>
    <row r="2623" spans="1:8">
      <c r="A2623" s="294"/>
      <c r="B2623" s="410" t="s">
        <v>808</v>
      </c>
      <c r="C2623" s="247"/>
      <c r="D2623" s="247" t="s">
        <v>2646</v>
      </c>
      <c r="E2623" s="372">
        <v>2.9000000000000001E-2</v>
      </c>
      <c r="F2623" s="360">
        <f>'UPAD-BAHAN-ALAT'!$I$71</f>
        <v>176000</v>
      </c>
      <c r="G2623" s="248">
        <f>F2623*E2623</f>
        <v>5104</v>
      </c>
    </row>
    <row r="2624" spans="1:8">
      <c r="A2624" s="294"/>
      <c r="B2624" s="295"/>
      <c r="C2624" s="296"/>
      <c r="D2624" s="296"/>
      <c r="E2624" s="1146" t="s">
        <v>702</v>
      </c>
      <c r="F2624" s="1146"/>
      <c r="G2624" s="248">
        <f>SUM(G2622:G2623)</f>
        <v>10720</v>
      </c>
    </row>
    <row r="2625" spans="1:8" s="265" customFormat="1">
      <c r="A2625" s="294" t="s">
        <v>703</v>
      </c>
      <c r="B2625" s="1147" t="s">
        <v>3910</v>
      </c>
      <c r="C2625" s="1147"/>
      <c r="D2625" s="1147"/>
      <c r="E2625" s="1147"/>
      <c r="F2625" s="1147"/>
      <c r="G2625" s="255">
        <f>G2620+G2624</f>
        <v>69070</v>
      </c>
    </row>
    <row r="2626" spans="1:8" s="265" customFormat="1">
      <c r="A2626" s="294" t="s">
        <v>706</v>
      </c>
      <c r="B2626" s="1148" t="s">
        <v>876</v>
      </c>
      <c r="C2626" s="1148"/>
      <c r="D2626" s="1148"/>
      <c r="E2626" s="1147" t="s">
        <v>4030</v>
      </c>
      <c r="F2626" s="1147"/>
      <c r="G2626" s="255">
        <f>G2625*0.15</f>
        <v>10360.5</v>
      </c>
    </row>
    <row r="2627" spans="1:8" s="265" customFormat="1">
      <c r="A2627" s="294" t="s">
        <v>708</v>
      </c>
      <c r="B2627" s="1149" t="s">
        <v>3911</v>
      </c>
      <c r="C2627" s="1149"/>
      <c r="D2627" s="1149"/>
      <c r="E2627" s="1149"/>
      <c r="F2627" s="1149"/>
      <c r="G2627" s="255">
        <f>ROUND(SUM(G2625:G2626),2)</f>
        <v>79430.5</v>
      </c>
      <c r="H2627" s="255">
        <f>SUM(G2625:G2626)</f>
        <v>79430.5</v>
      </c>
    </row>
    <row r="2629" spans="1:8">
      <c r="A2629" s="286" t="s">
        <v>4172</v>
      </c>
      <c r="B2629" s="265" t="s">
        <v>3539</v>
      </c>
    </row>
    <row r="2630" spans="1:8" s="292" customFormat="1" ht="24.95" customHeight="1">
      <c r="A2630" s="298" t="s">
        <v>1003</v>
      </c>
      <c r="B2630" s="298" t="s">
        <v>1004</v>
      </c>
      <c r="C2630" s="298" t="s">
        <v>1005</v>
      </c>
      <c r="D2630" s="298" t="s">
        <v>1006</v>
      </c>
      <c r="E2630" s="377" t="s">
        <v>1007</v>
      </c>
      <c r="F2630" s="363" t="s">
        <v>2637</v>
      </c>
      <c r="G2630" s="291" t="s">
        <v>2638</v>
      </c>
    </row>
    <row r="2631" spans="1:8">
      <c r="A2631" s="294" t="s">
        <v>671</v>
      </c>
      <c r="B2631" s="410" t="s">
        <v>672</v>
      </c>
      <c r="C2631" s="247"/>
      <c r="D2631" s="247"/>
      <c r="E2631" s="372"/>
      <c r="F2631" s="360"/>
      <c r="G2631" s="248"/>
    </row>
    <row r="2632" spans="1:8">
      <c r="A2632" s="294"/>
      <c r="B2632" s="410" t="s">
        <v>673</v>
      </c>
      <c r="C2632" s="247" t="s">
        <v>674</v>
      </c>
      <c r="D2632" s="247" t="s">
        <v>675</v>
      </c>
      <c r="E2632" s="372">
        <v>0.4</v>
      </c>
      <c r="F2632" s="360">
        <f>'UPAD-BAHAN-ALAT'!$I$12</f>
        <v>110000</v>
      </c>
      <c r="G2632" s="248">
        <f>F2632*E2632</f>
        <v>44000</v>
      </c>
    </row>
    <row r="2633" spans="1:8">
      <c r="A2633" s="294"/>
      <c r="B2633" s="410" t="s">
        <v>816</v>
      </c>
      <c r="C2633" s="247" t="s">
        <v>678</v>
      </c>
      <c r="D2633" s="247" t="s">
        <v>675</v>
      </c>
      <c r="E2633" s="372">
        <v>0.2</v>
      </c>
      <c r="F2633" s="360">
        <f>'UPAD-BAHAN-ALAT'!$I$13</f>
        <v>140000</v>
      </c>
      <c r="G2633" s="248">
        <f>F2633*E2633</f>
        <v>28000</v>
      </c>
    </row>
    <row r="2634" spans="1:8">
      <c r="A2634" s="294"/>
      <c r="B2634" s="410" t="s">
        <v>680</v>
      </c>
      <c r="C2634" s="247" t="s">
        <v>681</v>
      </c>
      <c r="D2634" s="247" t="s">
        <v>675</v>
      </c>
      <c r="E2634" s="372">
        <v>0.02</v>
      </c>
      <c r="F2634" s="360">
        <f>'UPAD-BAHAN-ALAT'!$I$15</f>
        <v>150000</v>
      </c>
      <c r="G2634" s="248">
        <f>F2634*E2634</f>
        <v>3000</v>
      </c>
    </row>
    <row r="2635" spans="1:8">
      <c r="A2635" s="294"/>
      <c r="B2635" s="410" t="s">
        <v>683</v>
      </c>
      <c r="C2635" s="247" t="s">
        <v>684</v>
      </c>
      <c r="D2635" s="247" t="s">
        <v>675</v>
      </c>
      <c r="E2635" s="372">
        <v>2.1999999999999999E-2</v>
      </c>
      <c r="F2635" s="360">
        <f>'UPAD-BAHAN-ALAT'!$I$14</f>
        <v>140000</v>
      </c>
      <c r="G2635" s="248">
        <f>F2635*E2635</f>
        <v>3080</v>
      </c>
    </row>
    <row r="2636" spans="1:8">
      <c r="A2636" s="294"/>
      <c r="B2636" s="410"/>
      <c r="C2636" s="247"/>
      <c r="D2636" s="247"/>
      <c r="E2636" s="1146" t="s">
        <v>685</v>
      </c>
      <c r="F2636" s="1146"/>
      <c r="G2636" s="248">
        <f>SUM(G2632:G2635)</f>
        <v>78080</v>
      </c>
    </row>
    <row r="2637" spans="1:8">
      <c r="A2637" s="294" t="s">
        <v>686</v>
      </c>
      <c r="B2637" s="410" t="s">
        <v>687</v>
      </c>
      <c r="C2637" s="247"/>
      <c r="D2637" s="247"/>
      <c r="E2637" s="372"/>
      <c r="F2637" s="360"/>
      <c r="G2637" s="248"/>
    </row>
    <row r="2638" spans="1:8">
      <c r="A2638" s="294"/>
      <c r="B2638" s="410" t="s">
        <v>738</v>
      </c>
      <c r="C2638" s="247"/>
      <c r="D2638" s="247" t="s">
        <v>690</v>
      </c>
      <c r="E2638" s="372">
        <v>13.632</v>
      </c>
      <c r="F2638" s="360">
        <f>'UPAD-BAHAN-ALAT'!$I$77</f>
        <v>1625</v>
      </c>
      <c r="G2638" s="248">
        <f>F2638*E2638</f>
        <v>22152</v>
      </c>
    </row>
    <row r="2639" spans="1:8">
      <c r="A2639" s="294"/>
      <c r="B2639" s="410" t="s">
        <v>808</v>
      </c>
      <c r="C2639" s="247"/>
      <c r="D2639" s="247" t="s">
        <v>2646</v>
      </c>
      <c r="E2639" s="372">
        <v>2.7E-2</v>
      </c>
      <c r="F2639" s="360">
        <f>'UPAD-BAHAN-ALAT'!$I$71</f>
        <v>176000</v>
      </c>
      <c r="G2639" s="248">
        <f>F2639*E2639</f>
        <v>4752</v>
      </c>
    </row>
    <row r="2640" spans="1:8">
      <c r="A2640" s="294"/>
      <c r="B2640" s="295"/>
      <c r="C2640" s="296"/>
      <c r="D2640" s="296"/>
      <c r="E2640" s="1146" t="s">
        <v>702</v>
      </c>
      <c r="F2640" s="1146"/>
      <c r="G2640" s="248">
        <f>SUM(G2638:G2639)</f>
        <v>26904</v>
      </c>
    </row>
    <row r="2641" spans="1:8" s="265" customFormat="1">
      <c r="A2641" s="294" t="s">
        <v>703</v>
      </c>
      <c r="B2641" s="1147" t="s">
        <v>3910</v>
      </c>
      <c r="C2641" s="1147"/>
      <c r="D2641" s="1147"/>
      <c r="E2641" s="1147"/>
      <c r="F2641" s="1147"/>
      <c r="G2641" s="255">
        <f>G2636+G2640</f>
        <v>104984</v>
      </c>
    </row>
    <row r="2642" spans="1:8" s="265" customFormat="1">
      <c r="A2642" s="294" t="s">
        <v>706</v>
      </c>
      <c r="B2642" s="1148" t="s">
        <v>876</v>
      </c>
      <c r="C2642" s="1148"/>
      <c r="D2642" s="1148"/>
      <c r="E2642" s="1147" t="s">
        <v>4030</v>
      </c>
      <c r="F2642" s="1147"/>
      <c r="G2642" s="255">
        <f>G2641*0.15</f>
        <v>15747.599999999999</v>
      </c>
    </row>
    <row r="2643" spans="1:8" s="265" customFormat="1">
      <c r="A2643" s="294" t="s">
        <v>708</v>
      </c>
      <c r="B2643" s="1149" t="s">
        <v>3911</v>
      </c>
      <c r="C2643" s="1149"/>
      <c r="D2643" s="1149"/>
      <c r="E2643" s="1149"/>
      <c r="F2643" s="1149"/>
      <c r="G2643" s="255">
        <f>ROUND(SUM(G2641:G2642),2)</f>
        <v>120731.6</v>
      </c>
      <c r="H2643" s="255">
        <f>SUM(G2641:G2642)</f>
        <v>120731.6</v>
      </c>
    </row>
    <row r="2644" spans="1:8">
      <c r="A2644" s="268"/>
      <c r="B2644" s="269"/>
      <c r="C2644" s="268"/>
      <c r="D2644" s="268"/>
      <c r="E2644" s="380"/>
      <c r="F2644" s="365"/>
      <c r="G2644" s="270"/>
    </row>
    <row r="2645" spans="1:8">
      <c r="A2645" s="285" t="s">
        <v>4173</v>
      </c>
      <c r="B2645" s="250" t="s">
        <v>2829</v>
      </c>
      <c r="C2645" s="252"/>
      <c r="D2645" s="252"/>
      <c r="E2645" s="374"/>
      <c r="F2645" s="361"/>
      <c r="G2645" s="253"/>
    </row>
    <row r="2646" spans="1:8" s="292" customFormat="1" ht="24.95" customHeight="1">
      <c r="A2646" s="298" t="s">
        <v>1003</v>
      </c>
      <c r="B2646" s="298" t="s">
        <v>1004</v>
      </c>
      <c r="C2646" s="298" t="s">
        <v>1005</v>
      </c>
      <c r="D2646" s="298" t="s">
        <v>1006</v>
      </c>
      <c r="E2646" s="377" t="s">
        <v>1007</v>
      </c>
      <c r="F2646" s="363" t="s">
        <v>2637</v>
      </c>
      <c r="G2646" s="291" t="s">
        <v>2638</v>
      </c>
    </row>
    <row r="2647" spans="1:8">
      <c r="A2647" s="294" t="s">
        <v>671</v>
      </c>
      <c r="B2647" s="410" t="s">
        <v>672</v>
      </c>
      <c r="C2647" s="247"/>
      <c r="D2647" s="247"/>
      <c r="E2647" s="372"/>
      <c r="F2647" s="360"/>
      <c r="G2647" s="248"/>
    </row>
    <row r="2648" spans="1:8">
      <c r="A2648" s="294"/>
      <c r="B2648" s="410" t="s">
        <v>673</v>
      </c>
      <c r="C2648" s="247" t="s">
        <v>674</v>
      </c>
      <c r="D2648" s="247" t="s">
        <v>675</v>
      </c>
      <c r="E2648" s="372">
        <v>0.26</v>
      </c>
      <c r="F2648" s="360">
        <f>'UPAD-BAHAN-ALAT'!$I$12</f>
        <v>110000</v>
      </c>
      <c r="G2648" s="248">
        <f>F2648*E2648</f>
        <v>28600</v>
      </c>
    </row>
    <row r="2649" spans="1:8">
      <c r="A2649" s="294"/>
      <c r="B2649" s="410" t="s">
        <v>816</v>
      </c>
      <c r="C2649" s="247" t="s">
        <v>678</v>
      </c>
      <c r="D2649" s="247" t="s">
        <v>675</v>
      </c>
      <c r="E2649" s="372">
        <v>0.2</v>
      </c>
      <c r="F2649" s="360">
        <f>'UPAD-BAHAN-ALAT'!$I$13</f>
        <v>140000</v>
      </c>
      <c r="G2649" s="248">
        <f>F2649*E2649</f>
        <v>28000</v>
      </c>
    </row>
    <row r="2650" spans="1:8">
      <c r="A2650" s="294"/>
      <c r="B2650" s="410" t="s">
        <v>680</v>
      </c>
      <c r="C2650" s="247" t="s">
        <v>681</v>
      </c>
      <c r="D2650" s="247" t="s">
        <v>675</v>
      </c>
      <c r="E2650" s="372">
        <v>0.02</v>
      </c>
      <c r="F2650" s="360">
        <f>'UPAD-BAHAN-ALAT'!$I$15</f>
        <v>150000</v>
      </c>
      <c r="G2650" s="248">
        <f>F2650*E2650</f>
        <v>3000</v>
      </c>
    </row>
    <row r="2651" spans="1:8">
      <c r="A2651" s="294"/>
      <c r="B2651" s="410" t="s">
        <v>683</v>
      </c>
      <c r="C2651" s="247" t="s">
        <v>684</v>
      </c>
      <c r="D2651" s="247" t="s">
        <v>675</v>
      </c>
      <c r="E2651" s="372">
        <v>1.2999999999999999E-2</v>
      </c>
      <c r="F2651" s="360">
        <f>'UPAD-BAHAN-ALAT'!$I$14</f>
        <v>140000</v>
      </c>
      <c r="G2651" s="248">
        <f>F2651*E2651</f>
        <v>1820</v>
      </c>
    </row>
    <row r="2652" spans="1:8">
      <c r="A2652" s="294"/>
      <c r="B2652" s="410"/>
      <c r="C2652" s="247"/>
      <c r="D2652" s="247"/>
      <c r="E2652" s="1146" t="s">
        <v>685</v>
      </c>
      <c r="F2652" s="1146"/>
      <c r="G2652" s="248">
        <f>SUM(G2648:G2651)</f>
        <v>61420</v>
      </c>
    </row>
    <row r="2653" spans="1:8">
      <c r="A2653" s="294" t="s">
        <v>686</v>
      </c>
      <c r="B2653" s="410" t="s">
        <v>687</v>
      </c>
      <c r="C2653" s="247"/>
      <c r="D2653" s="247"/>
      <c r="E2653" s="372"/>
      <c r="F2653" s="360"/>
      <c r="G2653" s="248"/>
    </row>
    <row r="2654" spans="1:8">
      <c r="A2654" s="294"/>
      <c r="B2654" s="410" t="s">
        <v>738</v>
      </c>
      <c r="C2654" s="247"/>
      <c r="D2654" s="247" t="s">
        <v>690</v>
      </c>
      <c r="E2654" s="372">
        <v>10.368</v>
      </c>
      <c r="F2654" s="360">
        <f>'UPAD-BAHAN-ALAT'!$I$77</f>
        <v>1625</v>
      </c>
      <c r="G2654" s="248">
        <f>F2654*E2654</f>
        <v>16848</v>
      </c>
    </row>
    <row r="2655" spans="1:8">
      <c r="A2655" s="294"/>
      <c r="B2655" s="410" t="s">
        <v>808</v>
      </c>
      <c r="C2655" s="247"/>
      <c r="D2655" s="247" t="s">
        <v>2646</v>
      </c>
      <c r="E2655" s="372">
        <v>3.1E-2</v>
      </c>
      <c r="F2655" s="360">
        <f>'UPAD-BAHAN-ALAT'!$I$71</f>
        <v>176000</v>
      </c>
      <c r="G2655" s="248">
        <f>F2655*E2655</f>
        <v>5456</v>
      </c>
    </row>
    <row r="2656" spans="1:8">
      <c r="A2656" s="294"/>
      <c r="B2656" s="410"/>
      <c r="C2656" s="247"/>
      <c r="D2656" s="247"/>
      <c r="E2656" s="1155" t="s">
        <v>702</v>
      </c>
      <c r="F2656" s="1155"/>
      <c r="G2656" s="248">
        <f>SUM(G2654:G2655)</f>
        <v>22304</v>
      </c>
    </row>
    <row r="2657" spans="1:8" s="265" customFormat="1">
      <c r="A2657" s="294" t="s">
        <v>703</v>
      </c>
      <c r="B2657" s="1151" t="s">
        <v>3910</v>
      </c>
      <c r="C2657" s="1151"/>
      <c r="D2657" s="1151"/>
      <c r="E2657" s="1151"/>
      <c r="F2657" s="1151"/>
      <c r="G2657" s="255">
        <f>G2652+G2656</f>
        <v>83724</v>
      </c>
    </row>
    <row r="2658" spans="1:8" s="265" customFormat="1">
      <c r="A2658" s="294" t="s">
        <v>706</v>
      </c>
      <c r="B2658" s="1148" t="s">
        <v>876</v>
      </c>
      <c r="C2658" s="1148"/>
      <c r="D2658" s="1148"/>
      <c r="E2658" s="1147" t="s">
        <v>4030</v>
      </c>
      <c r="F2658" s="1147"/>
      <c r="G2658" s="255">
        <f>G2657*0.15</f>
        <v>12558.6</v>
      </c>
    </row>
    <row r="2659" spans="1:8" s="265" customFormat="1">
      <c r="A2659" s="294" t="s">
        <v>708</v>
      </c>
      <c r="B2659" s="1149" t="s">
        <v>3911</v>
      </c>
      <c r="C2659" s="1149"/>
      <c r="D2659" s="1149"/>
      <c r="E2659" s="1149"/>
      <c r="F2659" s="1149"/>
      <c r="G2659" s="255">
        <f>ROUND(SUM(G2657:G2658),2)</f>
        <v>96282.6</v>
      </c>
      <c r="H2659" s="255">
        <f>SUM(G2657:G2658)</f>
        <v>96282.6</v>
      </c>
    </row>
    <row r="2661" spans="1:8">
      <c r="A2661" s="286" t="s">
        <v>4174</v>
      </c>
      <c r="B2661" s="265" t="s">
        <v>2828</v>
      </c>
    </row>
    <row r="2662" spans="1:8" s="292" customFormat="1" ht="24.95" customHeight="1">
      <c r="A2662" s="298" t="s">
        <v>1003</v>
      </c>
      <c r="B2662" s="298" t="s">
        <v>1004</v>
      </c>
      <c r="C2662" s="298" t="s">
        <v>1005</v>
      </c>
      <c r="D2662" s="298" t="s">
        <v>1006</v>
      </c>
      <c r="E2662" s="377" t="s">
        <v>1007</v>
      </c>
      <c r="F2662" s="363" t="s">
        <v>2637</v>
      </c>
      <c r="G2662" s="291" t="s">
        <v>2638</v>
      </c>
    </row>
    <row r="2663" spans="1:8">
      <c r="A2663" s="294" t="s">
        <v>671</v>
      </c>
      <c r="B2663" s="410" t="s">
        <v>672</v>
      </c>
      <c r="C2663" s="247"/>
      <c r="D2663" s="247"/>
      <c r="E2663" s="372"/>
      <c r="F2663" s="360"/>
      <c r="G2663" s="248"/>
    </row>
    <row r="2664" spans="1:8">
      <c r="A2664" s="294"/>
      <c r="B2664" s="410" t="s">
        <v>673</v>
      </c>
      <c r="C2664" s="247" t="s">
        <v>674</v>
      </c>
      <c r="D2664" s="247" t="s">
        <v>675</v>
      </c>
      <c r="E2664" s="372">
        <v>0.4</v>
      </c>
      <c r="F2664" s="360">
        <f>'UPAD-BAHAN-ALAT'!$I$12</f>
        <v>110000</v>
      </c>
      <c r="G2664" s="248">
        <f>F2664*E2664</f>
        <v>44000</v>
      </c>
    </row>
    <row r="2665" spans="1:8">
      <c r="A2665" s="294"/>
      <c r="B2665" s="410" t="s">
        <v>816</v>
      </c>
      <c r="C2665" s="247" t="s">
        <v>678</v>
      </c>
      <c r="D2665" s="247" t="s">
        <v>675</v>
      </c>
      <c r="E2665" s="372">
        <v>0.2</v>
      </c>
      <c r="F2665" s="360">
        <f>'UPAD-BAHAN-ALAT'!$I$13</f>
        <v>140000</v>
      </c>
      <c r="G2665" s="248">
        <f>F2665*E2665</f>
        <v>28000</v>
      </c>
    </row>
    <row r="2666" spans="1:8">
      <c r="A2666" s="294"/>
      <c r="B2666" s="410" t="s">
        <v>680</v>
      </c>
      <c r="C2666" s="247" t="s">
        <v>681</v>
      </c>
      <c r="D2666" s="247" t="s">
        <v>675</v>
      </c>
      <c r="E2666" s="372">
        <v>0.02</v>
      </c>
      <c r="F2666" s="360">
        <f>'UPAD-BAHAN-ALAT'!$I$15</f>
        <v>150000</v>
      </c>
      <c r="G2666" s="248">
        <f>F2666*E2666</f>
        <v>3000</v>
      </c>
    </row>
    <row r="2667" spans="1:8">
      <c r="A2667" s="294"/>
      <c r="B2667" s="410" t="s">
        <v>683</v>
      </c>
      <c r="C2667" s="247" t="s">
        <v>684</v>
      </c>
      <c r="D2667" s="247" t="s">
        <v>675</v>
      </c>
      <c r="E2667" s="372">
        <v>2.1999999999999999E-2</v>
      </c>
      <c r="F2667" s="360">
        <f>'UPAD-BAHAN-ALAT'!$I$14</f>
        <v>140000</v>
      </c>
      <c r="G2667" s="248">
        <f>F2667*E2667</f>
        <v>3080</v>
      </c>
    </row>
    <row r="2668" spans="1:8">
      <c r="A2668" s="294"/>
      <c r="B2668" s="410"/>
      <c r="C2668" s="247"/>
      <c r="D2668" s="247"/>
      <c r="E2668" s="1146" t="s">
        <v>685</v>
      </c>
      <c r="F2668" s="1146"/>
      <c r="G2668" s="248">
        <f>SUM(G2664:G2667)</f>
        <v>78080</v>
      </c>
    </row>
    <row r="2669" spans="1:8">
      <c r="A2669" s="294" t="s">
        <v>686</v>
      </c>
      <c r="B2669" s="410" t="s">
        <v>687</v>
      </c>
      <c r="C2669" s="247"/>
      <c r="D2669" s="247"/>
      <c r="E2669" s="372"/>
      <c r="F2669" s="360"/>
      <c r="G2669" s="248"/>
    </row>
    <row r="2670" spans="1:8">
      <c r="A2670" s="294"/>
      <c r="B2670" s="410" t="s">
        <v>738</v>
      </c>
      <c r="C2670" s="247"/>
      <c r="D2670" s="247" t="s">
        <v>690</v>
      </c>
      <c r="E2670" s="372">
        <v>8.32</v>
      </c>
      <c r="F2670" s="360">
        <f>'UPAD-BAHAN-ALAT'!$I$77</f>
        <v>1625</v>
      </c>
      <c r="G2670" s="248">
        <f>F2670*E2670</f>
        <v>13520</v>
      </c>
    </row>
    <row r="2671" spans="1:8">
      <c r="A2671" s="294"/>
      <c r="B2671" s="410" t="s">
        <v>808</v>
      </c>
      <c r="C2671" s="247"/>
      <c r="D2671" s="247" t="s">
        <v>2646</v>
      </c>
      <c r="E2671" s="372">
        <v>3.2000000000000001E-2</v>
      </c>
      <c r="F2671" s="360">
        <f>'UPAD-BAHAN-ALAT'!$I$71</f>
        <v>176000</v>
      </c>
      <c r="G2671" s="248">
        <f>F2671*E2671</f>
        <v>5632</v>
      </c>
    </row>
    <row r="2672" spans="1:8">
      <c r="A2672" s="294"/>
      <c r="B2672" s="295"/>
      <c r="C2672" s="296"/>
      <c r="D2672" s="296"/>
      <c r="E2672" s="1146" t="s">
        <v>702</v>
      </c>
      <c r="F2672" s="1146"/>
      <c r="G2672" s="248">
        <f>SUM(G2670:G2671)</f>
        <v>19152</v>
      </c>
    </row>
    <row r="2673" spans="1:8" s="265" customFormat="1">
      <c r="A2673" s="294" t="s">
        <v>703</v>
      </c>
      <c r="B2673" s="1147" t="s">
        <v>3910</v>
      </c>
      <c r="C2673" s="1147"/>
      <c r="D2673" s="1147"/>
      <c r="E2673" s="1147"/>
      <c r="F2673" s="1147"/>
      <c r="G2673" s="255">
        <f>G2668+G2672</f>
        <v>97232</v>
      </c>
    </row>
    <row r="2674" spans="1:8" s="265" customFormat="1">
      <c r="A2674" s="294" t="s">
        <v>706</v>
      </c>
      <c r="B2674" s="1148" t="s">
        <v>876</v>
      </c>
      <c r="C2674" s="1148"/>
      <c r="D2674" s="1148"/>
      <c r="E2674" s="1147" t="s">
        <v>4030</v>
      </c>
      <c r="F2674" s="1147"/>
      <c r="G2674" s="255">
        <f>G2673*0.15</f>
        <v>14584.8</v>
      </c>
    </row>
    <row r="2675" spans="1:8" s="265" customFormat="1">
      <c r="A2675" s="294" t="s">
        <v>708</v>
      </c>
      <c r="B2675" s="1149" t="s">
        <v>3911</v>
      </c>
      <c r="C2675" s="1149"/>
      <c r="D2675" s="1149"/>
      <c r="E2675" s="1149"/>
      <c r="F2675" s="1149"/>
      <c r="G2675" s="255">
        <f>ROUND(SUM(G2673:G2674),2)</f>
        <v>111816.8</v>
      </c>
      <c r="H2675" s="255">
        <f>SUM(G2673:G2674)</f>
        <v>111816.8</v>
      </c>
    </row>
    <row r="2676" spans="1:8">
      <c r="A2676" s="268"/>
      <c r="B2676" s="269"/>
      <c r="C2676" s="268"/>
      <c r="D2676" s="268"/>
      <c r="E2676" s="380"/>
      <c r="F2676" s="365"/>
      <c r="G2676" s="270"/>
    </row>
    <row r="2677" spans="1:8">
      <c r="A2677" s="285" t="s">
        <v>4175</v>
      </c>
      <c r="B2677" s="250" t="s">
        <v>2827</v>
      </c>
      <c r="C2677" s="252"/>
      <c r="D2677" s="252"/>
      <c r="E2677" s="374"/>
      <c r="F2677" s="361"/>
      <c r="G2677" s="253"/>
    </row>
    <row r="2678" spans="1:8" s="292" customFormat="1" ht="24.95" customHeight="1">
      <c r="A2678" s="298" t="s">
        <v>1003</v>
      </c>
      <c r="B2678" s="298" t="s">
        <v>1004</v>
      </c>
      <c r="C2678" s="298" t="s">
        <v>1005</v>
      </c>
      <c r="D2678" s="298" t="s">
        <v>1006</v>
      </c>
      <c r="E2678" s="377" t="s">
        <v>1007</v>
      </c>
      <c r="F2678" s="363" t="s">
        <v>2637</v>
      </c>
      <c r="G2678" s="291" t="s">
        <v>2638</v>
      </c>
    </row>
    <row r="2679" spans="1:8">
      <c r="A2679" s="294" t="s">
        <v>671</v>
      </c>
      <c r="B2679" s="410" t="s">
        <v>672</v>
      </c>
      <c r="C2679" s="247"/>
      <c r="D2679" s="247"/>
      <c r="E2679" s="372"/>
      <c r="F2679" s="360"/>
      <c r="G2679" s="248"/>
    </row>
    <row r="2680" spans="1:8">
      <c r="A2680" s="294"/>
      <c r="B2680" s="410" t="s">
        <v>673</v>
      </c>
      <c r="C2680" s="247" t="s">
        <v>674</v>
      </c>
      <c r="D2680" s="247" t="s">
        <v>675</v>
      </c>
      <c r="E2680" s="372">
        <v>0.4</v>
      </c>
      <c r="F2680" s="360">
        <f>'UPAD-BAHAN-ALAT'!$I$12</f>
        <v>110000</v>
      </c>
      <c r="G2680" s="248">
        <f>F2680*E2680</f>
        <v>44000</v>
      </c>
    </row>
    <row r="2681" spans="1:8">
      <c r="A2681" s="294"/>
      <c r="B2681" s="410" t="s">
        <v>816</v>
      </c>
      <c r="C2681" s="247" t="s">
        <v>681</v>
      </c>
      <c r="D2681" s="247" t="s">
        <v>675</v>
      </c>
      <c r="E2681" s="372">
        <v>0.2</v>
      </c>
      <c r="F2681" s="360">
        <f>'UPAD-BAHAN-ALAT'!$I$13</f>
        <v>140000</v>
      </c>
      <c r="G2681" s="248">
        <f>F2681*E2681</f>
        <v>28000</v>
      </c>
    </row>
    <row r="2682" spans="1:8">
      <c r="A2682" s="294"/>
      <c r="B2682" s="410" t="s">
        <v>680</v>
      </c>
      <c r="C2682" s="247" t="s">
        <v>681</v>
      </c>
      <c r="D2682" s="247" t="s">
        <v>675</v>
      </c>
      <c r="E2682" s="372">
        <v>0.02</v>
      </c>
      <c r="F2682" s="360">
        <f>'UPAD-BAHAN-ALAT'!$I$15</f>
        <v>150000</v>
      </c>
      <c r="G2682" s="248">
        <f>F2682*E2682</f>
        <v>3000</v>
      </c>
    </row>
    <row r="2683" spans="1:8">
      <c r="A2683" s="294"/>
      <c r="B2683" s="410" t="s">
        <v>683</v>
      </c>
      <c r="C2683" s="247" t="s">
        <v>684</v>
      </c>
      <c r="D2683" s="247" t="s">
        <v>675</v>
      </c>
      <c r="E2683" s="372">
        <v>2.1999999999999999E-2</v>
      </c>
      <c r="F2683" s="360">
        <f>'UPAD-BAHAN-ALAT'!$I$14</f>
        <v>140000</v>
      </c>
      <c r="G2683" s="248">
        <f>F2683*E2683</f>
        <v>3080</v>
      </c>
    </row>
    <row r="2684" spans="1:8">
      <c r="A2684" s="294"/>
      <c r="B2684" s="410"/>
      <c r="C2684" s="247"/>
      <c r="D2684" s="247"/>
      <c r="E2684" s="1146" t="s">
        <v>685</v>
      </c>
      <c r="F2684" s="1146"/>
      <c r="G2684" s="248">
        <f>SUM(G2680:G2683)</f>
        <v>78080</v>
      </c>
    </row>
    <row r="2685" spans="1:8">
      <c r="A2685" s="294" t="s">
        <v>686</v>
      </c>
      <c r="B2685" s="410" t="s">
        <v>687</v>
      </c>
      <c r="C2685" s="247"/>
      <c r="D2685" s="247"/>
      <c r="E2685" s="372"/>
      <c r="F2685" s="360"/>
      <c r="G2685" s="248"/>
    </row>
    <row r="2686" spans="1:8">
      <c r="A2686" s="294"/>
      <c r="B2686" s="410" t="s">
        <v>738</v>
      </c>
      <c r="C2686" s="247"/>
      <c r="D2686" s="247" t="s">
        <v>690</v>
      </c>
      <c r="E2686" s="372">
        <v>6.9119999999999999</v>
      </c>
      <c r="F2686" s="360">
        <f>'UPAD-BAHAN-ALAT'!$I$77</f>
        <v>1625</v>
      </c>
      <c r="G2686" s="248">
        <f>F2686*E2686</f>
        <v>11232</v>
      </c>
    </row>
    <row r="2687" spans="1:8">
      <c r="A2687" s="294"/>
      <c r="B2687" s="410" t="s">
        <v>808</v>
      </c>
      <c r="C2687" s="247"/>
      <c r="D2687" s="247" t="s">
        <v>2646</v>
      </c>
      <c r="E2687" s="372">
        <v>3.5000000000000003E-2</v>
      </c>
      <c r="F2687" s="360">
        <f>'UPAD-BAHAN-ALAT'!$I$71</f>
        <v>176000</v>
      </c>
      <c r="G2687" s="248">
        <f>F2687*E2687</f>
        <v>6160.0000000000009</v>
      </c>
    </row>
    <row r="2688" spans="1:8">
      <c r="A2688" s="294"/>
      <c r="B2688" s="410"/>
      <c r="C2688" s="247"/>
      <c r="D2688" s="247"/>
      <c r="E2688" s="1159" t="s">
        <v>702</v>
      </c>
      <c r="F2688" s="1160"/>
      <c r="G2688" s="248">
        <f>SUM(G2686:G2687)</f>
        <v>17392</v>
      </c>
    </row>
    <row r="2689" spans="1:8" s="265" customFormat="1">
      <c r="A2689" s="294" t="s">
        <v>703</v>
      </c>
      <c r="B2689" s="1151" t="s">
        <v>3910</v>
      </c>
      <c r="C2689" s="1151"/>
      <c r="D2689" s="1151"/>
      <c r="E2689" s="1151"/>
      <c r="F2689" s="1151"/>
      <c r="G2689" s="255">
        <f>G2684+G2688</f>
        <v>95472</v>
      </c>
    </row>
    <row r="2690" spans="1:8" s="265" customFormat="1">
      <c r="A2690" s="294" t="s">
        <v>706</v>
      </c>
      <c r="B2690" s="1148" t="s">
        <v>876</v>
      </c>
      <c r="C2690" s="1148"/>
      <c r="D2690" s="1148"/>
      <c r="E2690" s="1147" t="s">
        <v>4030</v>
      </c>
      <c r="F2690" s="1147"/>
      <c r="G2690" s="255">
        <f>G2689*0.15</f>
        <v>14320.8</v>
      </c>
    </row>
    <row r="2691" spans="1:8" s="265" customFormat="1">
      <c r="A2691" s="294" t="s">
        <v>708</v>
      </c>
      <c r="B2691" s="1149" t="s">
        <v>3911</v>
      </c>
      <c r="C2691" s="1149"/>
      <c r="D2691" s="1149"/>
      <c r="E2691" s="1149"/>
      <c r="F2691" s="1149"/>
      <c r="G2691" s="255">
        <f>ROUND(SUM(G2689:G2690),2)</f>
        <v>109792.8</v>
      </c>
      <c r="H2691" s="255">
        <f>SUM(G2689:G2690)</f>
        <v>109792.8</v>
      </c>
    </row>
    <row r="2693" spans="1:8">
      <c r="A2693" s="286" t="s">
        <v>4176</v>
      </c>
      <c r="B2693" s="265" t="s">
        <v>2826</v>
      </c>
    </row>
    <row r="2694" spans="1:8" s="292" customFormat="1" ht="24.95" customHeight="1">
      <c r="A2694" s="298" t="s">
        <v>1003</v>
      </c>
      <c r="B2694" s="298" t="s">
        <v>1004</v>
      </c>
      <c r="C2694" s="298" t="s">
        <v>1005</v>
      </c>
      <c r="D2694" s="698" t="s">
        <v>1006</v>
      </c>
      <c r="E2694" s="699" t="s">
        <v>1007</v>
      </c>
      <c r="F2694" s="389" t="s">
        <v>2637</v>
      </c>
      <c r="G2694" s="291" t="s">
        <v>2638</v>
      </c>
    </row>
    <row r="2695" spans="1:8">
      <c r="A2695" s="294" t="s">
        <v>671</v>
      </c>
      <c r="B2695" s="410" t="s">
        <v>672</v>
      </c>
      <c r="C2695" s="247"/>
      <c r="D2695" s="283"/>
      <c r="E2695" s="428"/>
      <c r="F2695" s="390"/>
      <c r="G2695" s="248"/>
    </row>
    <row r="2696" spans="1:8">
      <c r="A2696" s="294"/>
      <c r="B2696" s="410" t="s">
        <v>673</v>
      </c>
      <c r="C2696" s="247" t="s">
        <v>674</v>
      </c>
      <c r="D2696" s="283" t="s">
        <v>675</v>
      </c>
      <c r="E2696" s="428">
        <v>0.4</v>
      </c>
      <c r="F2696" s="360">
        <f>'UPAD-BAHAN-ALAT'!$I$12</f>
        <v>110000</v>
      </c>
      <c r="G2696" s="248">
        <f>F2696*E2696</f>
        <v>44000</v>
      </c>
    </row>
    <row r="2697" spans="1:8">
      <c r="A2697" s="294"/>
      <c r="B2697" s="410" t="s">
        <v>816</v>
      </c>
      <c r="C2697" s="247" t="s">
        <v>681</v>
      </c>
      <c r="D2697" s="283" t="s">
        <v>675</v>
      </c>
      <c r="E2697" s="428">
        <v>0.2</v>
      </c>
      <c r="F2697" s="700">
        <f>'UPAD-BAHAN-ALAT'!$I$13</f>
        <v>140000</v>
      </c>
      <c r="G2697" s="248">
        <f>F2697*E2697</f>
        <v>28000</v>
      </c>
    </row>
    <row r="2698" spans="1:8">
      <c r="A2698" s="294"/>
      <c r="B2698" s="410" t="s">
        <v>680</v>
      </c>
      <c r="C2698" s="247" t="s">
        <v>681</v>
      </c>
      <c r="D2698" s="283" t="s">
        <v>675</v>
      </c>
      <c r="E2698" s="428">
        <v>0.02</v>
      </c>
      <c r="F2698" s="701">
        <f>'UPAD-BAHAN-ALAT'!$I$15</f>
        <v>150000</v>
      </c>
      <c r="G2698" s="632">
        <f>F2698*E2698</f>
        <v>3000</v>
      </c>
    </row>
    <row r="2699" spans="1:8">
      <c r="A2699" s="294"/>
      <c r="B2699" s="410" t="s">
        <v>683</v>
      </c>
      <c r="C2699" s="247" t="s">
        <v>684</v>
      </c>
      <c r="D2699" s="283" t="s">
        <v>675</v>
      </c>
      <c r="E2699" s="428">
        <v>2.1999999999999999E-2</v>
      </c>
      <c r="F2699" s="702">
        <f>'UPAD-BAHAN-ALAT'!$I$14</f>
        <v>140000</v>
      </c>
      <c r="G2699" s="632">
        <f>F2699*E2699</f>
        <v>3080</v>
      </c>
    </row>
    <row r="2700" spans="1:8">
      <c r="A2700" s="294"/>
      <c r="B2700" s="410"/>
      <c r="C2700" s="247"/>
      <c r="D2700" s="283"/>
      <c r="E2700" s="428" t="s">
        <v>685</v>
      </c>
      <c r="F2700" s="702"/>
      <c r="G2700" s="632">
        <f>SUM(G2696:G2699)</f>
        <v>78080</v>
      </c>
    </row>
    <row r="2701" spans="1:8">
      <c r="A2701" s="294" t="s">
        <v>686</v>
      </c>
      <c r="B2701" s="410" t="s">
        <v>687</v>
      </c>
      <c r="C2701" s="247"/>
      <c r="D2701" s="283"/>
      <c r="E2701" s="428"/>
      <c r="F2701" s="702"/>
      <c r="G2701" s="632"/>
    </row>
    <row r="2702" spans="1:8">
      <c r="A2702" s="294"/>
      <c r="B2702" s="410" t="s">
        <v>738</v>
      </c>
      <c r="C2702" s="247"/>
      <c r="D2702" s="283" t="s">
        <v>690</v>
      </c>
      <c r="E2702" s="428">
        <v>5.8879999999999999</v>
      </c>
      <c r="F2702" s="702">
        <f>'UPAD-BAHAN-ALAT'!$I$77</f>
        <v>1625</v>
      </c>
      <c r="G2702" s="632">
        <f>F2702*E2702</f>
        <v>9568</v>
      </c>
    </row>
    <row r="2703" spans="1:8">
      <c r="A2703" s="294"/>
      <c r="B2703" s="410" t="s">
        <v>808</v>
      </c>
      <c r="C2703" s="247"/>
      <c r="D2703" s="283" t="s">
        <v>2646</v>
      </c>
      <c r="E2703" s="428">
        <v>3.5999999999999997E-2</v>
      </c>
      <c r="F2703" s="702">
        <f>'UPAD-BAHAN-ALAT'!$I$71</f>
        <v>176000</v>
      </c>
      <c r="G2703" s="632">
        <f>F2703*E2703</f>
        <v>6335.9999999999991</v>
      </c>
    </row>
    <row r="2704" spans="1:8">
      <c r="A2704" s="294"/>
      <c r="B2704" s="410"/>
      <c r="C2704" s="247"/>
      <c r="D2704" s="288"/>
      <c r="E2704" s="428" t="s">
        <v>702</v>
      </c>
      <c r="F2704" s="702"/>
      <c r="G2704" s="632">
        <f>SUM(G2702:G2703)</f>
        <v>15904</v>
      </c>
    </row>
    <row r="2705" spans="1:8" s="265" customFormat="1">
      <c r="A2705" s="294" t="s">
        <v>703</v>
      </c>
      <c r="B2705" s="357" t="s">
        <v>3910</v>
      </c>
      <c r="C2705" s="610"/>
      <c r="D2705" s="610"/>
      <c r="E2705" s="611"/>
      <c r="F2705" s="703"/>
      <c r="G2705" s="631">
        <f>G2700+G2704</f>
        <v>93984</v>
      </c>
    </row>
    <row r="2706" spans="1:8" s="265" customFormat="1">
      <c r="A2706" s="294" t="s">
        <v>706</v>
      </c>
      <c r="B2706" s="617" t="s">
        <v>876</v>
      </c>
      <c r="C2706" s="618"/>
      <c r="D2706" s="633"/>
      <c r="E2706" s="613" t="s">
        <v>4030</v>
      </c>
      <c r="F2706" s="703"/>
      <c r="G2706" s="255">
        <f>G2705*0.15</f>
        <v>14097.6</v>
      </c>
    </row>
    <row r="2707" spans="1:8" s="265" customFormat="1">
      <c r="A2707" s="294" t="s">
        <v>708</v>
      </c>
      <c r="B2707" s="357" t="s">
        <v>3911</v>
      </c>
      <c r="C2707" s="610"/>
      <c r="D2707" s="610"/>
      <c r="E2707" s="611"/>
      <c r="F2707" s="704"/>
      <c r="G2707" s="255">
        <f>ROUND(SUM(G2705:G2706),2)</f>
        <v>108081.60000000001</v>
      </c>
      <c r="H2707" s="631">
        <f>SUM(G2705:G2706)</f>
        <v>108081.60000000001</v>
      </c>
    </row>
    <row r="2708" spans="1:8">
      <c r="A2708" s="268"/>
      <c r="B2708" s="269"/>
      <c r="C2708" s="268"/>
      <c r="D2708" s="268"/>
      <c r="E2708" s="380"/>
      <c r="F2708" s="361"/>
      <c r="G2708" s="270"/>
    </row>
    <row r="2709" spans="1:8">
      <c r="A2709" s="286" t="s">
        <v>4177</v>
      </c>
      <c r="B2709" s="265" t="s">
        <v>2825</v>
      </c>
    </row>
    <row r="2710" spans="1:8" s="292" customFormat="1" ht="24.95" customHeight="1">
      <c r="A2710" s="298" t="s">
        <v>1003</v>
      </c>
      <c r="B2710" s="298" t="s">
        <v>1004</v>
      </c>
      <c r="C2710" s="298" t="s">
        <v>1005</v>
      </c>
      <c r="D2710" s="298" t="s">
        <v>1006</v>
      </c>
      <c r="E2710" s="377" t="s">
        <v>1007</v>
      </c>
      <c r="F2710" s="363" t="s">
        <v>2637</v>
      </c>
      <c r="G2710" s="291" t="s">
        <v>2638</v>
      </c>
    </row>
    <row r="2711" spans="1:8">
      <c r="A2711" s="294" t="s">
        <v>671</v>
      </c>
      <c r="B2711" s="410" t="s">
        <v>672</v>
      </c>
      <c r="C2711" s="247"/>
      <c r="D2711" s="247"/>
      <c r="E2711" s="372"/>
      <c r="F2711" s="360"/>
      <c r="G2711" s="248"/>
    </row>
    <row r="2712" spans="1:8">
      <c r="A2712" s="294"/>
      <c r="B2712" s="410" t="s">
        <v>673</v>
      </c>
      <c r="C2712" s="247" t="s">
        <v>674</v>
      </c>
      <c r="D2712" s="247" t="s">
        <v>675</v>
      </c>
      <c r="E2712" s="372">
        <v>0.15</v>
      </c>
      <c r="F2712" s="360">
        <f>'UPAD-BAHAN-ALAT'!$I$12</f>
        <v>110000</v>
      </c>
      <c r="G2712" s="248">
        <f>F2712*E2712</f>
        <v>16500</v>
      </c>
    </row>
    <row r="2713" spans="1:8">
      <c r="A2713" s="294"/>
      <c r="B2713" s="410" t="s">
        <v>816</v>
      </c>
      <c r="C2713" s="247" t="s">
        <v>681</v>
      </c>
      <c r="D2713" s="247" t="s">
        <v>675</v>
      </c>
      <c r="E2713" s="372">
        <v>7.4999999999999997E-2</v>
      </c>
      <c r="F2713" s="360">
        <f>'UPAD-BAHAN-ALAT'!$I$13</f>
        <v>140000</v>
      </c>
      <c r="G2713" s="248">
        <f>F2713*E2713</f>
        <v>10500</v>
      </c>
    </row>
    <row r="2714" spans="1:8">
      <c r="A2714" s="294"/>
      <c r="B2714" s="410" t="s">
        <v>680</v>
      </c>
      <c r="C2714" s="247" t="s">
        <v>681</v>
      </c>
      <c r="D2714" s="247" t="s">
        <v>675</v>
      </c>
      <c r="E2714" s="372">
        <v>8.0000000000000002E-3</v>
      </c>
      <c r="F2714" s="360">
        <f>'UPAD-BAHAN-ALAT'!$I$15</f>
        <v>150000</v>
      </c>
      <c r="G2714" s="248">
        <f>F2714*E2714</f>
        <v>1200</v>
      </c>
    </row>
    <row r="2715" spans="1:8">
      <c r="A2715" s="294"/>
      <c r="B2715" s="410" t="s">
        <v>683</v>
      </c>
      <c r="C2715" s="247" t="s">
        <v>684</v>
      </c>
      <c r="D2715" s="247" t="s">
        <v>675</v>
      </c>
      <c r="E2715" s="372">
        <v>8.0000000000000002E-3</v>
      </c>
      <c r="F2715" s="360">
        <f>'UPAD-BAHAN-ALAT'!$I$14</f>
        <v>140000</v>
      </c>
      <c r="G2715" s="248">
        <f>F2715*E2715</f>
        <v>1120</v>
      </c>
    </row>
    <row r="2716" spans="1:8">
      <c r="A2716" s="294"/>
      <c r="B2716" s="410"/>
      <c r="C2716" s="247"/>
      <c r="D2716" s="247"/>
      <c r="E2716" s="1146" t="s">
        <v>685</v>
      </c>
      <c r="F2716" s="1146"/>
      <c r="G2716" s="248">
        <f>SUM(G2712:G2715)</f>
        <v>29320</v>
      </c>
    </row>
    <row r="2717" spans="1:8">
      <c r="A2717" s="294" t="s">
        <v>686</v>
      </c>
      <c r="B2717" s="410" t="s">
        <v>687</v>
      </c>
      <c r="C2717" s="247"/>
      <c r="D2717" s="247"/>
      <c r="E2717" s="372"/>
      <c r="F2717" s="360"/>
      <c r="G2717" s="248"/>
    </row>
    <row r="2718" spans="1:8">
      <c r="A2718" s="294"/>
      <c r="B2718" s="410" t="s">
        <v>738</v>
      </c>
      <c r="C2718" s="247"/>
      <c r="D2718" s="247" t="s">
        <v>690</v>
      </c>
      <c r="E2718" s="372">
        <v>5.1840000000000002</v>
      </c>
      <c r="F2718" s="360">
        <f>'UPAD-BAHAN-ALAT'!$I$77</f>
        <v>1625</v>
      </c>
      <c r="G2718" s="248">
        <f>F2718*E2718</f>
        <v>8424</v>
      </c>
    </row>
    <row r="2719" spans="1:8">
      <c r="A2719" s="294"/>
      <c r="B2719" s="410" t="s">
        <v>808</v>
      </c>
      <c r="C2719" s="247"/>
      <c r="D2719" s="247" t="s">
        <v>2646</v>
      </c>
      <c r="E2719" s="372">
        <v>2.5999999999999999E-2</v>
      </c>
      <c r="F2719" s="360">
        <f>'UPAD-BAHAN-ALAT'!$I$71</f>
        <v>176000</v>
      </c>
      <c r="G2719" s="248">
        <f>F2719*E2719</f>
        <v>4576</v>
      </c>
    </row>
    <row r="2720" spans="1:8">
      <c r="A2720" s="294"/>
      <c r="B2720" s="295"/>
      <c r="C2720" s="296"/>
      <c r="D2720" s="296"/>
      <c r="E2720" s="1146" t="s">
        <v>702</v>
      </c>
      <c r="F2720" s="1146"/>
      <c r="G2720" s="248">
        <f>SUM(G2718:G2719)</f>
        <v>13000</v>
      </c>
    </row>
    <row r="2721" spans="1:8" s="265" customFormat="1">
      <c r="A2721" s="294" t="s">
        <v>703</v>
      </c>
      <c r="B2721" s="1147" t="s">
        <v>3910</v>
      </c>
      <c r="C2721" s="1147"/>
      <c r="D2721" s="1147"/>
      <c r="E2721" s="1147"/>
      <c r="F2721" s="1147"/>
      <c r="G2721" s="255">
        <f>G2716+G2720</f>
        <v>42320</v>
      </c>
    </row>
    <row r="2722" spans="1:8" s="265" customFormat="1">
      <c r="A2722" s="294" t="s">
        <v>706</v>
      </c>
      <c r="B2722" s="1148" t="s">
        <v>876</v>
      </c>
      <c r="C2722" s="1148"/>
      <c r="D2722" s="1148"/>
      <c r="E2722" s="1147" t="s">
        <v>4030</v>
      </c>
      <c r="F2722" s="1147"/>
      <c r="G2722" s="255">
        <f>G2721*0.15</f>
        <v>6348</v>
      </c>
    </row>
    <row r="2723" spans="1:8" s="265" customFormat="1">
      <c r="A2723" s="294" t="s">
        <v>708</v>
      </c>
      <c r="B2723" s="1149" t="s">
        <v>3911</v>
      </c>
      <c r="C2723" s="1149"/>
      <c r="D2723" s="1149"/>
      <c r="E2723" s="1149"/>
      <c r="F2723" s="1149"/>
      <c r="G2723" s="255">
        <f>ROUND(SUM(G2721:G2722),2)</f>
        <v>48668</v>
      </c>
      <c r="H2723" s="255">
        <f>SUM(G2721:G2722)</f>
        <v>48668</v>
      </c>
    </row>
    <row r="2724" spans="1:8">
      <c r="A2724" s="268"/>
      <c r="B2724" s="269"/>
      <c r="C2724" s="268"/>
      <c r="D2724" s="268"/>
      <c r="E2724" s="380"/>
      <c r="F2724" s="365"/>
      <c r="G2724" s="270"/>
    </row>
    <row r="2725" spans="1:8">
      <c r="A2725" s="285" t="s">
        <v>4178</v>
      </c>
      <c r="B2725" s="250" t="s">
        <v>2824</v>
      </c>
      <c r="C2725" s="252"/>
      <c r="D2725" s="252"/>
      <c r="E2725" s="374"/>
      <c r="F2725" s="361"/>
      <c r="G2725" s="253"/>
    </row>
    <row r="2726" spans="1:8" s="292" customFormat="1" ht="24.95" customHeight="1">
      <c r="A2726" s="298" t="s">
        <v>1003</v>
      </c>
      <c r="B2726" s="298" t="s">
        <v>1004</v>
      </c>
      <c r="C2726" s="298" t="s">
        <v>1005</v>
      </c>
      <c r="D2726" s="298" t="s">
        <v>1006</v>
      </c>
      <c r="E2726" s="377" t="s">
        <v>1007</v>
      </c>
      <c r="F2726" s="363" t="s">
        <v>2637</v>
      </c>
      <c r="G2726" s="291" t="s">
        <v>2638</v>
      </c>
    </row>
    <row r="2727" spans="1:8">
      <c r="A2727" s="294" t="s">
        <v>671</v>
      </c>
      <c r="B2727" s="410" t="s">
        <v>672</v>
      </c>
      <c r="C2727" s="247"/>
      <c r="D2727" s="247"/>
      <c r="E2727" s="372"/>
      <c r="F2727" s="360"/>
      <c r="G2727" s="248"/>
    </row>
    <row r="2728" spans="1:8">
      <c r="A2728" s="294"/>
      <c r="B2728" s="410" t="s">
        <v>673</v>
      </c>
      <c r="C2728" s="247" t="s">
        <v>674</v>
      </c>
      <c r="D2728" s="247" t="s">
        <v>675</v>
      </c>
      <c r="E2728" s="372">
        <v>0.08</v>
      </c>
      <c r="F2728" s="360">
        <f>'UPAD-BAHAN-ALAT'!$I$12</f>
        <v>110000</v>
      </c>
      <c r="G2728" s="248">
        <f>F2728*E2728</f>
        <v>8800</v>
      </c>
    </row>
    <row r="2729" spans="1:8">
      <c r="A2729" s="294"/>
      <c r="B2729" s="410" t="s">
        <v>816</v>
      </c>
      <c r="C2729" s="247" t="s">
        <v>681</v>
      </c>
      <c r="D2729" s="247" t="s">
        <v>675</v>
      </c>
      <c r="E2729" s="372">
        <v>0.4</v>
      </c>
      <c r="F2729" s="360">
        <f>'UPAD-BAHAN-ALAT'!$I$13</f>
        <v>140000</v>
      </c>
      <c r="G2729" s="248">
        <f>F2729*E2729</f>
        <v>56000</v>
      </c>
    </row>
    <row r="2730" spans="1:8">
      <c r="A2730" s="294"/>
      <c r="B2730" s="410" t="s">
        <v>680</v>
      </c>
      <c r="C2730" s="247" t="s">
        <v>681</v>
      </c>
      <c r="D2730" s="247" t="s">
        <v>675</v>
      </c>
      <c r="E2730" s="372">
        <v>0.04</v>
      </c>
      <c r="F2730" s="360">
        <f>'UPAD-BAHAN-ALAT'!$I$15</f>
        <v>150000</v>
      </c>
      <c r="G2730" s="248">
        <f>F2730*E2730</f>
        <v>6000</v>
      </c>
    </row>
    <row r="2731" spans="1:8">
      <c r="A2731" s="294"/>
      <c r="B2731" s="410" t="s">
        <v>683</v>
      </c>
      <c r="C2731" s="247" t="s">
        <v>684</v>
      </c>
      <c r="D2731" s="247" t="s">
        <v>675</v>
      </c>
      <c r="E2731" s="372">
        <v>4.0000000000000001E-3</v>
      </c>
      <c r="F2731" s="360">
        <f>'UPAD-BAHAN-ALAT'!$I$14</f>
        <v>140000</v>
      </c>
      <c r="G2731" s="248">
        <f>F2731*E2731</f>
        <v>560</v>
      </c>
    </row>
    <row r="2732" spans="1:8">
      <c r="A2732" s="294"/>
      <c r="B2732" s="410"/>
      <c r="C2732" s="247"/>
      <c r="D2732" s="247"/>
      <c r="E2732" s="1146" t="s">
        <v>685</v>
      </c>
      <c r="F2732" s="1146"/>
      <c r="G2732" s="248">
        <f>SUM(G2728:G2731)</f>
        <v>71360</v>
      </c>
    </row>
    <row r="2733" spans="1:8">
      <c r="A2733" s="294" t="s">
        <v>686</v>
      </c>
      <c r="B2733" s="410" t="s">
        <v>687</v>
      </c>
      <c r="C2733" s="247"/>
      <c r="D2733" s="247"/>
      <c r="E2733" s="372"/>
      <c r="F2733" s="360"/>
      <c r="G2733" s="248"/>
    </row>
    <row r="2734" spans="1:8">
      <c r="A2734" s="294"/>
      <c r="B2734" s="410" t="s">
        <v>790</v>
      </c>
      <c r="C2734" s="247"/>
      <c r="D2734" s="247" t="s">
        <v>690</v>
      </c>
      <c r="E2734" s="372">
        <v>0.5</v>
      </c>
      <c r="F2734" s="360">
        <f>'UPAD-BAHAN-ALAT'!$I$77</f>
        <v>1625</v>
      </c>
      <c r="G2734" s="248">
        <f>F2734*E2734</f>
        <v>812.5</v>
      </c>
    </row>
    <row r="2735" spans="1:8">
      <c r="A2735" s="294"/>
      <c r="B2735" s="410" t="s">
        <v>739</v>
      </c>
      <c r="C2735" s="247"/>
      <c r="D2735" s="247" t="s">
        <v>2646</v>
      </c>
      <c r="E2735" s="372">
        <v>1.2999999999999999E-2</v>
      </c>
      <c r="F2735" s="360">
        <f>'UPAD-BAHAN-ALAT'!$I$71</f>
        <v>176000</v>
      </c>
      <c r="G2735" s="248">
        <f>F2735*E2735</f>
        <v>2288</v>
      </c>
    </row>
    <row r="2736" spans="1:8">
      <c r="A2736" s="294"/>
      <c r="B2736" s="295"/>
      <c r="C2736" s="296"/>
      <c r="D2736" s="296"/>
      <c r="E2736" s="1146" t="s">
        <v>702</v>
      </c>
      <c r="F2736" s="1146"/>
      <c r="G2736" s="248">
        <f>SUM(G2734:G2735)</f>
        <v>3100.5</v>
      </c>
    </row>
    <row r="2737" spans="1:8" s="265" customFormat="1">
      <c r="A2737" s="294" t="s">
        <v>703</v>
      </c>
      <c r="B2737" s="1147" t="s">
        <v>3910</v>
      </c>
      <c r="C2737" s="1147"/>
      <c r="D2737" s="1147"/>
      <c r="E2737" s="1147"/>
      <c r="F2737" s="1147"/>
      <c r="G2737" s="255">
        <f>G2732+G2736</f>
        <v>74460.5</v>
      </c>
    </row>
    <row r="2738" spans="1:8" s="265" customFormat="1">
      <c r="A2738" s="294" t="s">
        <v>706</v>
      </c>
      <c r="B2738" s="1148" t="s">
        <v>876</v>
      </c>
      <c r="C2738" s="1148"/>
      <c r="D2738" s="1148"/>
      <c r="E2738" s="1147" t="s">
        <v>4030</v>
      </c>
      <c r="F2738" s="1147"/>
      <c r="G2738" s="255">
        <f>G2737*0.15</f>
        <v>11169.074999999999</v>
      </c>
    </row>
    <row r="2739" spans="1:8" s="265" customFormat="1">
      <c r="A2739" s="294" t="s">
        <v>708</v>
      </c>
      <c r="B2739" s="1149" t="s">
        <v>3911</v>
      </c>
      <c r="C2739" s="1149"/>
      <c r="D2739" s="1149"/>
      <c r="E2739" s="1149"/>
      <c r="F2739" s="1149"/>
      <c r="G2739" s="255">
        <f>ROUND(SUM(G2737:G2738),2)</f>
        <v>85629.58</v>
      </c>
      <c r="H2739" s="255">
        <f>SUM(G2737:G2738)</f>
        <v>85629.574999999997</v>
      </c>
    </row>
    <row r="2741" spans="1:8">
      <c r="A2741" s="286" t="s">
        <v>4179</v>
      </c>
      <c r="B2741" s="265" t="s">
        <v>2823</v>
      </c>
    </row>
    <row r="2742" spans="1:8" s="292" customFormat="1" ht="24.95" customHeight="1">
      <c r="A2742" s="298" t="s">
        <v>1003</v>
      </c>
      <c r="B2742" s="298" t="s">
        <v>1004</v>
      </c>
      <c r="C2742" s="298" t="s">
        <v>1005</v>
      </c>
      <c r="D2742" s="298" t="s">
        <v>1006</v>
      </c>
      <c r="E2742" s="377" t="s">
        <v>1007</v>
      </c>
      <c r="F2742" s="363" t="s">
        <v>2637</v>
      </c>
      <c r="G2742" s="291" t="s">
        <v>2638</v>
      </c>
    </row>
    <row r="2743" spans="1:8">
      <c r="A2743" s="294" t="s">
        <v>671</v>
      </c>
      <c r="B2743" s="410" t="s">
        <v>672</v>
      </c>
      <c r="C2743" s="247"/>
      <c r="D2743" s="247"/>
      <c r="E2743" s="372"/>
      <c r="F2743" s="360"/>
      <c r="G2743" s="248"/>
    </row>
    <row r="2744" spans="1:8">
      <c r="A2744" s="294"/>
      <c r="B2744" s="410" t="s">
        <v>673</v>
      </c>
      <c r="C2744" s="247" t="s">
        <v>674</v>
      </c>
      <c r="D2744" s="247" t="s">
        <v>675</v>
      </c>
      <c r="E2744" s="372">
        <v>0.3</v>
      </c>
      <c r="F2744" s="360">
        <f>'UPAD-BAHAN-ALAT'!$I$12</f>
        <v>110000</v>
      </c>
      <c r="G2744" s="248">
        <f>F2744*E2744</f>
        <v>33000</v>
      </c>
    </row>
    <row r="2745" spans="1:8">
      <c r="A2745" s="294"/>
      <c r="B2745" s="410" t="s">
        <v>816</v>
      </c>
      <c r="C2745" s="247" t="s">
        <v>681</v>
      </c>
      <c r="D2745" s="247" t="s">
        <v>675</v>
      </c>
      <c r="E2745" s="372">
        <v>0.1</v>
      </c>
      <c r="F2745" s="360">
        <f>'UPAD-BAHAN-ALAT'!$I$13</f>
        <v>140000</v>
      </c>
      <c r="G2745" s="248">
        <f>F2745*E2745</f>
        <v>14000</v>
      </c>
    </row>
    <row r="2746" spans="1:8">
      <c r="A2746" s="294"/>
      <c r="B2746" s="410" t="s">
        <v>680</v>
      </c>
      <c r="C2746" s="247" t="s">
        <v>681</v>
      </c>
      <c r="D2746" s="247" t="s">
        <v>675</v>
      </c>
      <c r="E2746" s="372">
        <v>0.01</v>
      </c>
      <c r="F2746" s="360">
        <f>'UPAD-BAHAN-ALAT'!$I$15</f>
        <v>150000</v>
      </c>
      <c r="G2746" s="248">
        <f>F2746*E2746</f>
        <v>1500</v>
      </c>
    </row>
    <row r="2747" spans="1:8">
      <c r="A2747" s="294"/>
      <c r="B2747" s="410" t="s">
        <v>683</v>
      </c>
      <c r="C2747" s="247" t="s">
        <v>684</v>
      </c>
      <c r="D2747" s="247" t="s">
        <v>675</v>
      </c>
      <c r="E2747" s="372">
        <v>1.4999999999999999E-2</v>
      </c>
      <c r="F2747" s="360">
        <f>'UPAD-BAHAN-ALAT'!$I$14</f>
        <v>140000</v>
      </c>
      <c r="G2747" s="248">
        <f>F2747*E2747</f>
        <v>2100</v>
      </c>
    </row>
    <row r="2748" spans="1:8">
      <c r="A2748" s="294"/>
      <c r="B2748" s="410"/>
      <c r="C2748" s="247"/>
      <c r="D2748" s="247"/>
      <c r="E2748" s="1146" t="s">
        <v>685</v>
      </c>
      <c r="F2748" s="1146"/>
      <c r="G2748" s="248">
        <f>SUM(G2744:G2747)</f>
        <v>50600</v>
      </c>
    </row>
    <row r="2749" spans="1:8">
      <c r="A2749" s="294" t="s">
        <v>686</v>
      </c>
      <c r="B2749" s="410" t="s">
        <v>687</v>
      </c>
      <c r="C2749" s="247"/>
      <c r="D2749" s="247"/>
      <c r="E2749" s="372"/>
      <c r="F2749" s="360"/>
      <c r="G2749" s="248"/>
    </row>
    <row r="2750" spans="1:8">
      <c r="A2750" s="294"/>
      <c r="B2750" s="410" t="s">
        <v>790</v>
      </c>
      <c r="C2750" s="247"/>
      <c r="D2750" s="247" t="s">
        <v>690</v>
      </c>
      <c r="E2750" s="372">
        <v>4.32</v>
      </c>
      <c r="F2750" s="360">
        <f>'UPAD-BAHAN-ALAT'!$I$77</f>
        <v>1625</v>
      </c>
      <c r="G2750" s="248">
        <f>F2750*E2750</f>
        <v>7020.0000000000009</v>
      </c>
    </row>
    <row r="2751" spans="1:8">
      <c r="A2751" s="294"/>
      <c r="B2751" s="410" t="s">
        <v>739</v>
      </c>
      <c r="C2751" s="247"/>
      <c r="D2751" s="247" t="s">
        <v>690</v>
      </c>
      <c r="E2751" s="372">
        <v>6.0000000000000001E-3</v>
      </c>
      <c r="F2751" s="360">
        <f>'UPAD-BAHAN-ALAT'!$I$71</f>
        <v>176000</v>
      </c>
      <c r="G2751" s="248">
        <f>F2751*E2751</f>
        <v>1056</v>
      </c>
    </row>
    <row r="2752" spans="1:8">
      <c r="A2752" s="294"/>
      <c r="B2752" s="295"/>
      <c r="C2752" s="296"/>
      <c r="D2752" s="296"/>
      <c r="E2752" s="1146" t="s">
        <v>702</v>
      </c>
      <c r="F2752" s="1146"/>
      <c r="G2752" s="248">
        <f>SUM(G2750:G2751)</f>
        <v>8076.0000000000009</v>
      </c>
    </row>
    <row r="2753" spans="1:8" s="265" customFormat="1">
      <c r="A2753" s="294" t="s">
        <v>703</v>
      </c>
      <c r="B2753" s="1147" t="s">
        <v>3910</v>
      </c>
      <c r="C2753" s="1147"/>
      <c r="D2753" s="1147"/>
      <c r="E2753" s="1147"/>
      <c r="F2753" s="1147"/>
      <c r="G2753" s="255">
        <f>G2748+G2752</f>
        <v>58676</v>
      </c>
    </row>
    <row r="2754" spans="1:8" s="265" customFormat="1">
      <c r="A2754" s="294" t="s">
        <v>706</v>
      </c>
      <c r="B2754" s="1148" t="s">
        <v>876</v>
      </c>
      <c r="C2754" s="1148"/>
      <c r="D2754" s="1148"/>
      <c r="E2754" s="1147" t="s">
        <v>4030</v>
      </c>
      <c r="F2754" s="1147"/>
      <c r="G2754" s="255">
        <f>G2753*0.15</f>
        <v>8801.4</v>
      </c>
    </row>
    <row r="2755" spans="1:8" s="265" customFormat="1">
      <c r="A2755" s="294" t="s">
        <v>708</v>
      </c>
      <c r="B2755" s="1149" t="s">
        <v>3911</v>
      </c>
      <c r="C2755" s="1149"/>
      <c r="D2755" s="1149"/>
      <c r="E2755" s="1149"/>
      <c r="F2755" s="1149"/>
      <c r="G2755" s="255">
        <f>ROUND(SUM(G2753:G2754),2)</f>
        <v>67477.399999999994</v>
      </c>
      <c r="H2755" s="255">
        <f>SUM(G2753:G2754)</f>
        <v>67477.399999999994</v>
      </c>
    </row>
    <row r="2756" spans="1:8">
      <c r="A2756" s="268"/>
      <c r="B2756" s="269"/>
      <c r="C2756" s="268"/>
      <c r="D2756" s="268"/>
      <c r="E2756" s="380"/>
      <c r="F2756" s="365"/>
      <c r="G2756" s="270"/>
    </row>
    <row r="2757" spans="1:8">
      <c r="A2757" s="285" t="s">
        <v>4180</v>
      </c>
      <c r="B2757" s="250" t="s">
        <v>2822</v>
      </c>
      <c r="C2757" s="252"/>
      <c r="D2757" s="252"/>
      <c r="E2757" s="374"/>
      <c r="F2757" s="361"/>
      <c r="G2757" s="253"/>
    </row>
    <row r="2758" spans="1:8" s="292" customFormat="1" ht="24.95" customHeight="1">
      <c r="A2758" s="298" t="s">
        <v>1003</v>
      </c>
      <c r="B2758" s="298" t="s">
        <v>1004</v>
      </c>
      <c r="C2758" s="298" t="s">
        <v>1005</v>
      </c>
      <c r="D2758" s="298" t="s">
        <v>1006</v>
      </c>
      <c r="E2758" s="377" t="s">
        <v>1007</v>
      </c>
      <c r="F2758" s="363" t="s">
        <v>2637</v>
      </c>
      <c r="G2758" s="291" t="s">
        <v>2638</v>
      </c>
    </row>
    <row r="2759" spans="1:8">
      <c r="A2759" s="294" t="s">
        <v>671</v>
      </c>
      <c r="B2759" s="410" t="s">
        <v>672</v>
      </c>
      <c r="C2759" s="247"/>
      <c r="D2759" s="247"/>
      <c r="E2759" s="372"/>
      <c r="F2759" s="360"/>
      <c r="G2759" s="248"/>
    </row>
    <row r="2760" spans="1:8">
      <c r="A2760" s="294"/>
      <c r="B2760" s="410" t="s">
        <v>673</v>
      </c>
      <c r="C2760" s="247" t="s">
        <v>674</v>
      </c>
      <c r="D2760" s="247" t="s">
        <v>675</v>
      </c>
      <c r="E2760" s="372">
        <v>0.15</v>
      </c>
      <c r="F2760" s="360">
        <f>'UPAD-BAHAN-ALAT'!$I$12</f>
        <v>110000</v>
      </c>
      <c r="G2760" s="248">
        <f>F2760*E2760</f>
        <v>16500</v>
      </c>
    </row>
    <row r="2761" spans="1:8">
      <c r="A2761" s="294"/>
      <c r="B2761" s="410" t="s">
        <v>816</v>
      </c>
      <c r="C2761" s="247" t="s">
        <v>681</v>
      </c>
      <c r="D2761" s="247" t="s">
        <v>675</v>
      </c>
      <c r="E2761" s="372">
        <v>7.4999999999999997E-2</v>
      </c>
      <c r="F2761" s="360">
        <f>'UPAD-BAHAN-ALAT'!$I$13</f>
        <v>140000</v>
      </c>
      <c r="G2761" s="248">
        <f>F2761*E2761</f>
        <v>10500</v>
      </c>
    </row>
    <row r="2762" spans="1:8">
      <c r="A2762" s="294"/>
      <c r="B2762" s="410" t="s">
        <v>680</v>
      </c>
      <c r="C2762" s="247" t="s">
        <v>681</v>
      </c>
      <c r="D2762" s="247" t="s">
        <v>675</v>
      </c>
      <c r="E2762" s="372">
        <v>8.0000000000000002E-3</v>
      </c>
      <c r="F2762" s="360">
        <f>'UPAD-BAHAN-ALAT'!$I$15</f>
        <v>150000</v>
      </c>
      <c r="G2762" s="248">
        <f>F2762*E2762</f>
        <v>1200</v>
      </c>
    </row>
    <row r="2763" spans="1:8">
      <c r="A2763" s="294"/>
      <c r="B2763" s="410" t="s">
        <v>683</v>
      </c>
      <c r="C2763" s="247" t="s">
        <v>684</v>
      </c>
      <c r="D2763" s="247" t="s">
        <v>675</v>
      </c>
      <c r="E2763" s="372">
        <v>8.0000000000000002E-3</v>
      </c>
      <c r="F2763" s="360">
        <f>'UPAD-BAHAN-ALAT'!$I$14</f>
        <v>140000</v>
      </c>
      <c r="G2763" s="248">
        <f>F2763*E2763</f>
        <v>1120</v>
      </c>
    </row>
    <row r="2764" spans="1:8">
      <c r="A2764" s="294"/>
      <c r="B2764" s="410"/>
      <c r="C2764" s="247"/>
      <c r="D2764" s="247"/>
      <c r="E2764" s="1146" t="s">
        <v>685</v>
      </c>
      <c r="F2764" s="1146"/>
      <c r="G2764" s="248">
        <f>SUM(G2760:G2763)</f>
        <v>29320</v>
      </c>
    </row>
    <row r="2765" spans="1:8">
      <c r="A2765" s="294" t="s">
        <v>686</v>
      </c>
      <c r="B2765" s="410" t="s">
        <v>687</v>
      </c>
      <c r="C2765" s="247"/>
      <c r="D2765" s="247"/>
      <c r="E2765" s="372"/>
      <c r="F2765" s="360"/>
      <c r="G2765" s="248"/>
    </row>
    <row r="2766" spans="1:8">
      <c r="A2766" s="294"/>
      <c r="B2766" s="410" t="s">
        <v>790</v>
      </c>
      <c r="C2766" s="247"/>
      <c r="D2766" s="247" t="s">
        <v>690</v>
      </c>
      <c r="E2766" s="372">
        <v>3.1080000000000001</v>
      </c>
      <c r="F2766" s="360">
        <f>'UPAD-BAHAN-ALAT'!$I$77</f>
        <v>1625</v>
      </c>
      <c r="G2766" s="248">
        <f>F2766*E2766</f>
        <v>5050.5</v>
      </c>
    </row>
    <row r="2767" spans="1:8">
      <c r="A2767" s="294"/>
      <c r="B2767" s="295"/>
      <c r="C2767" s="296"/>
      <c r="D2767" s="296"/>
      <c r="E2767" s="1146" t="s">
        <v>702</v>
      </c>
      <c r="F2767" s="1146"/>
      <c r="G2767" s="248">
        <f>SUM(G2766)</f>
        <v>5050.5</v>
      </c>
    </row>
    <row r="2768" spans="1:8" s="265" customFormat="1">
      <c r="A2768" s="294" t="s">
        <v>703</v>
      </c>
      <c r="B2768" s="1147" t="s">
        <v>3910</v>
      </c>
      <c r="C2768" s="1147"/>
      <c r="D2768" s="1147"/>
      <c r="E2768" s="1147"/>
      <c r="F2768" s="1147"/>
      <c r="G2768" s="255">
        <f>G2764+G2767</f>
        <v>34370.5</v>
      </c>
    </row>
    <row r="2769" spans="1:8" s="265" customFormat="1">
      <c r="A2769" s="294" t="s">
        <v>706</v>
      </c>
      <c r="B2769" s="1148" t="s">
        <v>876</v>
      </c>
      <c r="C2769" s="1148"/>
      <c r="D2769" s="1148"/>
      <c r="E2769" s="1147" t="s">
        <v>4030</v>
      </c>
      <c r="F2769" s="1147"/>
      <c r="G2769" s="255">
        <f>G2768*0.15</f>
        <v>5155.5749999999998</v>
      </c>
    </row>
    <row r="2770" spans="1:8" s="265" customFormat="1">
      <c r="A2770" s="294" t="s">
        <v>708</v>
      </c>
      <c r="B2770" s="1149" t="s">
        <v>3911</v>
      </c>
      <c r="C2770" s="1149"/>
      <c r="D2770" s="1149"/>
      <c r="E2770" s="1149"/>
      <c r="F2770" s="1149"/>
      <c r="G2770" s="255">
        <f>ROUND(SUM(G2768:G2769),2)</f>
        <v>39526.080000000002</v>
      </c>
      <c r="H2770" s="255">
        <f>SUM(G2768:G2769)</f>
        <v>39526.074999999997</v>
      </c>
    </row>
    <row r="2772" spans="1:8">
      <c r="A2772" s="286" t="s">
        <v>4181</v>
      </c>
      <c r="B2772" s="265" t="s">
        <v>2821</v>
      </c>
    </row>
    <row r="2773" spans="1:8" s="292" customFormat="1" ht="24.95" customHeight="1">
      <c r="A2773" s="298" t="s">
        <v>1003</v>
      </c>
      <c r="B2773" s="298" t="s">
        <v>1004</v>
      </c>
      <c r="C2773" s="298" t="s">
        <v>1005</v>
      </c>
      <c r="D2773" s="298" t="s">
        <v>1006</v>
      </c>
      <c r="E2773" s="377" t="s">
        <v>1007</v>
      </c>
      <c r="F2773" s="363" t="s">
        <v>2637</v>
      </c>
      <c r="G2773" s="291" t="s">
        <v>2638</v>
      </c>
    </row>
    <row r="2774" spans="1:8">
      <c r="A2774" s="294" t="s">
        <v>671</v>
      </c>
      <c r="B2774" s="410" t="s">
        <v>672</v>
      </c>
      <c r="C2774" s="247"/>
      <c r="D2774" s="247"/>
      <c r="E2774" s="372"/>
      <c r="F2774" s="360"/>
      <c r="G2774" s="248"/>
    </row>
    <row r="2775" spans="1:8">
      <c r="A2775" s="294"/>
      <c r="B2775" s="410" t="s">
        <v>673</v>
      </c>
      <c r="C2775" s="247" t="s">
        <v>674</v>
      </c>
      <c r="D2775" s="247" t="s">
        <v>675</v>
      </c>
      <c r="E2775" s="372">
        <v>7.0000000000000007E-2</v>
      </c>
      <c r="F2775" s="360">
        <f>'UPAD-BAHAN-ALAT'!$I$12</f>
        <v>110000</v>
      </c>
      <c r="G2775" s="248">
        <f>F2775*E2775</f>
        <v>7700.0000000000009</v>
      </c>
    </row>
    <row r="2776" spans="1:8">
      <c r="A2776" s="294"/>
      <c r="B2776" s="410" t="s">
        <v>816</v>
      </c>
      <c r="C2776" s="247" t="s">
        <v>681</v>
      </c>
      <c r="D2776" s="247" t="s">
        <v>675</v>
      </c>
      <c r="E2776" s="372">
        <v>3.5000000000000003E-2</v>
      </c>
      <c r="F2776" s="360">
        <f>'UPAD-BAHAN-ALAT'!$I$13</f>
        <v>140000</v>
      </c>
      <c r="G2776" s="248">
        <f>F2776*E2776</f>
        <v>4900.0000000000009</v>
      </c>
    </row>
    <row r="2777" spans="1:8">
      <c r="A2777" s="294"/>
      <c r="B2777" s="410" t="s">
        <v>680</v>
      </c>
      <c r="C2777" s="247" t="s">
        <v>681</v>
      </c>
      <c r="D2777" s="247" t="s">
        <v>675</v>
      </c>
      <c r="E2777" s="372">
        <v>4.0000000000000001E-3</v>
      </c>
      <c r="F2777" s="360">
        <f>'UPAD-BAHAN-ALAT'!$I$15</f>
        <v>150000</v>
      </c>
      <c r="G2777" s="248">
        <f>F2777*E2777</f>
        <v>600</v>
      </c>
    </row>
    <row r="2778" spans="1:8">
      <c r="A2778" s="294"/>
      <c r="B2778" s="410" t="s">
        <v>683</v>
      </c>
      <c r="C2778" s="247" t="s">
        <v>684</v>
      </c>
      <c r="D2778" s="247" t="s">
        <v>675</v>
      </c>
      <c r="E2778" s="372">
        <v>4.0000000000000001E-3</v>
      </c>
      <c r="F2778" s="360">
        <f>'UPAD-BAHAN-ALAT'!$I$14</f>
        <v>140000</v>
      </c>
      <c r="G2778" s="248">
        <f>F2778*E2778</f>
        <v>560</v>
      </c>
    </row>
    <row r="2779" spans="1:8">
      <c r="A2779" s="294"/>
      <c r="B2779" s="410"/>
      <c r="C2779" s="247"/>
      <c r="D2779" s="247"/>
      <c r="E2779" s="1146" t="s">
        <v>685</v>
      </c>
      <c r="F2779" s="1146"/>
      <c r="G2779" s="248">
        <f>SUM(G2775:G2778)</f>
        <v>13760.000000000002</v>
      </c>
    </row>
    <row r="2780" spans="1:8">
      <c r="A2780" s="294" t="s">
        <v>686</v>
      </c>
      <c r="B2780" s="410" t="s">
        <v>687</v>
      </c>
      <c r="C2780" s="247"/>
      <c r="D2780" s="247"/>
      <c r="E2780" s="372"/>
      <c r="F2780" s="360"/>
      <c r="G2780" s="248"/>
    </row>
    <row r="2781" spans="1:8">
      <c r="A2781" s="294"/>
      <c r="B2781" s="410" t="s">
        <v>790</v>
      </c>
      <c r="C2781" s="247"/>
      <c r="D2781" s="247" t="s">
        <v>690</v>
      </c>
      <c r="E2781" s="372">
        <v>1.6</v>
      </c>
      <c r="F2781" s="360">
        <f>'UPAD-BAHAN-ALAT'!$I$77</f>
        <v>1625</v>
      </c>
      <c r="G2781" s="248">
        <f>F2781*E2781</f>
        <v>2600</v>
      </c>
    </row>
    <row r="2782" spans="1:8">
      <c r="A2782" s="294"/>
      <c r="B2782" s="295"/>
      <c r="C2782" s="296"/>
      <c r="D2782" s="296"/>
      <c r="E2782" s="1146" t="s">
        <v>702</v>
      </c>
      <c r="F2782" s="1146"/>
      <c r="G2782" s="248">
        <f>SUM(G2781)</f>
        <v>2600</v>
      </c>
    </row>
    <row r="2783" spans="1:8" s="265" customFormat="1">
      <c r="A2783" s="294" t="s">
        <v>703</v>
      </c>
      <c r="B2783" s="1147" t="s">
        <v>3910</v>
      </c>
      <c r="C2783" s="1147"/>
      <c r="D2783" s="1147"/>
      <c r="E2783" s="1147"/>
      <c r="F2783" s="1147"/>
      <c r="G2783" s="255">
        <f>G2779+G2782</f>
        <v>16360.000000000002</v>
      </c>
    </row>
    <row r="2784" spans="1:8" s="265" customFormat="1">
      <c r="A2784" s="294" t="s">
        <v>706</v>
      </c>
      <c r="B2784" s="1148" t="s">
        <v>876</v>
      </c>
      <c r="C2784" s="1148"/>
      <c r="D2784" s="1148"/>
      <c r="E2784" s="1147" t="s">
        <v>4030</v>
      </c>
      <c r="F2784" s="1147"/>
      <c r="G2784" s="255">
        <f>G2783*0.15</f>
        <v>2454</v>
      </c>
    </row>
    <row r="2785" spans="1:8" s="265" customFormat="1">
      <c r="A2785" s="294" t="s">
        <v>708</v>
      </c>
      <c r="B2785" s="1149" t="s">
        <v>3911</v>
      </c>
      <c r="C2785" s="1149"/>
      <c r="D2785" s="1149"/>
      <c r="E2785" s="1149"/>
      <c r="F2785" s="1149"/>
      <c r="G2785" s="255">
        <f>ROUND(SUM(G2783:G2784),2)</f>
        <v>18814</v>
      </c>
      <c r="H2785" s="255">
        <f>SUM(G2783:G2784)</f>
        <v>18814</v>
      </c>
    </row>
    <row r="2786" spans="1:8">
      <c r="A2786" s="268"/>
      <c r="B2786" s="269"/>
      <c r="C2786" s="268"/>
      <c r="D2786" s="268"/>
      <c r="E2786" s="380"/>
      <c r="F2786" s="365"/>
      <c r="G2786" s="270"/>
    </row>
    <row r="2787" spans="1:8">
      <c r="A2787" s="285" t="s">
        <v>4182</v>
      </c>
      <c r="B2787" s="250" t="s">
        <v>4712</v>
      </c>
      <c r="C2787" s="252"/>
      <c r="D2787" s="252"/>
      <c r="E2787" s="374"/>
      <c r="F2787" s="361"/>
      <c r="G2787" s="253"/>
    </row>
    <row r="2788" spans="1:8" s="292" customFormat="1" ht="24.95" customHeight="1">
      <c r="A2788" s="298" t="s">
        <v>1003</v>
      </c>
      <c r="B2788" s="298" t="s">
        <v>1004</v>
      </c>
      <c r="C2788" s="298" t="s">
        <v>1005</v>
      </c>
      <c r="D2788" s="298" t="s">
        <v>1006</v>
      </c>
      <c r="E2788" s="377" t="s">
        <v>1007</v>
      </c>
      <c r="F2788" s="363" t="s">
        <v>2637</v>
      </c>
      <c r="G2788" s="291" t="s">
        <v>2638</v>
      </c>
    </row>
    <row r="2789" spans="1:8">
      <c r="A2789" s="294" t="s">
        <v>671</v>
      </c>
      <c r="B2789" s="410" t="s">
        <v>672</v>
      </c>
      <c r="C2789" s="247"/>
      <c r="D2789" s="247"/>
      <c r="E2789" s="372"/>
      <c r="F2789" s="360"/>
      <c r="G2789" s="248"/>
    </row>
    <row r="2790" spans="1:8">
      <c r="A2790" s="294"/>
      <c r="B2790" s="410" t="s">
        <v>673</v>
      </c>
      <c r="C2790" s="247" t="s">
        <v>674</v>
      </c>
      <c r="D2790" s="247" t="s">
        <v>675</v>
      </c>
      <c r="E2790" s="372">
        <v>0.3</v>
      </c>
      <c r="F2790" s="360">
        <f>'UPAD-BAHAN-ALAT'!$I$12</f>
        <v>110000</v>
      </c>
      <c r="G2790" s="248">
        <f>F2790*E2790</f>
        <v>33000</v>
      </c>
    </row>
    <row r="2791" spans="1:8">
      <c r="A2791" s="294"/>
      <c r="B2791" s="410" t="s">
        <v>816</v>
      </c>
      <c r="C2791" s="247" t="s">
        <v>681</v>
      </c>
      <c r="D2791" s="247" t="s">
        <v>675</v>
      </c>
      <c r="E2791" s="372">
        <v>0.15</v>
      </c>
      <c r="F2791" s="360">
        <f>'UPAD-BAHAN-ALAT'!$I$13</f>
        <v>140000</v>
      </c>
      <c r="G2791" s="248">
        <f>F2791*E2791</f>
        <v>21000</v>
      </c>
    </row>
    <row r="2792" spans="1:8">
      <c r="A2792" s="294"/>
      <c r="B2792" s="410" t="s">
        <v>680</v>
      </c>
      <c r="C2792" s="247" t="s">
        <v>681</v>
      </c>
      <c r="D2792" s="247" t="s">
        <v>675</v>
      </c>
      <c r="E2792" s="372">
        <v>1.4999999999999999E-2</v>
      </c>
      <c r="F2792" s="360">
        <f>'UPAD-BAHAN-ALAT'!$I$15</f>
        <v>150000</v>
      </c>
      <c r="G2792" s="248">
        <f>F2792*E2792</f>
        <v>2250</v>
      </c>
    </row>
    <row r="2793" spans="1:8">
      <c r="A2793" s="294"/>
      <c r="B2793" s="410" t="s">
        <v>683</v>
      </c>
      <c r="C2793" s="247" t="s">
        <v>684</v>
      </c>
      <c r="D2793" s="247" t="s">
        <v>675</v>
      </c>
      <c r="E2793" s="372">
        <v>1.4999999999999999E-2</v>
      </c>
      <c r="F2793" s="360">
        <f>'UPAD-BAHAN-ALAT'!$I$14</f>
        <v>140000</v>
      </c>
      <c r="G2793" s="248">
        <f>F2793*E2793</f>
        <v>2100</v>
      </c>
    </row>
    <row r="2794" spans="1:8">
      <c r="A2794" s="294"/>
      <c r="B2794" s="410"/>
      <c r="C2794" s="247"/>
      <c r="D2794" s="247"/>
      <c r="E2794" s="1146" t="s">
        <v>685</v>
      </c>
      <c r="F2794" s="1146"/>
      <c r="G2794" s="248">
        <f>SUM(G2790:G2793)</f>
        <v>58350</v>
      </c>
    </row>
    <row r="2795" spans="1:8">
      <c r="A2795" s="294" t="s">
        <v>686</v>
      </c>
      <c r="B2795" s="410" t="s">
        <v>687</v>
      </c>
      <c r="C2795" s="247"/>
      <c r="D2795" s="247"/>
      <c r="E2795" s="372"/>
      <c r="F2795" s="360"/>
      <c r="G2795" s="248"/>
    </row>
    <row r="2796" spans="1:8">
      <c r="A2796" s="294"/>
      <c r="B2796" s="410" t="s">
        <v>790</v>
      </c>
      <c r="C2796" s="247"/>
      <c r="D2796" s="247" t="s">
        <v>690</v>
      </c>
      <c r="E2796" s="372">
        <v>6.34</v>
      </c>
      <c r="F2796" s="360">
        <f>'UPAD-BAHAN-ALAT'!$I$77</f>
        <v>1625</v>
      </c>
      <c r="G2796" s="248">
        <f>F2796*E2796</f>
        <v>10302.5</v>
      </c>
    </row>
    <row r="2797" spans="1:8">
      <c r="A2797" s="294"/>
      <c r="B2797" s="410" t="s">
        <v>739</v>
      </c>
      <c r="C2797" s="247"/>
      <c r="D2797" s="247" t="s">
        <v>2646</v>
      </c>
      <c r="E2797" s="372">
        <v>1.2E-2</v>
      </c>
      <c r="F2797" s="360">
        <f>'UPAD-BAHAN-ALAT'!$I$71</f>
        <v>176000</v>
      </c>
      <c r="G2797" s="248">
        <f>F2797*E2797</f>
        <v>2112</v>
      </c>
    </row>
    <row r="2798" spans="1:8">
      <c r="A2798" s="294"/>
      <c r="B2798" s="295"/>
      <c r="C2798" s="296"/>
      <c r="D2798" s="296"/>
      <c r="E2798" s="1146" t="s">
        <v>702</v>
      </c>
      <c r="F2798" s="1146"/>
      <c r="G2798" s="248">
        <f>SUM(G2796:G2797)</f>
        <v>12414.5</v>
      </c>
    </row>
    <row r="2799" spans="1:8" s="265" customFormat="1">
      <c r="A2799" s="294" t="s">
        <v>703</v>
      </c>
      <c r="B2799" s="1147" t="s">
        <v>3910</v>
      </c>
      <c r="C2799" s="1147"/>
      <c r="D2799" s="1147"/>
      <c r="E2799" s="1147"/>
      <c r="F2799" s="1147"/>
      <c r="G2799" s="255">
        <f>G2794+G2798</f>
        <v>70764.5</v>
      </c>
    </row>
    <row r="2800" spans="1:8" s="265" customFormat="1">
      <c r="A2800" s="294" t="s">
        <v>706</v>
      </c>
      <c r="B2800" s="1148" t="s">
        <v>876</v>
      </c>
      <c r="C2800" s="1148"/>
      <c r="D2800" s="1148"/>
      <c r="E2800" s="1147" t="s">
        <v>4030</v>
      </c>
      <c r="F2800" s="1147"/>
      <c r="G2800" s="255">
        <f>G2799*0.15</f>
        <v>10614.674999999999</v>
      </c>
    </row>
    <row r="2801" spans="1:8" s="265" customFormat="1">
      <c r="A2801" s="294" t="s">
        <v>708</v>
      </c>
      <c r="B2801" s="1149" t="s">
        <v>3911</v>
      </c>
      <c r="C2801" s="1149"/>
      <c r="D2801" s="1149"/>
      <c r="E2801" s="1149"/>
      <c r="F2801" s="1149"/>
      <c r="G2801" s="255">
        <f>ROUND(SUM(G2799:G2800),2)</f>
        <v>81379.179999999993</v>
      </c>
      <c r="H2801" s="255">
        <f>SUM(G2799:G2800)</f>
        <v>81379.175000000003</v>
      </c>
    </row>
    <row r="2803" spans="1:8">
      <c r="A2803" s="286" t="s">
        <v>4183</v>
      </c>
      <c r="B2803" s="265" t="s">
        <v>2820</v>
      </c>
    </row>
    <row r="2804" spans="1:8" s="292" customFormat="1" ht="24.95" customHeight="1">
      <c r="A2804" s="298" t="s">
        <v>1003</v>
      </c>
      <c r="B2804" s="298" t="s">
        <v>1004</v>
      </c>
      <c r="C2804" s="698" t="s">
        <v>1005</v>
      </c>
      <c r="D2804" s="698" t="s">
        <v>1006</v>
      </c>
      <c r="E2804" s="699" t="s">
        <v>1007</v>
      </c>
      <c r="F2804" s="389" t="s">
        <v>2637</v>
      </c>
      <c r="G2804" s="291" t="s">
        <v>2638</v>
      </c>
    </row>
    <row r="2805" spans="1:8">
      <c r="A2805" s="294" t="s">
        <v>671</v>
      </c>
      <c r="B2805" s="410" t="s">
        <v>672</v>
      </c>
      <c r="C2805" s="283"/>
      <c r="D2805" s="283"/>
      <c r="E2805" s="428"/>
      <c r="F2805" s="624"/>
      <c r="G2805" s="248"/>
    </row>
    <row r="2806" spans="1:8">
      <c r="A2806" s="294"/>
      <c r="B2806" s="410" t="s">
        <v>673</v>
      </c>
      <c r="C2806" s="283" t="s">
        <v>674</v>
      </c>
      <c r="D2806" s="283" t="s">
        <v>675</v>
      </c>
      <c r="E2806" s="428">
        <v>0.2</v>
      </c>
      <c r="F2806" s="360">
        <f>'UPAD-BAHAN-ALAT'!$I$12</f>
        <v>110000</v>
      </c>
      <c r="G2806" s="248">
        <f>F2806*E2806</f>
        <v>22000</v>
      </c>
    </row>
    <row r="2807" spans="1:8">
      <c r="A2807" s="294"/>
      <c r="B2807" s="410" t="s">
        <v>816</v>
      </c>
      <c r="C2807" s="283" t="s">
        <v>681</v>
      </c>
      <c r="D2807" s="283" t="s">
        <v>675</v>
      </c>
      <c r="E2807" s="428">
        <v>0.1</v>
      </c>
      <c r="F2807" s="360">
        <f>'UPAD-BAHAN-ALAT'!$I$13</f>
        <v>140000</v>
      </c>
      <c r="G2807" s="248">
        <f>F2807*E2807</f>
        <v>14000</v>
      </c>
    </row>
    <row r="2808" spans="1:8">
      <c r="A2808" s="294"/>
      <c r="B2808" s="410" t="s">
        <v>680</v>
      </c>
      <c r="C2808" s="283" t="s">
        <v>681</v>
      </c>
      <c r="D2808" s="283" t="s">
        <v>675</v>
      </c>
      <c r="E2808" s="428">
        <v>0.01</v>
      </c>
      <c r="F2808" s="360">
        <f>'UPAD-BAHAN-ALAT'!$I$15</f>
        <v>150000</v>
      </c>
      <c r="G2808" s="248">
        <f>F2808*E2808</f>
        <v>1500</v>
      </c>
    </row>
    <row r="2809" spans="1:8">
      <c r="A2809" s="294"/>
      <c r="B2809" s="410" t="s">
        <v>683</v>
      </c>
      <c r="C2809" s="283" t="s">
        <v>684</v>
      </c>
      <c r="D2809" s="283" t="s">
        <v>675</v>
      </c>
      <c r="E2809" s="428">
        <v>0.01</v>
      </c>
      <c r="F2809" s="360">
        <f>'UPAD-BAHAN-ALAT'!$I$14</f>
        <v>140000</v>
      </c>
      <c r="G2809" s="248">
        <f>F2809*E2809</f>
        <v>1400</v>
      </c>
    </row>
    <row r="2810" spans="1:8">
      <c r="A2810" s="294"/>
      <c r="B2810" s="410"/>
      <c r="C2810" s="283"/>
      <c r="D2810" s="283"/>
      <c r="E2810" s="428" t="s">
        <v>685</v>
      </c>
      <c r="F2810" s="663"/>
      <c r="G2810" s="248">
        <f>SUM(G2806:G2809)</f>
        <v>38900</v>
      </c>
    </row>
    <row r="2811" spans="1:8">
      <c r="A2811" s="294" t="s">
        <v>686</v>
      </c>
      <c r="B2811" s="410" t="s">
        <v>687</v>
      </c>
      <c r="C2811" s="283"/>
      <c r="D2811" s="283"/>
      <c r="E2811" s="428"/>
      <c r="F2811" s="624"/>
      <c r="G2811" s="248"/>
    </row>
    <row r="2812" spans="1:8">
      <c r="A2812" s="294"/>
      <c r="B2812" s="410" t="s">
        <v>790</v>
      </c>
      <c r="C2812" s="283"/>
      <c r="D2812" s="283" t="s">
        <v>690</v>
      </c>
      <c r="E2812" s="428">
        <v>3.25</v>
      </c>
      <c r="F2812" s="360">
        <f>'UPAD-BAHAN-ALAT'!$I$77</f>
        <v>1625</v>
      </c>
      <c r="G2812" s="248">
        <f>F2812*E2812</f>
        <v>5281.25</v>
      </c>
    </row>
    <row r="2813" spans="1:8">
      <c r="A2813" s="294"/>
      <c r="B2813" s="410"/>
      <c r="C2813" s="283"/>
      <c r="D2813" s="283"/>
      <c r="E2813" s="428" t="s">
        <v>702</v>
      </c>
      <c r="F2813" s="663"/>
      <c r="G2813" s="248">
        <f>SUM(G2812)</f>
        <v>5281.25</v>
      </c>
    </row>
    <row r="2814" spans="1:8" s="265" customFormat="1">
      <c r="A2814" s="294" t="s">
        <v>703</v>
      </c>
      <c r="B2814" s="357" t="s">
        <v>3910</v>
      </c>
      <c r="C2814" s="610"/>
      <c r="D2814" s="610"/>
      <c r="E2814" s="611"/>
      <c r="F2814" s="616"/>
      <c r="G2814" s="255">
        <f>G2810+G2813</f>
        <v>44181.25</v>
      </c>
    </row>
    <row r="2815" spans="1:8" s="265" customFormat="1">
      <c r="A2815" s="294" t="s">
        <v>706</v>
      </c>
      <c r="B2815" s="617" t="s">
        <v>876</v>
      </c>
      <c r="C2815" s="618"/>
      <c r="D2815" s="618"/>
      <c r="E2815" s="613" t="s">
        <v>4030</v>
      </c>
      <c r="F2815" s="616"/>
      <c r="G2815" s="255">
        <f>G2814*0.15</f>
        <v>6627.1875</v>
      </c>
      <c r="H2815" s="300"/>
    </row>
    <row r="2816" spans="1:8" s="265" customFormat="1">
      <c r="A2816" s="294" t="s">
        <v>708</v>
      </c>
      <c r="B2816" s="357" t="s">
        <v>3911</v>
      </c>
      <c r="C2816" s="610"/>
      <c r="D2816" s="610"/>
      <c r="E2816" s="611"/>
      <c r="F2816" s="616"/>
      <c r="G2816" s="255">
        <f>ROUND(SUM(G2814:G2815),2)</f>
        <v>50808.44</v>
      </c>
      <c r="H2816" s="300">
        <f>37309.38+5596.41</f>
        <v>42905.789999999994</v>
      </c>
    </row>
    <row r="2818" spans="1:7">
      <c r="A2818" s="286" t="s">
        <v>4544</v>
      </c>
      <c r="B2818" s="265" t="s">
        <v>4547</v>
      </c>
    </row>
    <row r="2819" spans="1:7" ht="24.95" customHeight="1">
      <c r="A2819" s="298" t="s">
        <v>1003</v>
      </c>
      <c r="B2819" s="298" t="s">
        <v>1004</v>
      </c>
      <c r="C2819" s="698" t="s">
        <v>1005</v>
      </c>
      <c r="D2819" s="698" t="s">
        <v>1006</v>
      </c>
      <c r="E2819" s="699" t="s">
        <v>1007</v>
      </c>
      <c r="F2819" s="389" t="s">
        <v>2637</v>
      </c>
      <c r="G2819" s="291" t="s">
        <v>2638</v>
      </c>
    </row>
    <row r="2820" spans="1:7">
      <c r="A2820" s="294" t="s">
        <v>671</v>
      </c>
      <c r="B2820" s="410" t="s">
        <v>672</v>
      </c>
      <c r="C2820" s="283"/>
      <c r="D2820" s="283"/>
      <c r="E2820" s="428"/>
      <c r="F2820" s="624"/>
      <c r="G2820" s="248"/>
    </row>
    <row r="2821" spans="1:7">
      <c r="A2821" s="294"/>
      <c r="B2821" s="410" t="s">
        <v>673</v>
      </c>
      <c r="C2821" s="283" t="s">
        <v>674</v>
      </c>
      <c r="D2821" s="283" t="s">
        <v>675</v>
      </c>
      <c r="E2821" s="428">
        <v>0.2</v>
      </c>
      <c r="F2821" s="360">
        <f>'UPAD-BAHAN-ALAT'!$I$12</f>
        <v>110000</v>
      </c>
      <c r="G2821" s="248">
        <f>F2821*E2821</f>
        <v>22000</v>
      </c>
    </row>
    <row r="2822" spans="1:7">
      <c r="A2822" s="294"/>
      <c r="B2822" s="410" t="s">
        <v>816</v>
      </c>
      <c r="C2822" s="283" t="s">
        <v>681</v>
      </c>
      <c r="D2822" s="283" t="s">
        <v>675</v>
      </c>
      <c r="E2822" s="428">
        <v>0.1</v>
      </c>
      <c r="F2822" s="360">
        <f>'UPAD-BAHAN-ALAT'!$I$13</f>
        <v>140000</v>
      </c>
      <c r="G2822" s="248">
        <f>F2822*E2822</f>
        <v>14000</v>
      </c>
    </row>
    <row r="2823" spans="1:7">
      <c r="A2823" s="294"/>
      <c r="B2823" s="410" t="s">
        <v>680</v>
      </c>
      <c r="C2823" s="283" t="s">
        <v>681</v>
      </c>
      <c r="D2823" s="283" t="s">
        <v>675</v>
      </c>
      <c r="E2823" s="428">
        <v>0.01</v>
      </c>
      <c r="F2823" s="360">
        <f>'UPAD-BAHAN-ALAT'!$I$15</f>
        <v>150000</v>
      </c>
      <c r="G2823" s="248">
        <f>F2823*E2823</f>
        <v>1500</v>
      </c>
    </row>
    <row r="2824" spans="1:7">
      <c r="A2824" s="294"/>
      <c r="B2824" s="410" t="s">
        <v>683</v>
      </c>
      <c r="C2824" s="283" t="s">
        <v>684</v>
      </c>
      <c r="D2824" s="283" t="s">
        <v>675</v>
      </c>
      <c r="E2824" s="428">
        <v>0.01</v>
      </c>
      <c r="F2824" s="360">
        <f>'UPAD-BAHAN-ALAT'!$I$14</f>
        <v>140000</v>
      </c>
      <c r="G2824" s="248">
        <f>F2824*E2824</f>
        <v>1400</v>
      </c>
    </row>
    <row r="2825" spans="1:7">
      <c r="A2825" s="294"/>
      <c r="B2825" s="410"/>
      <c r="C2825" s="283"/>
      <c r="D2825" s="283"/>
      <c r="E2825" s="428" t="s">
        <v>685</v>
      </c>
      <c r="F2825" s="663"/>
      <c r="G2825" s="248">
        <f>SUM(G2821:G2824)</f>
        <v>38900</v>
      </c>
    </row>
    <row r="2826" spans="1:7">
      <c r="A2826" s="294" t="s">
        <v>686</v>
      </c>
      <c r="B2826" s="410" t="s">
        <v>687</v>
      </c>
      <c r="C2826" s="283"/>
      <c r="D2826" s="283"/>
      <c r="E2826" s="428"/>
      <c r="F2826" s="624"/>
      <c r="G2826" s="248"/>
    </row>
    <row r="2827" spans="1:7">
      <c r="A2827" s="294"/>
      <c r="B2827" s="410" t="s">
        <v>4545</v>
      </c>
      <c r="C2827" s="247"/>
      <c r="D2827" s="247" t="s">
        <v>690</v>
      </c>
      <c r="E2827" s="372">
        <v>0.26</v>
      </c>
      <c r="F2827" s="360">
        <f>'UPAD-BAHAN-ALAT'!$I$369</f>
        <v>52500</v>
      </c>
      <c r="G2827" s="248">
        <f>F2827*E2827</f>
        <v>13650</v>
      </c>
    </row>
    <row r="2828" spans="1:7">
      <c r="A2828" s="294"/>
      <c r="B2828" s="410" t="s">
        <v>4546</v>
      </c>
      <c r="C2828" s="247"/>
      <c r="D2828" s="247" t="s">
        <v>2647</v>
      </c>
      <c r="E2828" s="372">
        <v>1.05</v>
      </c>
      <c r="F2828" s="360">
        <f>'UPAD-BAHAN-ALAT'!$I$382</f>
        <v>26200</v>
      </c>
      <c r="G2828" s="248">
        <f>F2828*E2828</f>
        <v>27510</v>
      </c>
    </row>
    <row r="2829" spans="1:7">
      <c r="A2829" s="294"/>
      <c r="B2829" s="410"/>
      <c r="C2829" s="283"/>
      <c r="D2829" s="283"/>
      <c r="E2829" s="428" t="s">
        <v>702</v>
      </c>
      <c r="F2829" s="663"/>
      <c r="G2829" s="248">
        <f>SUM(G2827:G2828)</f>
        <v>41160</v>
      </c>
    </row>
    <row r="2830" spans="1:7">
      <c r="A2830" s="294" t="s">
        <v>703</v>
      </c>
      <c r="B2830" s="357" t="s">
        <v>3910</v>
      </c>
      <c r="C2830" s="610"/>
      <c r="D2830" s="610"/>
      <c r="E2830" s="611"/>
      <c r="F2830" s="616"/>
      <c r="G2830" s="255">
        <f>G2825+G2829</f>
        <v>80060</v>
      </c>
    </row>
    <row r="2831" spans="1:7">
      <c r="A2831" s="294" t="s">
        <v>706</v>
      </c>
      <c r="B2831" s="617" t="s">
        <v>876</v>
      </c>
      <c r="C2831" s="618"/>
      <c r="D2831" s="618"/>
      <c r="E2831" s="613" t="s">
        <v>4030</v>
      </c>
      <c r="F2831" s="616"/>
      <c r="G2831" s="255">
        <f>G2830*0.15</f>
        <v>12009</v>
      </c>
    </row>
    <row r="2832" spans="1:7">
      <c r="A2832" s="294" t="s">
        <v>708</v>
      </c>
      <c r="B2832" s="357" t="s">
        <v>3911</v>
      </c>
      <c r="C2832" s="610"/>
      <c r="D2832" s="610"/>
      <c r="E2832" s="611"/>
      <c r="F2832" s="616"/>
      <c r="G2832" s="255">
        <f>ROUND(SUM(G2830:G2831),2)</f>
        <v>92069</v>
      </c>
    </row>
    <row r="2834" spans="1:7">
      <c r="A2834" s="285" t="s">
        <v>4184</v>
      </c>
      <c r="B2834" s="250" t="s">
        <v>2819</v>
      </c>
      <c r="C2834" s="252"/>
      <c r="D2834" s="252"/>
      <c r="E2834" s="374"/>
      <c r="F2834" s="361"/>
      <c r="G2834" s="253"/>
    </row>
    <row r="2835" spans="1:7">
      <c r="A2835" s="285" t="s">
        <v>4185</v>
      </c>
      <c r="B2835" s="250" t="s">
        <v>2818</v>
      </c>
      <c r="C2835" s="252"/>
      <c r="D2835" s="252"/>
      <c r="E2835" s="374"/>
      <c r="F2835" s="361"/>
      <c r="G2835" s="253"/>
    </row>
    <row r="2836" spans="1:7" s="292" customFormat="1" ht="24.95" customHeight="1">
      <c r="A2836" s="290" t="s">
        <v>1003</v>
      </c>
      <c r="B2836" s="293" t="s">
        <v>1004</v>
      </c>
      <c r="C2836" s="290" t="s">
        <v>1005</v>
      </c>
      <c r="D2836" s="293" t="s">
        <v>1006</v>
      </c>
      <c r="E2836" s="379" t="s">
        <v>1007</v>
      </c>
      <c r="F2836" s="389" t="s">
        <v>2637</v>
      </c>
      <c r="G2836" s="705" t="s">
        <v>2638</v>
      </c>
    </row>
    <row r="2837" spans="1:7">
      <c r="A2837" s="294" t="s">
        <v>671</v>
      </c>
      <c r="B2837" s="355" t="s">
        <v>672</v>
      </c>
      <c r="C2837" s="247"/>
      <c r="D2837" s="283"/>
      <c r="E2837" s="428"/>
      <c r="F2837" s="624"/>
      <c r="G2837" s="706"/>
    </row>
    <row r="2838" spans="1:7">
      <c r="A2838" s="294"/>
      <c r="B2838" s="355" t="s">
        <v>673</v>
      </c>
      <c r="C2838" s="247" t="s">
        <v>674</v>
      </c>
      <c r="D2838" s="283" t="s">
        <v>675</v>
      </c>
      <c r="E2838" s="428">
        <v>0.25</v>
      </c>
      <c r="F2838" s="360">
        <f>'UPAD-BAHAN-ALAT'!$I$12</f>
        <v>110000</v>
      </c>
      <c r="G2838" s="248">
        <f>F2838*E2838</f>
        <v>27500</v>
      </c>
    </row>
    <row r="2839" spans="1:7">
      <c r="A2839" s="294"/>
      <c r="B2839" s="355" t="s">
        <v>816</v>
      </c>
      <c r="C2839" s="247" t="s">
        <v>678</v>
      </c>
      <c r="D2839" s="283" t="s">
        <v>675</v>
      </c>
      <c r="E2839" s="428">
        <v>0.125</v>
      </c>
      <c r="F2839" s="360">
        <f>'UPAD-BAHAN-ALAT'!$I$13</f>
        <v>140000</v>
      </c>
      <c r="G2839" s="248">
        <f>F2839*E2839</f>
        <v>17500</v>
      </c>
    </row>
    <row r="2840" spans="1:7">
      <c r="A2840" s="294"/>
      <c r="B2840" s="355" t="s">
        <v>751</v>
      </c>
      <c r="C2840" s="247" t="s">
        <v>681</v>
      </c>
      <c r="D2840" s="283" t="s">
        <v>675</v>
      </c>
      <c r="E2840" s="428">
        <v>1.2999999999999999E-2</v>
      </c>
      <c r="F2840" s="360">
        <f>'UPAD-BAHAN-ALAT'!$I$15</f>
        <v>150000</v>
      </c>
      <c r="G2840" s="248">
        <f>F2840*E2840</f>
        <v>1950</v>
      </c>
    </row>
    <row r="2841" spans="1:7">
      <c r="A2841" s="294"/>
      <c r="B2841" s="355" t="s">
        <v>683</v>
      </c>
      <c r="C2841" s="247" t="s">
        <v>684</v>
      </c>
      <c r="D2841" s="283" t="s">
        <v>675</v>
      </c>
      <c r="E2841" s="428">
        <v>1.2999999999999999E-2</v>
      </c>
      <c r="F2841" s="360">
        <f>'UPAD-BAHAN-ALAT'!$I$14</f>
        <v>140000</v>
      </c>
      <c r="G2841" s="248">
        <f>F2841*E2841</f>
        <v>1820</v>
      </c>
    </row>
    <row r="2842" spans="1:7">
      <c r="A2842" s="294"/>
      <c r="B2842" s="355"/>
      <c r="C2842" s="247"/>
      <c r="D2842" s="283"/>
      <c r="E2842" s="428" t="s">
        <v>685</v>
      </c>
      <c r="F2842" s="663"/>
      <c r="G2842" s="706">
        <f>SUM(G2838:G2841)</f>
        <v>48770</v>
      </c>
    </row>
    <row r="2843" spans="1:7">
      <c r="A2843" s="294" t="s">
        <v>686</v>
      </c>
      <c r="B2843" s="355" t="s">
        <v>687</v>
      </c>
      <c r="C2843" s="247"/>
      <c r="D2843" s="283"/>
      <c r="E2843" s="428"/>
      <c r="F2843" s="624"/>
      <c r="G2843" s="706"/>
    </row>
    <row r="2844" spans="1:7">
      <c r="A2844" s="294"/>
      <c r="B2844" s="355" t="s">
        <v>1092</v>
      </c>
      <c r="C2844" s="247"/>
      <c r="D2844" s="283" t="s">
        <v>743</v>
      </c>
      <c r="E2844" s="428">
        <v>6.63</v>
      </c>
      <c r="F2844" s="624">
        <f>'UPAD-BAHAN-ALAT'!$I$238</f>
        <v>5000</v>
      </c>
      <c r="G2844" s="248">
        <f>F2844*E2844</f>
        <v>33150</v>
      </c>
    </row>
    <row r="2845" spans="1:7">
      <c r="A2845" s="294"/>
      <c r="B2845" s="355" t="s">
        <v>818</v>
      </c>
      <c r="C2845" s="247"/>
      <c r="D2845" s="283" t="s">
        <v>773</v>
      </c>
      <c r="E2845" s="428">
        <v>9.8000000000000007</v>
      </c>
      <c r="F2845" s="360">
        <f>'UPAD-BAHAN-ALAT'!$I$77</f>
        <v>1625</v>
      </c>
      <c r="G2845" s="248">
        <f>F2845*E2845</f>
        <v>15925.000000000002</v>
      </c>
    </row>
    <row r="2846" spans="1:7">
      <c r="A2846" s="294"/>
      <c r="B2846" s="355" t="s">
        <v>739</v>
      </c>
      <c r="C2846" s="247"/>
      <c r="D2846" s="283" t="s">
        <v>881</v>
      </c>
      <c r="E2846" s="428">
        <v>4.4999999999999998E-2</v>
      </c>
      <c r="F2846" s="360">
        <f>'UPAD-BAHAN-ALAT'!$I$71</f>
        <v>176000</v>
      </c>
      <c r="G2846" s="248">
        <f>F2846*E2846</f>
        <v>7920</v>
      </c>
    </row>
    <row r="2847" spans="1:7">
      <c r="A2847" s="294"/>
      <c r="B2847" s="355"/>
      <c r="C2847" s="247"/>
      <c r="D2847" s="283"/>
      <c r="E2847" s="428" t="s">
        <v>702</v>
      </c>
      <c r="F2847" s="663"/>
      <c r="G2847" s="706">
        <f>SUM(G2844:G2846)</f>
        <v>56995</v>
      </c>
    </row>
    <row r="2848" spans="1:7" s="265" customFormat="1">
      <c r="A2848" s="294" t="s">
        <v>703</v>
      </c>
      <c r="B2848" s="357" t="s">
        <v>3910</v>
      </c>
      <c r="C2848" s="610"/>
      <c r="D2848" s="610"/>
      <c r="E2848" s="611"/>
      <c r="F2848" s="616"/>
      <c r="G2848" s="707">
        <f>G2842+G2847</f>
        <v>105765</v>
      </c>
    </row>
    <row r="2849" spans="1:8" s="265" customFormat="1">
      <c r="A2849" s="294" t="s">
        <v>706</v>
      </c>
      <c r="B2849" s="617" t="s">
        <v>876</v>
      </c>
      <c r="C2849" s="618"/>
      <c r="D2849" s="618"/>
      <c r="E2849" s="613" t="s">
        <v>4030</v>
      </c>
      <c r="F2849" s="616"/>
      <c r="G2849" s="255">
        <f>G2848*0.15</f>
        <v>15864.75</v>
      </c>
    </row>
    <row r="2850" spans="1:8" s="265" customFormat="1">
      <c r="A2850" s="294" t="s">
        <v>708</v>
      </c>
      <c r="B2850" s="357" t="s">
        <v>3911</v>
      </c>
      <c r="C2850" s="610"/>
      <c r="D2850" s="610"/>
      <c r="E2850" s="611"/>
      <c r="F2850" s="616"/>
      <c r="G2850" s="255">
        <f>ROUND(SUM(G2848:G2849),2)</f>
        <v>121629.75</v>
      </c>
      <c r="H2850" s="707">
        <f>SUM(G2848:G2849)</f>
        <v>121629.75</v>
      </c>
    </row>
    <row r="2852" spans="1:8">
      <c r="A2852" s="286" t="s">
        <v>4186</v>
      </c>
      <c r="B2852" s="265" t="s">
        <v>2817</v>
      </c>
    </row>
    <row r="2853" spans="1:8" s="292" customFormat="1" ht="24.95" customHeight="1">
      <c r="A2853" s="290" t="s">
        <v>1003</v>
      </c>
      <c r="B2853" s="290" t="s">
        <v>1004</v>
      </c>
      <c r="C2853" s="290" t="s">
        <v>1005</v>
      </c>
      <c r="D2853" s="290" t="s">
        <v>1006</v>
      </c>
      <c r="E2853" s="373" t="s">
        <v>1007</v>
      </c>
      <c r="F2853" s="363" t="s">
        <v>2637</v>
      </c>
      <c r="G2853" s="291" t="s">
        <v>2638</v>
      </c>
    </row>
    <row r="2854" spans="1:8">
      <c r="A2854" s="294" t="s">
        <v>671</v>
      </c>
      <c r="B2854" s="410" t="s">
        <v>672</v>
      </c>
      <c r="C2854" s="247"/>
      <c r="D2854" s="247"/>
      <c r="E2854" s="372"/>
      <c r="F2854" s="360"/>
      <c r="G2854" s="248"/>
    </row>
    <row r="2855" spans="1:8">
      <c r="A2855" s="294"/>
      <c r="B2855" s="410" t="s">
        <v>673</v>
      </c>
      <c r="C2855" s="247" t="s">
        <v>674</v>
      </c>
      <c r="D2855" s="247" t="s">
        <v>675</v>
      </c>
      <c r="E2855" s="372">
        <v>0.25</v>
      </c>
      <c r="F2855" s="360">
        <f>'UPAD-BAHAN-ALAT'!$I$12</f>
        <v>110000</v>
      </c>
      <c r="G2855" s="248">
        <f>F2855*E2855</f>
        <v>27500</v>
      </c>
    </row>
    <row r="2856" spans="1:8">
      <c r="A2856" s="294"/>
      <c r="B2856" s="410" t="s">
        <v>816</v>
      </c>
      <c r="C2856" s="247" t="s">
        <v>678</v>
      </c>
      <c r="D2856" s="247" t="s">
        <v>675</v>
      </c>
      <c r="E2856" s="372">
        <v>0.125</v>
      </c>
      <c r="F2856" s="360">
        <f>'UPAD-BAHAN-ALAT'!$I$13</f>
        <v>140000</v>
      </c>
      <c r="G2856" s="248">
        <f>F2856*E2856</f>
        <v>17500</v>
      </c>
    </row>
    <row r="2857" spans="1:8">
      <c r="A2857" s="294"/>
      <c r="B2857" s="410" t="s">
        <v>751</v>
      </c>
      <c r="C2857" s="247" t="s">
        <v>681</v>
      </c>
      <c r="D2857" s="247" t="s">
        <v>675</v>
      </c>
      <c r="E2857" s="372">
        <v>1.2999999999999999E-2</v>
      </c>
      <c r="F2857" s="360">
        <f>'UPAD-BAHAN-ALAT'!$I$15</f>
        <v>150000</v>
      </c>
      <c r="G2857" s="248">
        <f>F2857*E2857</f>
        <v>1950</v>
      </c>
    </row>
    <row r="2858" spans="1:8">
      <c r="A2858" s="294"/>
      <c r="B2858" s="410" t="s">
        <v>683</v>
      </c>
      <c r="C2858" s="247" t="s">
        <v>684</v>
      </c>
      <c r="D2858" s="247" t="s">
        <v>675</v>
      </c>
      <c r="E2858" s="372">
        <v>1.2999999999999999E-2</v>
      </c>
      <c r="F2858" s="360">
        <f>'UPAD-BAHAN-ALAT'!$I$14</f>
        <v>140000</v>
      </c>
      <c r="G2858" s="248">
        <f>F2858*E2858</f>
        <v>1820</v>
      </c>
    </row>
    <row r="2859" spans="1:8">
      <c r="A2859" s="294"/>
      <c r="B2859" s="410"/>
      <c r="C2859" s="247"/>
      <c r="D2859" s="247"/>
      <c r="E2859" s="1146" t="s">
        <v>685</v>
      </c>
      <c r="F2859" s="1146"/>
      <c r="G2859" s="248">
        <f>SUM(G2855:G2858)</f>
        <v>48770</v>
      </c>
    </row>
    <row r="2860" spans="1:8">
      <c r="A2860" s="294" t="s">
        <v>686</v>
      </c>
      <c r="B2860" s="410" t="s">
        <v>687</v>
      </c>
      <c r="C2860" s="247"/>
      <c r="D2860" s="247"/>
      <c r="E2860" s="372"/>
      <c r="F2860" s="360"/>
      <c r="G2860" s="248"/>
    </row>
    <row r="2861" spans="1:8">
      <c r="A2861" s="294"/>
      <c r="B2861" s="410" t="s">
        <v>1092</v>
      </c>
      <c r="C2861" s="247"/>
      <c r="D2861" s="247" t="s">
        <v>743</v>
      </c>
      <c r="E2861" s="372">
        <v>11.87</v>
      </c>
      <c r="F2861" s="360">
        <f>'UPAD-BAHAN-ALAT'!$I$239</f>
        <v>4000</v>
      </c>
      <c r="G2861" s="248">
        <f>F2861*E2861</f>
        <v>47480</v>
      </c>
    </row>
    <row r="2862" spans="1:8">
      <c r="A2862" s="294"/>
      <c r="B2862" s="410" t="s">
        <v>818</v>
      </c>
      <c r="C2862" s="247"/>
      <c r="D2862" s="247" t="s">
        <v>773</v>
      </c>
      <c r="E2862" s="372">
        <v>10</v>
      </c>
      <c r="F2862" s="360">
        <f>'UPAD-BAHAN-ALAT'!$I$77</f>
        <v>1625</v>
      </c>
      <c r="G2862" s="248">
        <f>F2862*E2862</f>
        <v>16250</v>
      </c>
    </row>
    <row r="2863" spans="1:8">
      <c r="A2863" s="294"/>
      <c r="B2863" s="410" t="s">
        <v>739</v>
      </c>
      <c r="C2863" s="247"/>
      <c r="D2863" s="247" t="s">
        <v>881</v>
      </c>
      <c r="E2863" s="372">
        <v>4.4999999999999998E-2</v>
      </c>
      <c r="F2863" s="360">
        <f>'UPAD-BAHAN-ALAT'!$I$71</f>
        <v>176000</v>
      </c>
      <c r="G2863" s="248">
        <f>F2863*E2863</f>
        <v>7920</v>
      </c>
    </row>
    <row r="2864" spans="1:8">
      <c r="A2864" s="294"/>
      <c r="B2864" s="410"/>
      <c r="C2864" s="247"/>
      <c r="D2864" s="247"/>
      <c r="E2864" s="1155" t="s">
        <v>702</v>
      </c>
      <c r="F2864" s="1155"/>
      <c r="G2864" s="248">
        <f>SUM(G2861:G2863)</f>
        <v>71650</v>
      </c>
    </row>
    <row r="2865" spans="1:8" s="265" customFormat="1">
      <c r="A2865" s="294" t="s">
        <v>703</v>
      </c>
      <c r="B2865" s="1151" t="s">
        <v>3910</v>
      </c>
      <c r="C2865" s="1151"/>
      <c r="D2865" s="1151"/>
      <c r="E2865" s="1151"/>
      <c r="F2865" s="1151"/>
      <c r="G2865" s="255">
        <f>G2859+G2864</f>
        <v>120420</v>
      </c>
    </row>
    <row r="2866" spans="1:8" s="265" customFormat="1">
      <c r="A2866" s="294" t="s">
        <v>706</v>
      </c>
      <c r="B2866" s="1148" t="s">
        <v>876</v>
      </c>
      <c r="C2866" s="1148"/>
      <c r="D2866" s="1148"/>
      <c r="E2866" s="1147" t="s">
        <v>4030</v>
      </c>
      <c r="F2866" s="1147"/>
      <c r="G2866" s="255">
        <f>G2865*0.15</f>
        <v>18063</v>
      </c>
    </row>
    <row r="2867" spans="1:8" s="265" customFormat="1">
      <c r="A2867" s="294" t="s">
        <v>708</v>
      </c>
      <c r="B2867" s="1149" t="s">
        <v>3911</v>
      </c>
      <c r="C2867" s="1149"/>
      <c r="D2867" s="1149"/>
      <c r="E2867" s="1149"/>
      <c r="F2867" s="1149"/>
      <c r="G2867" s="255">
        <f>ROUND(SUM(G2865:G2866),2)</f>
        <v>138483</v>
      </c>
      <c r="H2867" s="255">
        <f>SUM(G2865:G2866)</f>
        <v>138483</v>
      </c>
    </row>
    <row r="2868" spans="1:8">
      <c r="A2868" s="268"/>
      <c r="B2868" s="269"/>
      <c r="C2868" s="268"/>
      <c r="D2868" s="268"/>
      <c r="E2868" s="380"/>
      <c r="F2868" s="365"/>
      <c r="G2868" s="270"/>
    </row>
    <row r="2869" spans="1:8">
      <c r="A2869" s="285" t="s">
        <v>4187</v>
      </c>
      <c r="B2869" s="250" t="s">
        <v>2816</v>
      </c>
      <c r="C2869" s="252"/>
      <c r="D2869" s="252"/>
      <c r="E2869" s="374"/>
      <c r="F2869" s="361"/>
      <c r="G2869" s="253"/>
    </row>
    <row r="2870" spans="1:8" s="292" customFormat="1" ht="24.95" customHeight="1">
      <c r="A2870" s="290" t="s">
        <v>1003</v>
      </c>
      <c r="B2870" s="290" t="s">
        <v>1004</v>
      </c>
      <c r="C2870" s="290" t="s">
        <v>1005</v>
      </c>
      <c r="D2870" s="290" t="s">
        <v>1006</v>
      </c>
      <c r="E2870" s="373" t="s">
        <v>1007</v>
      </c>
      <c r="F2870" s="363" t="s">
        <v>2637</v>
      </c>
      <c r="G2870" s="291" t="s">
        <v>2638</v>
      </c>
    </row>
    <row r="2871" spans="1:8">
      <c r="A2871" s="294" t="s">
        <v>671</v>
      </c>
      <c r="B2871" s="410" t="s">
        <v>672</v>
      </c>
      <c r="C2871" s="247"/>
      <c r="D2871" s="247"/>
      <c r="E2871" s="372"/>
      <c r="F2871" s="360"/>
      <c r="G2871" s="248"/>
    </row>
    <row r="2872" spans="1:8">
      <c r="A2872" s="294"/>
      <c r="B2872" s="410" t="s">
        <v>673</v>
      </c>
      <c r="C2872" s="247" t="s">
        <v>674</v>
      </c>
      <c r="D2872" s="247" t="s">
        <v>675</v>
      </c>
      <c r="E2872" s="372">
        <v>0.27</v>
      </c>
      <c r="F2872" s="360">
        <f>'UPAD-BAHAN-ALAT'!$I$12</f>
        <v>110000</v>
      </c>
      <c r="G2872" s="248">
        <f>F2872*E2872</f>
        <v>29700.000000000004</v>
      </c>
    </row>
    <row r="2873" spans="1:8">
      <c r="A2873" s="294"/>
      <c r="B2873" s="410" t="s">
        <v>816</v>
      </c>
      <c r="C2873" s="247" t="s">
        <v>678</v>
      </c>
      <c r="D2873" s="247" t="s">
        <v>675</v>
      </c>
      <c r="E2873" s="372">
        <v>0.13500000000000001</v>
      </c>
      <c r="F2873" s="360">
        <f>'UPAD-BAHAN-ALAT'!$I$13</f>
        <v>140000</v>
      </c>
      <c r="G2873" s="248">
        <f>F2873*E2873</f>
        <v>18900</v>
      </c>
    </row>
    <row r="2874" spans="1:8">
      <c r="A2874" s="294"/>
      <c r="B2874" s="410" t="s">
        <v>751</v>
      </c>
      <c r="C2874" s="247" t="s">
        <v>681</v>
      </c>
      <c r="D2874" s="247" t="s">
        <v>675</v>
      </c>
      <c r="E2874" s="372">
        <v>1.4E-2</v>
      </c>
      <c r="F2874" s="360">
        <f>'UPAD-BAHAN-ALAT'!$I$15</f>
        <v>150000</v>
      </c>
      <c r="G2874" s="248">
        <f>F2874*E2874</f>
        <v>2100</v>
      </c>
    </row>
    <row r="2875" spans="1:8">
      <c r="A2875" s="294"/>
      <c r="B2875" s="410" t="s">
        <v>683</v>
      </c>
      <c r="C2875" s="247" t="s">
        <v>684</v>
      </c>
      <c r="D2875" s="247" t="s">
        <v>675</v>
      </c>
      <c r="E2875" s="372">
        <v>1.4E-2</v>
      </c>
      <c r="F2875" s="360">
        <f>'UPAD-BAHAN-ALAT'!$I$14</f>
        <v>140000</v>
      </c>
      <c r="G2875" s="248">
        <f>F2875*E2875</f>
        <v>1960</v>
      </c>
    </row>
    <row r="2876" spans="1:8">
      <c r="A2876" s="294"/>
      <c r="B2876" s="410"/>
      <c r="C2876" s="247"/>
      <c r="D2876" s="247"/>
      <c r="E2876" s="1146" t="s">
        <v>685</v>
      </c>
      <c r="F2876" s="1146"/>
      <c r="G2876" s="248">
        <f>SUM(G2872:G2875)</f>
        <v>52660</v>
      </c>
    </row>
    <row r="2877" spans="1:8">
      <c r="A2877" s="294" t="s">
        <v>686</v>
      </c>
      <c r="B2877" s="410" t="s">
        <v>687</v>
      </c>
      <c r="C2877" s="247"/>
      <c r="D2877" s="247"/>
      <c r="E2877" s="372"/>
      <c r="F2877" s="360"/>
      <c r="G2877" s="248"/>
    </row>
    <row r="2878" spans="1:8">
      <c r="A2878" s="294"/>
      <c r="B2878" s="410" t="s">
        <v>1092</v>
      </c>
      <c r="C2878" s="247"/>
      <c r="D2878" s="247" t="s">
        <v>743</v>
      </c>
      <c r="E2878" s="372">
        <v>26.5</v>
      </c>
      <c r="F2878" s="360">
        <f>'UPAD-BAHAN-ALAT'!$I$237</f>
        <v>2000</v>
      </c>
      <c r="G2878" s="248">
        <f>F2878*E2878</f>
        <v>53000</v>
      </c>
    </row>
    <row r="2879" spans="1:8">
      <c r="A2879" s="294"/>
      <c r="B2879" s="410" t="s">
        <v>818</v>
      </c>
      <c r="C2879" s="247"/>
      <c r="D2879" s="247" t="s">
        <v>773</v>
      </c>
      <c r="E2879" s="372">
        <v>10.4</v>
      </c>
      <c r="F2879" s="360">
        <f>'UPAD-BAHAN-ALAT'!$I$77</f>
        <v>1625</v>
      </c>
      <c r="G2879" s="248">
        <f>F2879*E2879</f>
        <v>16900</v>
      </c>
    </row>
    <row r="2880" spans="1:8">
      <c r="A2880" s="294"/>
      <c r="B2880" s="410" t="s">
        <v>739</v>
      </c>
      <c r="C2880" s="247"/>
      <c r="D2880" s="247" t="s">
        <v>881</v>
      </c>
      <c r="E2880" s="372">
        <v>4.4999999999999998E-2</v>
      </c>
      <c r="F2880" s="360">
        <f>'UPAD-BAHAN-ALAT'!$I$71</f>
        <v>176000</v>
      </c>
      <c r="G2880" s="248">
        <f>F2880*E2880</f>
        <v>7920</v>
      </c>
    </row>
    <row r="2881" spans="1:8">
      <c r="A2881" s="294"/>
      <c r="B2881" s="295"/>
      <c r="C2881" s="296"/>
      <c r="D2881" s="296"/>
      <c r="E2881" s="1146" t="s">
        <v>702</v>
      </c>
      <c r="F2881" s="1146"/>
      <c r="G2881" s="248">
        <f>SUM(G2878:G2880)</f>
        <v>77820</v>
      </c>
    </row>
    <row r="2882" spans="1:8" s="265" customFormat="1">
      <c r="A2882" s="294" t="s">
        <v>703</v>
      </c>
      <c r="B2882" s="1147" t="s">
        <v>3910</v>
      </c>
      <c r="C2882" s="1147"/>
      <c r="D2882" s="1147"/>
      <c r="E2882" s="1147"/>
      <c r="F2882" s="1147"/>
      <c r="G2882" s="255">
        <f>G2876+G2881</f>
        <v>130480</v>
      </c>
    </row>
    <row r="2883" spans="1:8" s="265" customFormat="1">
      <c r="A2883" s="294" t="s">
        <v>706</v>
      </c>
      <c r="B2883" s="1148" t="s">
        <v>876</v>
      </c>
      <c r="C2883" s="1148"/>
      <c r="D2883" s="1148"/>
      <c r="E2883" s="1147" t="s">
        <v>4030</v>
      </c>
      <c r="F2883" s="1147"/>
      <c r="G2883" s="255">
        <f>G2882*0.15</f>
        <v>19572</v>
      </c>
    </row>
    <row r="2884" spans="1:8" s="265" customFormat="1">
      <c r="A2884" s="294" t="s">
        <v>708</v>
      </c>
      <c r="B2884" s="1149" t="s">
        <v>3911</v>
      </c>
      <c r="C2884" s="1149"/>
      <c r="D2884" s="1149"/>
      <c r="E2884" s="1149"/>
      <c r="F2884" s="1149"/>
      <c r="G2884" s="255">
        <f>ROUND(SUM(G2882:G2883),2)</f>
        <v>150052</v>
      </c>
      <c r="H2884" s="255">
        <f>SUM(G2882:G2883)</f>
        <v>150052</v>
      </c>
    </row>
    <row r="2886" spans="1:8">
      <c r="A2886" s="286" t="s">
        <v>4188</v>
      </c>
      <c r="B2886" s="265" t="s">
        <v>2815</v>
      </c>
    </row>
    <row r="2887" spans="1:8">
      <c r="A2887" s="254" t="s">
        <v>1003</v>
      </c>
      <c r="B2887" s="636" t="s">
        <v>1004</v>
      </c>
      <c r="C2887" s="254" t="s">
        <v>1005</v>
      </c>
      <c r="D2887" s="254" t="s">
        <v>1006</v>
      </c>
      <c r="E2887" s="386" t="s">
        <v>1007</v>
      </c>
      <c r="F2887" s="393" t="s">
        <v>2637</v>
      </c>
      <c r="G2887" s="255" t="s">
        <v>2638</v>
      </c>
    </row>
    <row r="2888" spans="1:8">
      <c r="A2888" s="294" t="s">
        <v>671</v>
      </c>
      <c r="B2888" s="410" t="s">
        <v>672</v>
      </c>
      <c r="C2888" s="247"/>
      <c r="D2888" s="247"/>
      <c r="E2888" s="372"/>
      <c r="F2888" s="360"/>
      <c r="G2888" s="248"/>
    </row>
    <row r="2889" spans="1:8">
      <c r="A2889" s="294"/>
      <c r="B2889" s="410" t="s">
        <v>673</v>
      </c>
      <c r="C2889" s="247" t="s">
        <v>674</v>
      </c>
      <c r="D2889" s="247" t="s">
        <v>675</v>
      </c>
      <c r="E2889" s="372">
        <v>0.25</v>
      </c>
      <c r="F2889" s="360">
        <f>'UPAD-BAHAN-ALAT'!$I$12</f>
        <v>110000</v>
      </c>
      <c r="G2889" s="248">
        <f>F2889*E2889</f>
        <v>27500</v>
      </c>
    </row>
    <row r="2890" spans="1:8">
      <c r="A2890" s="294"/>
      <c r="B2890" s="410" t="s">
        <v>816</v>
      </c>
      <c r="C2890" s="247" t="s">
        <v>678</v>
      </c>
      <c r="D2890" s="247" t="s">
        <v>675</v>
      </c>
      <c r="E2890" s="372">
        <v>0.125</v>
      </c>
      <c r="F2890" s="360">
        <f>'UPAD-BAHAN-ALAT'!$I$13</f>
        <v>140000</v>
      </c>
      <c r="G2890" s="248">
        <f>F2890*E2890</f>
        <v>17500</v>
      </c>
    </row>
    <row r="2891" spans="1:8">
      <c r="A2891" s="294"/>
      <c r="B2891" s="410" t="s">
        <v>751</v>
      </c>
      <c r="C2891" s="247" t="s">
        <v>681</v>
      </c>
      <c r="D2891" s="247" t="s">
        <v>675</v>
      </c>
      <c r="E2891" s="372">
        <v>1.2999999999999999E-2</v>
      </c>
      <c r="F2891" s="360">
        <f>'UPAD-BAHAN-ALAT'!$I$15</f>
        <v>150000</v>
      </c>
      <c r="G2891" s="248">
        <f>F2891*E2891</f>
        <v>1950</v>
      </c>
    </row>
    <row r="2892" spans="1:8">
      <c r="A2892" s="294"/>
      <c r="B2892" s="410" t="s">
        <v>683</v>
      </c>
      <c r="C2892" s="247" t="s">
        <v>684</v>
      </c>
      <c r="D2892" s="247" t="s">
        <v>675</v>
      </c>
      <c r="E2892" s="372">
        <v>1.2999999999999999E-2</v>
      </c>
      <c r="F2892" s="360">
        <f>'UPAD-BAHAN-ALAT'!$I$14</f>
        <v>140000</v>
      </c>
      <c r="G2892" s="248">
        <f>F2892*E2892</f>
        <v>1820</v>
      </c>
    </row>
    <row r="2893" spans="1:8">
      <c r="A2893" s="294"/>
      <c r="B2893" s="410"/>
      <c r="C2893" s="247"/>
      <c r="D2893" s="247"/>
      <c r="E2893" s="1146" t="s">
        <v>685</v>
      </c>
      <c r="F2893" s="1146"/>
      <c r="G2893" s="248">
        <f>SUM(G2889:G2892)</f>
        <v>48770</v>
      </c>
    </row>
    <row r="2894" spans="1:8">
      <c r="A2894" s="294" t="s">
        <v>686</v>
      </c>
      <c r="B2894" s="410" t="s">
        <v>687</v>
      </c>
      <c r="C2894" s="247"/>
      <c r="D2894" s="247"/>
      <c r="E2894" s="372"/>
      <c r="F2894" s="360"/>
      <c r="G2894" s="248"/>
    </row>
    <row r="2895" spans="1:8">
      <c r="A2895" s="294"/>
      <c r="B2895" s="410" t="s">
        <v>1099</v>
      </c>
      <c r="C2895" s="247"/>
      <c r="D2895" s="247" t="s">
        <v>743</v>
      </c>
      <c r="E2895" s="372">
        <v>6.63</v>
      </c>
      <c r="F2895" s="360">
        <f>'UPAD-BAHAN-ALAT'!$I$238</f>
        <v>5000</v>
      </c>
      <c r="G2895" s="248">
        <f>F2895*E2895</f>
        <v>33150</v>
      </c>
    </row>
    <row r="2896" spans="1:8">
      <c r="A2896" s="294"/>
      <c r="B2896" s="410" t="s">
        <v>818</v>
      </c>
      <c r="C2896" s="247"/>
      <c r="D2896" s="247" t="s">
        <v>773</v>
      </c>
      <c r="E2896" s="372">
        <v>9.8000000000000007</v>
      </c>
      <c r="F2896" s="360">
        <f>'UPAD-BAHAN-ALAT'!$I$77</f>
        <v>1625</v>
      </c>
      <c r="G2896" s="248">
        <f>F2896*E2896</f>
        <v>15925.000000000002</v>
      </c>
    </row>
    <row r="2897" spans="1:8">
      <c r="A2897" s="294"/>
      <c r="B2897" s="410" t="s">
        <v>1100</v>
      </c>
      <c r="C2897" s="247"/>
      <c r="D2897" s="247" t="s">
        <v>690</v>
      </c>
      <c r="E2897" s="372">
        <v>1.3</v>
      </c>
      <c r="F2897" s="360">
        <f>'UPAD-BAHAN-ALAT'!$I$74/40</f>
        <v>3437.5</v>
      </c>
      <c r="G2897" s="248">
        <f>F2897*E2897</f>
        <v>4468.75</v>
      </c>
    </row>
    <row r="2898" spans="1:8">
      <c r="A2898" s="294"/>
      <c r="B2898" s="410" t="s">
        <v>739</v>
      </c>
      <c r="C2898" s="247"/>
      <c r="D2898" s="247" t="s">
        <v>881</v>
      </c>
      <c r="E2898" s="372">
        <v>4.4999999999999998E-2</v>
      </c>
      <c r="F2898" s="360">
        <f>'UPAD-BAHAN-ALAT'!$I$71</f>
        <v>176000</v>
      </c>
      <c r="G2898" s="248">
        <f>F2898*E2898</f>
        <v>7920</v>
      </c>
    </row>
    <row r="2899" spans="1:8">
      <c r="A2899" s="294"/>
      <c r="B2899" s="295"/>
      <c r="C2899" s="296"/>
      <c r="D2899" s="296"/>
      <c r="E2899" s="1146" t="s">
        <v>702</v>
      </c>
      <c r="F2899" s="1146"/>
      <c r="G2899" s="248">
        <f>SUM(G2895:G2898)</f>
        <v>61463.75</v>
      </c>
    </row>
    <row r="2900" spans="1:8" s="265" customFormat="1">
      <c r="A2900" s="294" t="s">
        <v>703</v>
      </c>
      <c r="B2900" s="1147" t="s">
        <v>3910</v>
      </c>
      <c r="C2900" s="1147"/>
      <c r="D2900" s="1147"/>
      <c r="E2900" s="1147"/>
      <c r="F2900" s="1147"/>
      <c r="G2900" s="255">
        <f>G2893+G2899</f>
        <v>110233.75</v>
      </c>
    </row>
    <row r="2901" spans="1:8" s="265" customFormat="1">
      <c r="A2901" s="294" t="s">
        <v>706</v>
      </c>
      <c r="B2901" s="1148" t="s">
        <v>876</v>
      </c>
      <c r="C2901" s="1148"/>
      <c r="D2901" s="1148"/>
      <c r="E2901" s="1147" t="s">
        <v>4030</v>
      </c>
      <c r="F2901" s="1147"/>
      <c r="G2901" s="255">
        <f>G2900*0.15</f>
        <v>16535.0625</v>
      </c>
    </row>
    <row r="2902" spans="1:8" s="265" customFormat="1">
      <c r="A2902" s="294" t="s">
        <v>708</v>
      </c>
      <c r="B2902" s="1149" t="s">
        <v>3911</v>
      </c>
      <c r="C2902" s="1149"/>
      <c r="D2902" s="1149"/>
      <c r="E2902" s="1149"/>
      <c r="F2902" s="1149"/>
      <c r="G2902" s="255">
        <f>ROUND(SUM(G2900:G2901),2)</f>
        <v>126768.81</v>
      </c>
      <c r="H2902" s="255">
        <f>SUM(G2900:G2901)</f>
        <v>126768.8125</v>
      </c>
    </row>
    <row r="2903" spans="1:8">
      <c r="A2903" s="268"/>
      <c r="B2903" s="269"/>
      <c r="C2903" s="268"/>
      <c r="D2903" s="268"/>
      <c r="E2903" s="380"/>
      <c r="F2903" s="365"/>
      <c r="G2903" s="270"/>
    </row>
    <row r="2904" spans="1:8">
      <c r="A2904" s="285" t="s">
        <v>4189</v>
      </c>
      <c r="B2904" s="250" t="s">
        <v>2814</v>
      </c>
      <c r="C2904" s="252"/>
      <c r="D2904" s="252"/>
      <c r="E2904" s="374"/>
      <c r="F2904" s="361"/>
      <c r="G2904" s="253"/>
    </row>
    <row r="2905" spans="1:8" s="292" customFormat="1" ht="24.95" customHeight="1">
      <c r="A2905" s="290" t="s">
        <v>1003</v>
      </c>
      <c r="B2905" s="290" t="s">
        <v>1004</v>
      </c>
      <c r="C2905" s="290" t="s">
        <v>1005</v>
      </c>
      <c r="D2905" s="290" t="s">
        <v>1006</v>
      </c>
      <c r="E2905" s="373" t="s">
        <v>1007</v>
      </c>
      <c r="F2905" s="363" t="s">
        <v>2637</v>
      </c>
      <c r="G2905" s="291" t="s">
        <v>2638</v>
      </c>
    </row>
    <row r="2906" spans="1:8">
      <c r="A2906" s="294" t="s">
        <v>671</v>
      </c>
      <c r="B2906" s="410" t="s">
        <v>672</v>
      </c>
      <c r="C2906" s="247"/>
      <c r="D2906" s="247"/>
      <c r="E2906" s="372"/>
      <c r="F2906" s="360"/>
      <c r="G2906" s="248"/>
    </row>
    <row r="2907" spans="1:8">
      <c r="A2907" s="294"/>
      <c r="B2907" s="410" t="s">
        <v>673</v>
      </c>
      <c r="C2907" s="247" t="s">
        <v>674</v>
      </c>
      <c r="D2907" s="247" t="s">
        <v>675</v>
      </c>
      <c r="E2907" s="372">
        <v>0.26</v>
      </c>
      <c r="F2907" s="360">
        <f>'UPAD-BAHAN-ALAT'!$I$12</f>
        <v>110000</v>
      </c>
      <c r="G2907" s="248">
        <f>F2907*E2907</f>
        <v>28600</v>
      </c>
    </row>
    <row r="2908" spans="1:8">
      <c r="A2908" s="294"/>
      <c r="B2908" s="410" t="s">
        <v>816</v>
      </c>
      <c r="C2908" s="247" t="s">
        <v>678</v>
      </c>
      <c r="D2908" s="247" t="s">
        <v>675</v>
      </c>
      <c r="E2908" s="372">
        <v>0.13</v>
      </c>
      <c r="F2908" s="360">
        <f>'UPAD-BAHAN-ALAT'!$I$13</f>
        <v>140000</v>
      </c>
      <c r="G2908" s="248">
        <f>F2908*E2908</f>
        <v>18200</v>
      </c>
    </row>
    <row r="2909" spans="1:8">
      <c r="A2909" s="294"/>
      <c r="B2909" s="410" t="s">
        <v>751</v>
      </c>
      <c r="C2909" s="247" t="s">
        <v>681</v>
      </c>
      <c r="D2909" s="247" t="s">
        <v>675</v>
      </c>
      <c r="E2909" s="372">
        <v>1.2999999999999999E-2</v>
      </c>
      <c r="F2909" s="360">
        <f>'UPAD-BAHAN-ALAT'!$I$15</f>
        <v>150000</v>
      </c>
      <c r="G2909" s="248">
        <f>F2909*E2909</f>
        <v>1950</v>
      </c>
    </row>
    <row r="2910" spans="1:8">
      <c r="A2910" s="294"/>
      <c r="B2910" s="410" t="s">
        <v>683</v>
      </c>
      <c r="C2910" s="247" t="s">
        <v>684</v>
      </c>
      <c r="D2910" s="247" t="s">
        <v>675</v>
      </c>
      <c r="E2910" s="372">
        <v>1.2999999999999999E-2</v>
      </c>
      <c r="F2910" s="360">
        <f>'UPAD-BAHAN-ALAT'!$I$14</f>
        <v>140000</v>
      </c>
      <c r="G2910" s="248">
        <f>F2910*E2910</f>
        <v>1820</v>
      </c>
    </row>
    <row r="2911" spans="1:8">
      <c r="A2911" s="294"/>
      <c r="B2911" s="410"/>
      <c r="C2911" s="247"/>
      <c r="D2911" s="247"/>
      <c r="E2911" s="1146" t="s">
        <v>685</v>
      </c>
      <c r="F2911" s="1146"/>
      <c r="G2911" s="248">
        <f>SUM(G2907:G2910)</f>
        <v>50570</v>
      </c>
    </row>
    <row r="2912" spans="1:8">
      <c r="A2912" s="294" t="s">
        <v>686</v>
      </c>
      <c r="B2912" s="410" t="s">
        <v>687</v>
      </c>
      <c r="C2912" s="247"/>
      <c r="D2912" s="247"/>
      <c r="E2912" s="372"/>
      <c r="F2912" s="360"/>
      <c r="G2912" s="248"/>
    </row>
    <row r="2913" spans="1:8">
      <c r="A2913" s="294"/>
      <c r="B2913" s="410" t="s">
        <v>1099</v>
      </c>
      <c r="C2913" s="247"/>
      <c r="D2913" s="247" t="s">
        <v>743</v>
      </c>
      <c r="E2913" s="372">
        <v>11.87</v>
      </c>
      <c r="F2913" s="360">
        <f>'UPAD-BAHAN-ALAT'!$I$239</f>
        <v>4000</v>
      </c>
      <c r="G2913" s="248">
        <f>F2913*E2913</f>
        <v>47480</v>
      </c>
    </row>
    <row r="2914" spans="1:8">
      <c r="A2914" s="294"/>
      <c r="B2914" s="410" t="s">
        <v>818</v>
      </c>
      <c r="C2914" s="247"/>
      <c r="D2914" s="247" t="s">
        <v>773</v>
      </c>
      <c r="E2914" s="372">
        <v>10</v>
      </c>
      <c r="F2914" s="360">
        <f>'UPAD-BAHAN-ALAT'!$I$77</f>
        <v>1625</v>
      </c>
      <c r="G2914" s="248">
        <f>F2914*E2914</f>
        <v>16250</v>
      </c>
    </row>
    <row r="2915" spans="1:8">
      <c r="A2915" s="294"/>
      <c r="B2915" s="410" t="s">
        <v>1100</v>
      </c>
      <c r="C2915" s="247"/>
      <c r="D2915" s="247" t="s">
        <v>690</v>
      </c>
      <c r="E2915" s="372">
        <v>1.5</v>
      </c>
      <c r="F2915" s="360">
        <f>'UPAD-BAHAN-ALAT'!$I$74/40</f>
        <v>3437.5</v>
      </c>
      <c r="G2915" s="248">
        <f>F2915*E2915</f>
        <v>5156.25</v>
      </c>
    </row>
    <row r="2916" spans="1:8">
      <c r="A2916" s="294"/>
      <c r="B2916" s="410" t="s">
        <v>739</v>
      </c>
      <c r="C2916" s="247"/>
      <c r="D2916" s="247" t="s">
        <v>881</v>
      </c>
      <c r="E2916" s="372">
        <v>4.4999999999999998E-2</v>
      </c>
      <c r="F2916" s="360">
        <f>'UPAD-BAHAN-ALAT'!$I$71</f>
        <v>176000</v>
      </c>
      <c r="G2916" s="248">
        <f>F2916*E2916</f>
        <v>7920</v>
      </c>
    </row>
    <row r="2917" spans="1:8">
      <c r="A2917" s="294"/>
      <c r="B2917" s="295"/>
      <c r="C2917" s="296"/>
      <c r="D2917" s="296"/>
      <c r="E2917" s="1146" t="s">
        <v>702</v>
      </c>
      <c r="F2917" s="1146"/>
      <c r="G2917" s="248">
        <f>SUM(G2913:G2916)</f>
        <v>76806.25</v>
      </c>
    </row>
    <row r="2918" spans="1:8" s="265" customFormat="1">
      <c r="A2918" s="294" t="s">
        <v>703</v>
      </c>
      <c r="B2918" s="1147" t="s">
        <v>3910</v>
      </c>
      <c r="C2918" s="1147"/>
      <c r="D2918" s="1147"/>
      <c r="E2918" s="1147"/>
      <c r="F2918" s="1147"/>
      <c r="G2918" s="255">
        <f>G2911+G2917</f>
        <v>127376.25</v>
      </c>
    </row>
    <row r="2919" spans="1:8" s="265" customFormat="1">
      <c r="A2919" s="294" t="s">
        <v>706</v>
      </c>
      <c r="B2919" s="1148" t="s">
        <v>876</v>
      </c>
      <c r="C2919" s="1148"/>
      <c r="D2919" s="1148"/>
      <c r="E2919" s="1147" t="s">
        <v>4030</v>
      </c>
      <c r="F2919" s="1147"/>
      <c r="G2919" s="255">
        <f>G2918*0.15</f>
        <v>19106.4375</v>
      </c>
    </row>
    <row r="2920" spans="1:8" s="265" customFormat="1">
      <c r="A2920" s="294" t="s">
        <v>708</v>
      </c>
      <c r="B2920" s="1149" t="s">
        <v>3911</v>
      </c>
      <c r="C2920" s="1149"/>
      <c r="D2920" s="1149"/>
      <c r="E2920" s="1149"/>
      <c r="F2920" s="1149"/>
      <c r="G2920" s="255">
        <f>ROUND(SUM(G2918:G2919),2)</f>
        <v>146482.69</v>
      </c>
      <c r="H2920" s="255">
        <f>SUM(G2918:G2919)</f>
        <v>146482.6875</v>
      </c>
    </row>
    <row r="2922" spans="1:8">
      <c r="A2922" s="286" t="s">
        <v>4190</v>
      </c>
      <c r="B2922" s="265" t="s">
        <v>2813</v>
      </c>
    </row>
    <row r="2923" spans="1:8" s="292" customFormat="1" ht="24.95" customHeight="1">
      <c r="A2923" s="290" t="s">
        <v>1003</v>
      </c>
      <c r="B2923" s="290" t="s">
        <v>1004</v>
      </c>
      <c r="C2923" s="290" t="s">
        <v>1005</v>
      </c>
      <c r="D2923" s="290" t="s">
        <v>1006</v>
      </c>
      <c r="E2923" s="373" t="s">
        <v>1007</v>
      </c>
      <c r="F2923" s="363" t="s">
        <v>2637</v>
      </c>
      <c r="G2923" s="291" t="s">
        <v>2638</v>
      </c>
    </row>
    <row r="2924" spans="1:8">
      <c r="A2924" s="294" t="s">
        <v>671</v>
      </c>
      <c r="B2924" s="410" t="s">
        <v>672</v>
      </c>
      <c r="C2924" s="247"/>
      <c r="D2924" s="247"/>
      <c r="E2924" s="372"/>
      <c r="F2924" s="360"/>
      <c r="G2924" s="248"/>
    </row>
    <row r="2925" spans="1:8">
      <c r="A2925" s="294"/>
      <c r="B2925" s="410" t="s">
        <v>673</v>
      </c>
      <c r="C2925" s="247" t="s">
        <v>674</v>
      </c>
      <c r="D2925" s="247" t="s">
        <v>675</v>
      </c>
      <c r="E2925" s="372">
        <v>0.27</v>
      </c>
      <c r="F2925" s="360">
        <f>'UPAD-BAHAN-ALAT'!$I$12</f>
        <v>110000</v>
      </c>
      <c r="G2925" s="248">
        <f>F2925*E2925</f>
        <v>29700.000000000004</v>
      </c>
    </row>
    <row r="2926" spans="1:8">
      <c r="A2926" s="294"/>
      <c r="B2926" s="410" t="s">
        <v>816</v>
      </c>
      <c r="C2926" s="247" t="s">
        <v>678</v>
      </c>
      <c r="D2926" s="247" t="s">
        <v>675</v>
      </c>
      <c r="E2926" s="372">
        <v>0.13500000000000001</v>
      </c>
      <c r="F2926" s="360">
        <f>'UPAD-BAHAN-ALAT'!$I$13</f>
        <v>140000</v>
      </c>
      <c r="G2926" s="248">
        <f>F2926*E2926</f>
        <v>18900</v>
      </c>
    </row>
    <row r="2927" spans="1:8">
      <c r="A2927" s="294"/>
      <c r="B2927" s="410" t="s">
        <v>751</v>
      </c>
      <c r="C2927" s="247" t="s">
        <v>681</v>
      </c>
      <c r="D2927" s="247" t="s">
        <v>675</v>
      </c>
      <c r="E2927" s="372">
        <v>1.4E-2</v>
      </c>
      <c r="F2927" s="360">
        <f>'UPAD-BAHAN-ALAT'!$I$15</f>
        <v>150000</v>
      </c>
      <c r="G2927" s="248">
        <f>F2927*E2927</f>
        <v>2100</v>
      </c>
    </row>
    <row r="2928" spans="1:8">
      <c r="A2928" s="294"/>
      <c r="B2928" s="410" t="s">
        <v>683</v>
      </c>
      <c r="C2928" s="247" t="s">
        <v>684</v>
      </c>
      <c r="D2928" s="247" t="s">
        <v>675</v>
      </c>
      <c r="E2928" s="372">
        <v>1.4E-2</v>
      </c>
      <c r="F2928" s="360">
        <f>'UPAD-BAHAN-ALAT'!$I$14</f>
        <v>140000</v>
      </c>
      <c r="G2928" s="248">
        <f>F2928*E2928</f>
        <v>1960</v>
      </c>
    </row>
    <row r="2929" spans="1:8">
      <c r="A2929" s="294"/>
      <c r="B2929" s="410"/>
      <c r="C2929" s="247"/>
      <c r="D2929" s="247"/>
      <c r="E2929" s="1146" t="s">
        <v>685</v>
      </c>
      <c r="F2929" s="1146"/>
      <c r="G2929" s="248">
        <f>SUM(G2925:G2928)</f>
        <v>52660</v>
      </c>
    </row>
    <row r="2930" spans="1:8">
      <c r="A2930" s="294" t="s">
        <v>686</v>
      </c>
      <c r="B2930" s="410" t="s">
        <v>687</v>
      </c>
      <c r="C2930" s="247"/>
      <c r="D2930" s="247"/>
      <c r="E2930" s="372"/>
      <c r="F2930" s="360"/>
      <c r="G2930" s="248"/>
    </row>
    <row r="2931" spans="1:8">
      <c r="A2931" s="294"/>
      <c r="B2931" s="410" t="s">
        <v>1099</v>
      </c>
      <c r="C2931" s="247"/>
      <c r="D2931" s="247" t="s">
        <v>743</v>
      </c>
      <c r="E2931" s="372">
        <v>26.5</v>
      </c>
      <c r="F2931" s="360">
        <f>'UPAD-BAHAN-ALAT'!$I$240</f>
        <v>3000</v>
      </c>
      <c r="G2931" s="248">
        <f>F2931*E2931</f>
        <v>79500</v>
      </c>
    </row>
    <row r="2932" spans="1:8">
      <c r="A2932" s="294"/>
      <c r="B2932" s="410" t="s">
        <v>818</v>
      </c>
      <c r="C2932" s="247"/>
      <c r="D2932" s="247" t="s">
        <v>773</v>
      </c>
      <c r="E2932" s="372">
        <v>10.4</v>
      </c>
      <c r="F2932" s="360">
        <f>'UPAD-BAHAN-ALAT'!$I$77</f>
        <v>1625</v>
      </c>
      <c r="G2932" s="248">
        <f>F2932*E2932</f>
        <v>16900</v>
      </c>
    </row>
    <row r="2933" spans="1:8">
      <c r="A2933" s="294"/>
      <c r="B2933" s="410" t="s">
        <v>1100</v>
      </c>
      <c r="C2933" s="247"/>
      <c r="D2933" s="247" t="s">
        <v>690</v>
      </c>
      <c r="E2933" s="372">
        <v>1.62</v>
      </c>
      <c r="F2933" s="360">
        <f>'UPAD-BAHAN-ALAT'!$I$74/40</f>
        <v>3437.5</v>
      </c>
      <c r="G2933" s="248">
        <f>F2933*E2933</f>
        <v>5568.75</v>
      </c>
    </row>
    <row r="2934" spans="1:8">
      <c r="A2934" s="294"/>
      <c r="B2934" s="410" t="s">
        <v>739</v>
      </c>
      <c r="C2934" s="247"/>
      <c r="D2934" s="247" t="s">
        <v>881</v>
      </c>
      <c r="E2934" s="372">
        <v>4.4999999999999998E-2</v>
      </c>
      <c r="F2934" s="360">
        <f>'UPAD-BAHAN-ALAT'!$I$71</f>
        <v>176000</v>
      </c>
      <c r="G2934" s="248">
        <f>F2934*E2934</f>
        <v>7920</v>
      </c>
    </row>
    <row r="2935" spans="1:8">
      <c r="A2935" s="294"/>
      <c r="B2935" s="295"/>
      <c r="C2935" s="296"/>
      <c r="D2935" s="296"/>
      <c r="E2935" s="1146" t="s">
        <v>702</v>
      </c>
      <c r="F2935" s="1146"/>
      <c r="G2935" s="248">
        <f>SUM(G2931:G2934)</f>
        <v>109888.75</v>
      </c>
    </row>
    <row r="2936" spans="1:8" s="265" customFormat="1">
      <c r="A2936" s="294" t="s">
        <v>703</v>
      </c>
      <c r="B2936" s="1147" t="s">
        <v>3910</v>
      </c>
      <c r="C2936" s="1147"/>
      <c r="D2936" s="1147"/>
      <c r="E2936" s="1147"/>
      <c r="F2936" s="1147"/>
      <c r="G2936" s="255">
        <f>G2929+G2935</f>
        <v>162548.75</v>
      </c>
    </row>
    <row r="2937" spans="1:8" s="265" customFormat="1">
      <c r="A2937" s="294" t="s">
        <v>706</v>
      </c>
      <c r="B2937" s="1148" t="s">
        <v>876</v>
      </c>
      <c r="C2937" s="1148"/>
      <c r="D2937" s="1148"/>
      <c r="E2937" s="1147" t="s">
        <v>4030</v>
      </c>
      <c r="F2937" s="1147"/>
      <c r="G2937" s="255">
        <f>G2936*0.15</f>
        <v>24382.3125</v>
      </c>
    </row>
    <row r="2938" spans="1:8" s="265" customFormat="1">
      <c r="A2938" s="294" t="s">
        <v>708</v>
      </c>
      <c r="B2938" s="1149" t="s">
        <v>3911</v>
      </c>
      <c r="C2938" s="1149"/>
      <c r="D2938" s="1149"/>
      <c r="E2938" s="1149"/>
      <c r="F2938" s="1149"/>
      <c r="G2938" s="255">
        <f>ROUND(SUM(G2936:G2937),2)</f>
        <v>186931.06</v>
      </c>
      <c r="H2938" s="255">
        <f>SUM(G2936:G2937)</f>
        <v>186931.0625</v>
      </c>
    </row>
    <row r="2939" spans="1:8">
      <c r="A2939" s="268"/>
      <c r="B2939" s="269"/>
      <c r="C2939" s="268"/>
      <c r="D2939" s="268"/>
      <c r="E2939" s="380"/>
      <c r="F2939" s="365"/>
      <c r="G2939" s="270"/>
    </row>
    <row r="2940" spans="1:8">
      <c r="A2940" s="285" t="s">
        <v>4191</v>
      </c>
      <c r="B2940" s="250" t="s">
        <v>2812</v>
      </c>
      <c r="C2940" s="252"/>
      <c r="D2940" s="252"/>
      <c r="E2940" s="374"/>
      <c r="F2940" s="361"/>
      <c r="G2940" s="253"/>
    </row>
    <row r="2941" spans="1:8" s="292" customFormat="1" ht="24.95" customHeight="1">
      <c r="A2941" s="290" t="s">
        <v>1003</v>
      </c>
      <c r="B2941" s="290" t="s">
        <v>1004</v>
      </c>
      <c r="C2941" s="290" t="s">
        <v>1005</v>
      </c>
      <c r="D2941" s="290" t="s">
        <v>1006</v>
      </c>
      <c r="E2941" s="373" t="s">
        <v>1007</v>
      </c>
      <c r="F2941" s="363" t="s">
        <v>2637</v>
      </c>
      <c r="G2941" s="291" t="s">
        <v>2638</v>
      </c>
    </row>
    <row r="2942" spans="1:8">
      <c r="A2942" s="294" t="s">
        <v>671</v>
      </c>
      <c r="B2942" s="410" t="s">
        <v>672</v>
      </c>
      <c r="C2942" s="247"/>
      <c r="D2942" s="247"/>
      <c r="E2942" s="372"/>
      <c r="F2942" s="360"/>
      <c r="G2942" s="248"/>
    </row>
    <row r="2943" spans="1:8">
      <c r="A2943" s="294"/>
      <c r="B2943" s="410" t="s">
        <v>673</v>
      </c>
      <c r="C2943" s="247" t="s">
        <v>674</v>
      </c>
      <c r="D2943" s="247" t="s">
        <v>675</v>
      </c>
      <c r="E2943" s="372">
        <v>0.25</v>
      </c>
      <c r="F2943" s="360">
        <f>'UPAD-BAHAN-ALAT'!$I$12</f>
        <v>110000</v>
      </c>
      <c r="G2943" s="248">
        <f>F2943*E2943</f>
        <v>27500</v>
      </c>
    </row>
    <row r="2944" spans="1:8">
      <c r="A2944" s="294"/>
      <c r="B2944" s="410" t="s">
        <v>816</v>
      </c>
      <c r="C2944" s="247" t="s">
        <v>678</v>
      </c>
      <c r="D2944" s="247" t="s">
        <v>675</v>
      </c>
      <c r="E2944" s="372">
        <v>0.125</v>
      </c>
      <c r="F2944" s="360">
        <f>'UPAD-BAHAN-ALAT'!$I$13</f>
        <v>140000</v>
      </c>
      <c r="G2944" s="248">
        <f>F2944*E2944</f>
        <v>17500</v>
      </c>
    </row>
    <row r="2945" spans="1:8">
      <c r="A2945" s="294"/>
      <c r="B2945" s="410" t="s">
        <v>751</v>
      </c>
      <c r="C2945" s="247" t="s">
        <v>681</v>
      </c>
      <c r="D2945" s="247" t="s">
        <v>675</v>
      </c>
      <c r="E2945" s="372">
        <v>1.2999999999999999E-2</v>
      </c>
      <c r="F2945" s="360">
        <f>'UPAD-BAHAN-ALAT'!$I$15</f>
        <v>150000</v>
      </c>
      <c r="G2945" s="248">
        <f>F2945*E2945</f>
        <v>1950</v>
      </c>
    </row>
    <row r="2946" spans="1:8">
      <c r="A2946" s="294"/>
      <c r="B2946" s="410" t="s">
        <v>683</v>
      </c>
      <c r="C2946" s="247" t="s">
        <v>684</v>
      </c>
      <c r="D2946" s="247" t="s">
        <v>675</v>
      </c>
      <c r="E2946" s="372">
        <v>1.2999999999999999E-2</v>
      </c>
      <c r="F2946" s="360">
        <f>'UPAD-BAHAN-ALAT'!$I$14</f>
        <v>140000</v>
      </c>
      <c r="G2946" s="248">
        <f>F2946*E2946</f>
        <v>1820</v>
      </c>
    </row>
    <row r="2947" spans="1:8">
      <c r="A2947" s="294"/>
      <c r="B2947" s="410"/>
      <c r="C2947" s="247"/>
      <c r="D2947" s="247"/>
      <c r="E2947" s="1146" t="s">
        <v>685</v>
      </c>
      <c r="F2947" s="1146"/>
      <c r="G2947" s="248">
        <f>SUM(G2943:G2946)</f>
        <v>48770</v>
      </c>
    </row>
    <row r="2948" spans="1:8">
      <c r="A2948" s="294" t="s">
        <v>686</v>
      </c>
      <c r="B2948" s="410" t="s">
        <v>687</v>
      </c>
      <c r="C2948" s="247"/>
      <c r="D2948" s="247"/>
      <c r="E2948" s="372"/>
      <c r="F2948" s="360"/>
      <c r="G2948" s="248"/>
    </row>
    <row r="2949" spans="1:8">
      <c r="A2949" s="294"/>
      <c r="B2949" s="410" t="s">
        <v>1104</v>
      </c>
      <c r="C2949" s="247"/>
      <c r="D2949" s="247" t="s">
        <v>743</v>
      </c>
      <c r="E2949" s="372">
        <v>6.63</v>
      </c>
      <c r="F2949" s="360">
        <f>'UPAD-BAHAN-ALAT'!$I$241</f>
        <v>50000</v>
      </c>
      <c r="G2949" s="248">
        <f>F2949*E2949</f>
        <v>331500</v>
      </c>
    </row>
    <row r="2950" spans="1:8">
      <c r="A2950" s="294"/>
      <c r="B2950" s="410" t="s">
        <v>818</v>
      </c>
      <c r="C2950" s="247"/>
      <c r="D2950" s="247" t="s">
        <v>773</v>
      </c>
      <c r="E2950" s="372">
        <v>9.8000000000000007</v>
      </c>
      <c r="F2950" s="360">
        <f>'UPAD-BAHAN-ALAT'!$I$77</f>
        <v>1625</v>
      </c>
      <c r="G2950" s="248">
        <f>F2950*E2950</f>
        <v>15925.000000000002</v>
      </c>
    </row>
    <row r="2951" spans="1:8">
      <c r="A2951" s="294"/>
      <c r="B2951" s="410" t="s">
        <v>1100</v>
      </c>
      <c r="C2951" s="247"/>
      <c r="D2951" s="247" t="s">
        <v>690</v>
      </c>
      <c r="E2951" s="372">
        <v>1.3</v>
      </c>
      <c r="F2951" s="360">
        <f>'UPAD-BAHAN-ALAT'!$I$74/40</f>
        <v>3437.5</v>
      </c>
      <c r="G2951" s="248">
        <f>F2951*E2951</f>
        <v>4468.75</v>
      </c>
    </row>
    <row r="2952" spans="1:8">
      <c r="A2952" s="294"/>
      <c r="B2952" s="410" t="s">
        <v>739</v>
      </c>
      <c r="C2952" s="247"/>
      <c r="D2952" s="247" t="s">
        <v>881</v>
      </c>
      <c r="E2952" s="372">
        <v>4.4999999999999998E-2</v>
      </c>
      <c r="F2952" s="360">
        <f>'UPAD-BAHAN-ALAT'!$I$71</f>
        <v>176000</v>
      </c>
      <c r="G2952" s="248">
        <f>F2952*E2952</f>
        <v>7920</v>
      </c>
    </row>
    <row r="2953" spans="1:8">
      <c r="A2953" s="294"/>
      <c r="B2953" s="295"/>
      <c r="C2953" s="296"/>
      <c r="D2953" s="296"/>
      <c r="E2953" s="1146" t="s">
        <v>702</v>
      </c>
      <c r="F2953" s="1146"/>
      <c r="G2953" s="248">
        <f>SUM(G2949:G2952)</f>
        <v>359813.75</v>
      </c>
    </row>
    <row r="2954" spans="1:8" s="265" customFormat="1">
      <c r="A2954" s="294" t="s">
        <v>703</v>
      </c>
      <c r="B2954" s="1147" t="s">
        <v>3910</v>
      </c>
      <c r="C2954" s="1147"/>
      <c r="D2954" s="1147"/>
      <c r="E2954" s="1147"/>
      <c r="F2954" s="1147"/>
      <c r="G2954" s="255">
        <f>G2947+G2953</f>
        <v>408583.75</v>
      </c>
    </row>
    <row r="2955" spans="1:8" s="265" customFormat="1">
      <c r="A2955" s="294" t="s">
        <v>706</v>
      </c>
      <c r="B2955" s="1148" t="s">
        <v>876</v>
      </c>
      <c r="C2955" s="1148"/>
      <c r="D2955" s="1148"/>
      <c r="E2955" s="1147" t="s">
        <v>4030</v>
      </c>
      <c r="F2955" s="1147"/>
      <c r="G2955" s="255">
        <f>G2954*0.15</f>
        <v>61287.5625</v>
      </c>
    </row>
    <row r="2956" spans="1:8" s="265" customFormat="1">
      <c r="A2956" s="294" t="s">
        <v>708</v>
      </c>
      <c r="B2956" s="1149" t="s">
        <v>3911</v>
      </c>
      <c r="C2956" s="1149"/>
      <c r="D2956" s="1149"/>
      <c r="E2956" s="1149"/>
      <c r="F2956" s="1149"/>
      <c r="G2956" s="255">
        <f>ROUND(SUM(G2954:G2955),2)</f>
        <v>469871.31</v>
      </c>
      <c r="H2956" s="255">
        <f>SUM(G2954:G2955)</f>
        <v>469871.3125</v>
      </c>
    </row>
    <row r="2958" spans="1:8">
      <c r="A2958" s="286" t="s">
        <v>4192</v>
      </c>
      <c r="B2958" s="265" t="s">
        <v>2811</v>
      </c>
    </row>
    <row r="2959" spans="1:8" s="292" customFormat="1" ht="24.95" customHeight="1">
      <c r="A2959" s="290" t="s">
        <v>1003</v>
      </c>
      <c r="B2959" s="290" t="s">
        <v>1004</v>
      </c>
      <c r="C2959" s="290" t="s">
        <v>1005</v>
      </c>
      <c r="D2959" s="290" t="s">
        <v>1006</v>
      </c>
      <c r="E2959" s="373" t="s">
        <v>1007</v>
      </c>
      <c r="F2959" s="363" t="s">
        <v>2637</v>
      </c>
      <c r="G2959" s="291" t="s">
        <v>2638</v>
      </c>
    </row>
    <row r="2960" spans="1:8">
      <c r="A2960" s="294" t="s">
        <v>671</v>
      </c>
      <c r="B2960" s="410" t="s">
        <v>672</v>
      </c>
      <c r="C2960" s="247"/>
      <c r="D2960" s="247"/>
      <c r="E2960" s="372"/>
      <c r="F2960" s="360"/>
      <c r="G2960" s="248"/>
    </row>
    <row r="2961" spans="1:8">
      <c r="A2961" s="294"/>
      <c r="B2961" s="410" t="s">
        <v>673</v>
      </c>
      <c r="C2961" s="247" t="s">
        <v>674</v>
      </c>
      <c r="D2961" s="247" t="s">
        <v>675</v>
      </c>
      <c r="E2961" s="372">
        <v>0.26</v>
      </c>
      <c r="F2961" s="360">
        <f>'UPAD-BAHAN-ALAT'!$I$12</f>
        <v>110000</v>
      </c>
      <c r="G2961" s="248">
        <f>F2961*E2961</f>
        <v>28600</v>
      </c>
    </row>
    <row r="2962" spans="1:8">
      <c r="A2962" s="294"/>
      <c r="B2962" s="410" t="s">
        <v>816</v>
      </c>
      <c r="C2962" s="247" t="s">
        <v>678</v>
      </c>
      <c r="D2962" s="247" t="s">
        <v>675</v>
      </c>
      <c r="E2962" s="372">
        <v>0.13</v>
      </c>
      <c r="F2962" s="360">
        <f>'UPAD-BAHAN-ALAT'!$I$13</f>
        <v>140000</v>
      </c>
      <c r="G2962" s="248">
        <f>F2962*E2962</f>
        <v>18200</v>
      </c>
    </row>
    <row r="2963" spans="1:8">
      <c r="A2963" s="294"/>
      <c r="B2963" s="410" t="s">
        <v>751</v>
      </c>
      <c r="C2963" s="247" t="s">
        <v>681</v>
      </c>
      <c r="D2963" s="247" t="s">
        <v>675</v>
      </c>
      <c r="E2963" s="372">
        <v>1.2999999999999999E-2</v>
      </c>
      <c r="F2963" s="360">
        <f>'UPAD-BAHAN-ALAT'!$I$15</f>
        <v>150000</v>
      </c>
      <c r="G2963" s="248">
        <f>F2963*E2963</f>
        <v>1950</v>
      </c>
    </row>
    <row r="2964" spans="1:8">
      <c r="A2964" s="294"/>
      <c r="B2964" s="410" t="s">
        <v>683</v>
      </c>
      <c r="C2964" s="247" t="s">
        <v>684</v>
      </c>
      <c r="D2964" s="247" t="s">
        <v>675</v>
      </c>
      <c r="E2964" s="372">
        <v>1.2999999999999999E-2</v>
      </c>
      <c r="F2964" s="360">
        <f>'UPAD-BAHAN-ALAT'!$I$14</f>
        <v>140000</v>
      </c>
      <c r="G2964" s="248">
        <f>F2964*E2964</f>
        <v>1820</v>
      </c>
    </row>
    <row r="2965" spans="1:8">
      <c r="A2965" s="294"/>
      <c r="B2965" s="410"/>
      <c r="C2965" s="247"/>
      <c r="D2965" s="247"/>
      <c r="E2965" s="1146" t="s">
        <v>685</v>
      </c>
      <c r="F2965" s="1146"/>
      <c r="G2965" s="248">
        <f>SUM(G2961:G2964)</f>
        <v>50570</v>
      </c>
    </row>
    <row r="2966" spans="1:8">
      <c r="A2966" s="294" t="s">
        <v>686</v>
      </c>
      <c r="B2966" s="410" t="s">
        <v>687</v>
      </c>
      <c r="C2966" s="247"/>
      <c r="D2966" s="247"/>
      <c r="E2966" s="372"/>
      <c r="F2966" s="360"/>
      <c r="G2966" s="248"/>
    </row>
    <row r="2967" spans="1:8">
      <c r="A2967" s="294"/>
      <c r="B2967" s="410" t="s">
        <v>1106</v>
      </c>
      <c r="C2967" s="247"/>
      <c r="D2967" s="247" t="s">
        <v>743</v>
      </c>
      <c r="E2967" s="372">
        <v>11.87</v>
      </c>
      <c r="F2967" s="360">
        <f>'UPAD-BAHAN-ALAT'!$I$242</f>
        <v>40000</v>
      </c>
      <c r="G2967" s="248">
        <f>F2967*E2967</f>
        <v>474799.99999999994</v>
      </c>
    </row>
    <row r="2968" spans="1:8">
      <c r="A2968" s="294"/>
      <c r="B2968" s="410" t="s">
        <v>818</v>
      </c>
      <c r="C2968" s="247"/>
      <c r="D2968" s="247" t="s">
        <v>773</v>
      </c>
      <c r="E2968" s="372">
        <v>10</v>
      </c>
      <c r="F2968" s="360">
        <f>'UPAD-BAHAN-ALAT'!$I$77</f>
        <v>1625</v>
      </c>
      <c r="G2968" s="248">
        <f>F2968*E2968</f>
        <v>16250</v>
      </c>
    </row>
    <row r="2969" spans="1:8">
      <c r="A2969" s="294"/>
      <c r="B2969" s="410" t="s">
        <v>1100</v>
      </c>
      <c r="C2969" s="247"/>
      <c r="D2969" s="247" t="s">
        <v>690</v>
      </c>
      <c r="E2969" s="372">
        <v>1.5</v>
      </c>
      <c r="F2969" s="360">
        <f>'UPAD-BAHAN-ALAT'!$I$74/40</f>
        <v>3437.5</v>
      </c>
      <c r="G2969" s="248">
        <f>F2969*E2969</f>
        <v>5156.25</v>
      </c>
    </row>
    <row r="2970" spans="1:8">
      <c r="A2970" s="294"/>
      <c r="B2970" s="410" t="s">
        <v>739</v>
      </c>
      <c r="C2970" s="247"/>
      <c r="D2970" s="247" t="s">
        <v>881</v>
      </c>
      <c r="E2970" s="372">
        <v>4.4999999999999998E-2</v>
      </c>
      <c r="F2970" s="360">
        <f>'UPAD-BAHAN-ALAT'!$I$71</f>
        <v>176000</v>
      </c>
      <c r="G2970" s="248">
        <f>F2970*E2970</f>
        <v>7920</v>
      </c>
    </row>
    <row r="2971" spans="1:8">
      <c r="A2971" s="294"/>
      <c r="B2971" s="295"/>
      <c r="C2971" s="296"/>
      <c r="D2971" s="296"/>
      <c r="E2971" s="1146" t="s">
        <v>702</v>
      </c>
      <c r="F2971" s="1146"/>
      <c r="G2971" s="248">
        <f>SUM(G2967:G2970)</f>
        <v>504126.24999999994</v>
      </c>
    </row>
    <row r="2972" spans="1:8" s="265" customFormat="1">
      <c r="A2972" s="294" t="s">
        <v>703</v>
      </c>
      <c r="B2972" s="1147" t="s">
        <v>3910</v>
      </c>
      <c r="C2972" s="1147"/>
      <c r="D2972" s="1147"/>
      <c r="E2972" s="1147"/>
      <c r="F2972" s="1147"/>
      <c r="G2972" s="255">
        <f>G2965+G2971</f>
        <v>554696.25</v>
      </c>
    </row>
    <row r="2973" spans="1:8" s="265" customFormat="1">
      <c r="A2973" s="294" t="s">
        <v>706</v>
      </c>
      <c r="B2973" s="1148" t="s">
        <v>876</v>
      </c>
      <c r="C2973" s="1148"/>
      <c r="D2973" s="1148"/>
      <c r="E2973" s="1147" t="s">
        <v>4030</v>
      </c>
      <c r="F2973" s="1147"/>
      <c r="G2973" s="255">
        <f>G2972*0.15</f>
        <v>83204.4375</v>
      </c>
    </row>
    <row r="2974" spans="1:8" s="265" customFormat="1">
      <c r="A2974" s="294" t="s">
        <v>708</v>
      </c>
      <c r="B2974" s="1149" t="s">
        <v>3911</v>
      </c>
      <c r="C2974" s="1149"/>
      <c r="D2974" s="1149"/>
      <c r="E2974" s="1149"/>
      <c r="F2974" s="1149"/>
      <c r="G2974" s="255">
        <f>ROUND(SUM(G2972:G2973),2)</f>
        <v>637900.68999999994</v>
      </c>
      <c r="H2974" s="255">
        <f>SUM(G2972:G2973)</f>
        <v>637900.6875</v>
      </c>
    </row>
    <row r="2975" spans="1:8">
      <c r="A2975" s="268"/>
      <c r="B2975" s="269"/>
      <c r="C2975" s="268"/>
      <c r="D2975" s="268"/>
      <c r="E2975" s="380"/>
      <c r="F2975" s="365"/>
      <c r="G2975" s="270"/>
    </row>
    <row r="2976" spans="1:8">
      <c r="A2976" s="286" t="s">
        <v>4193</v>
      </c>
      <c r="B2976" s="265" t="s">
        <v>2810</v>
      </c>
    </row>
    <row r="2977" spans="1:8" s="292" customFormat="1" ht="24.95" customHeight="1">
      <c r="A2977" s="290" t="s">
        <v>1003</v>
      </c>
      <c r="B2977" s="290" t="s">
        <v>1004</v>
      </c>
      <c r="C2977" s="290" t="s">
        <v>1005</v>
      </c>
      <c r="D2977" s="290" t="s">
        <v>1006</v>
      </c>
      <c r="E2977" s="373" t="s">
        <v>1007</v>
      </c>
      <c r="F2977" s="363" t="s">
        <v>2637</v>
      </c>
      <c r="G2977" s="291" t="s">
        <v>2638</v>
      </c>
    </row>
    <row r="2978" spans="1:8">
      <c r="A2978" s="294" t="s">
        <v>671</v>
      </c>
      <c r="B2978" s="410" t="s">
        <v>672</v>
      </c>
      <c r="C2978" s="247"/>
      <c r="D2978" s="247"/>
      <c r="E2978" s="372"/>
      <c r="F2978" s="360"/>
      <c r="G2978" s="248"/>
    </row>
    <row r="2979" spans="1:8">
      <c r="A2979" s="294"/>
      <c r="B2979" s="410" t="s">
        <v>673</v>
      </c>
      <c r="C2979" s="247" t="s">
        <v>674</v>
      </c>
      <c r="D2979" s="247" t="s">
        <v>675</v>
      </c>
      <c r="E2979" s="372">
        <v>0.7</v>
      </c>
      <c r="F2979" s="360">
        <f>'UPAD-BAHAN-ALAT'!$I$12</f>
        <v>110000</v>
      </c>
      <c r="G2979" s="248">
        <f>F2979*E2979</f>
        <v>77000</v>
      </c>
    </row>
    <row r="2980" spans="1:8">
      <c r="A2980" s="294"/>
      <c r="B2980" s="410" t="s">
        <v>816</v>
      </c>
      <c r="C2980" s="247" t="s">
        <v>678</v>
      </c>
      <c r="D2980" s="247" t="s">
        <v>675</v>
      </c>
      <c r="E2980" s="372">
        <v>0.35</v>
      </c>
      <c r="F2980" s="360">
        <f>'UPAD-BAHAN-ALAT'!$I$13</f>
        <v>140000</v>
      </c>
      <c r="G2980" s="248">
        <f>F2980*E2980</f>
        <v>49000</v>
      </c>
    </row>
    <row r="2981" spans="1:8">
      <c r="A2981" s="294"/>
      <c r="B2981" s="410" t="s">
        <v>751</v>
      </c>
      <c r="C2981" s="247" t="s">
        <v>681</v>
      </c>
      <c r="D2981" s="247" t="s">
        <v>675</v>
      </c>
      <c r="E2981" s="372">
        <v>3.5000000000000003E-2</v>
      </c>
      <c r="F2981" s="360">
        <f>'UPAD-BAHAN-ALAT'!$I$15</f>
        <v>150000</v>
      </c>
      <c r="G2981" s="248">
        <f>F2981*E2981</f>
        <v>5250.0000000000009</v>
      </c>
    </row>
    <row r="2982" spans="1:8">
      <c r="A2982" s="294"/>
      <c r="B2982" s="410" t="s">
        <v>683</v>
      </c>
      <c r="C2982" s="247" t="s">
        <v>684</v>
      </c>
      <c r="D2982" s="247" t="s">
        <v>675</v>
      </c>
      <c r="E2982" s="372">
        <v>3.5000000000000003E-2</v>
      </c>
      <c r="F2982" s="360">
        <f>'UPAD-BAHAN-ALAT'!$I$14</f>
        <v>140000</v>
      </c>
      <c r="G2982" s="248">
        <f>F2982*E2982</f>
        <v>4900.0000000000009</v>
      </c>
    </row>
    <row r="2983" spans="1:8">
      <c r="A2983" s="294"/>
      <c r="B2983" s="410"/>
      <c r="C2983" s="247"/>
      <c r="D2983" s="247"/>
      <c r="E2983" s="1146" t="s">
        <v>685</v>
      </c>
      <c r="F2983" s="1146"/>
      <c r="G2983" s="248">
        <f>SUM(G2979:G2982)</f>
        <v>136150</v>
      </c>
    </row>
    <row r="2984" spans="1:8">
      <c r="A2984" s="294" t="s">
        <v>686</v>
      </c>
      <c r="B2984" s="410" t="s">
        <v>687</v>
      </c>
      <c r="C2984" s="247"/>
      <c r="D2984" s="247"/>
      <c r="E2984" s="372"/>
      <c r="F2984" s="360"/>
      <c r="G2984" s="248"/>
    </row>
    <row r="2985" spans="1:8">
      <c r="A2985" s="294"/>
      <c r="B2985" s="410" t="s">
        <v>1134</v>
      </c>
      <c r="C2985" s="247"/>
      <c r="D2985" s="247" t="s">
        <v>743</v>
      </c>
      <c r="E2985" s="372">
        <v>53</v>
      </c>
      <c r="F2985" s="360">
        <f>'UPAD-BAHAN-ALAT'!$I$248</f>
        <v>1800</v>
      </c>
      <c r="G2985" s="248">
        <f>F2985*E2985</f>
        <v>95400</v>
      </c>
    </row>
    <row r="2986" spans="1:8">
      <c r="A2986" s="294"/>
      <c r="B2986" s="410" t="s">
        <v>818</v>
      </c>
      <c r="C2986" s="247"/>
      <c r="D2986" s="247" t="s">
        <v>690</v>
      </c>
      <c r="E2986" s="372">
        <v>8.19</v>
      </c>
      <c r="F2986" s="360">
        <f>'UPAD-BAHAN-ALAT'!$I$77</f>
        <v>1625</v>
      </c>
      <c r="G2986" s="248">
        <f>F2986*E2986</f>
        <v>13308.75</v>
      </c>
    </row>
    <row r="2987" spans="1:8">
      <c r="A2987" s="294"/>
      <c r="B2987" s="410" t="s">
        <v>739</v>
      </c>
      <c r="C2987" s="247"/>
      <c r="D2987" s="247" t="s">
        <v>881</v>
      </c>
      <c r="E2987" s="372">
        <v>4.4999999999999998E-2</v>
      </c>
      <c r="F2987" s="360">
        <f>'UPAD-BAHAN-ALAT'!$I$71</f>
        <v>176000</v>
      </c>
      <c r="G2987" s="248">
        <f>F2987*E2987</f>
        <v>7920</v>
      </c>
    </row>
    <row r="2988" spans="1:8">
      <c r="A2988" s="294"/>
      <c r="B2988" s="410" t="s">
        <v>1100</v>
      </c>
      <c r="C2988" s="247"/>
      <c r="D2988" s="247" t="s">
        <v>690</v>
      </c>
      <c r="E2988" s="372">
        <v>2.75</v>
      </c>
      <c r="F2988" s="360">
        <f>'UPAD-BAHAN-ALAT'!$I$74/40</f>
        <v>3437.5</v>
      </c>
      <c r="G2988" s="248">
        <f>F2988*E2988</f>
        <v>9453.125</v>
      </c>
    </row>
    <row r="2989" spans="1:8">
      <c r="A2989" s="294"/>
      <c r="B2989" s="295"/>
      <c r="C2989" s="296"/>
      <c r="D2989" s="296"/>
      <c r="E2989" s="1146" t="s">
        <v>702</v>
      </c>
      <c r="F2989" s="1146"/>
      <c r="G2989" s="248">
        <f>SUM(G2985:G2988)</f>
        <v>126081.875</v>
      </c>
    </row>
    <row r="2990" spans="1:8" s="265" customFormat="1">
      <c r="A2990" s="294" t="s">
        <v>703</v>
      </c>
      <c r="B2990" s="1147" t="s">
        <v>3910</v>
      </c>
      <c r="C2990" s="1147"/>
      <c r="D2990" s="1147"/>
      <c r="E2990" s="1147"/>
      <c r="F2990" s="1147"/>
      <c r="G2990" s="255">
        <f>G2983+G2989</f>
        <v>262231.875</v>
      </c>
    </row>
    <row r="2991" spans="1:8" s="265" customFormat="1">
      <c r="A2991" s="294" t="s">
        <v>706</v>
      </c>
      <c r="B2991" s="1148" t="s">
        <v>876</v>
      </c>
      <c r="C2991" s="1148"/>
      <c r="D2991" s="1148"/>
      <c r="E2991" s="1147" t="s">
        <v>4030</v>
      </c>
      <c r="F2991" s="1147"/>
      <c r="G2991" s="255">
        <f>G2990*0.15</f>
        <v>39334.78125</v>
      </c>
    </row>
    <row r="2992" spans="1:8" s="265" customFormat="1">
      <c r="A2992" s="294" t="s">
        <v>708</v>
      </c>
      <c r="B2992" s="1149" t="s">
        <v>3911</v>
      </c>
      <c r="C2992" s="1149"/>
      <c r="D2992" s="1149"/>
      <c r="E2992" s="1149"/>
      <c r="F2992" s="1149"/>
      <c r="G2992" s="255">
        <f>ROUND(SUM(G2990:G2991),2)</f>
        <v>301566.65999999997</v>
      </c>
      <c r="H2992" s="255">
        <f>SUM(G2990:G2991)</f>
        <v>301566.65625</v>
      </c>
    </row>
    <row r="2993" spans="1:7">
      <c r="A2993" s="268"/>
      <c r="B2993" s="269"/>
      <c r="C2993" s="268"/>
      <c r="D2993" s="268"/>
      <c r="E2993" s="380"/>
      <c r="F2993" s="365"/>
      <c r="G2993" s="270"/>
    </row>
    <row r="2994" spans="1:7">
      <c r="A2994" s="285" t="s">
        <v>4194</v>
      </c>
      <c r="B2994" s="250" t="s">
        <v>2809</v>
      </c>
      <c r="C2994" s="252"/>
      <c r="D2994" s="252"/>
      <c r="E2994" s="374"/>
      <c r="F2994" s="361"/>
      <c r="G2994" s="253"/>
    </row>
    <row r="2995" spans="1:7" s="292" customFormat="1" ht="24.95" customHeight="1">
      <c r="A2995" s="290" t="s">
        <v>1003</v>
      </c>
      <c r="B2995" s="290" t="s">
        <v>1004</v>
      </c>
      <c r="C2995" s="290" t="s">
        <v>1005</v>
      </c>
      <c r="D2995" s="290" t="s">
        <v>1006</v>
      </c>
      <c r="E2995" s="373" t="s">
        <v>1007</v>
      </c>
      <c r="F2995" s="363" t="s">
        <v>2637</v>
      </c>
      <c r="G2995" s="291" t="s">
        <v>2638</v>
      </c>
    </row>
    <row r="2996" spans="1:7">
      <c r="A2996" s="294" t="s">
        <v>671</v>
      </c>
      <c r="B2996" s="410" t="s">
        <v>672</v>
      </c>
      <c r="C2996" s="247"/>
      <c r="D2996" s="247"/>
      <c r="E2996" s="372"/>
      <c r="F2996" s="360"/>
      <c r="G2996" s="248"/>
    </row>
    <row r="2997" spans="1:7">
      <c r="A2997" s="294"/>
      <c r="B2997" s="410" t="s">
        <v>673</v>
      </c>
      <c r="C2997" s="247" t="s">
        <v>674</v>
      </c>
      <c r="D2997" s="247" t="s">
        <v>675</v>
      </c>
      <c r="E2997" s="372">
        <v>0.7</v>
      </c>
      <c r="F2997" s="360">
        <f>'UPAD-BAHAN-ALAT'!$I$12</f>
        <v>110000</v>
      </c>
      <c r="G2997" s="248">
        <f>F2997*E2997</f>
        <v>77000</v>
      </c>
    </row>
    <row r="2998" spans="1:7">
      <c r="A2998" s="294"/>
      <c r="B2998" s="410" t="s">
        <v>816</v>
      </c>
      <c r="C2998" s="247" t="s">
        <v>678</v>
      </c>
      <c r="D2998" s="247" t="s">
        <v>675</v>
      </c>
      <c r="E2998" s="372">
        <v>0.35</v>
      </c>
      <c r="F2998" s="360">
        <f>'UPAD-BAHAN-ALAT'!$I$13</f>
        <v>140000</v>
      </c>
      <c r="G2998" s="248">
        <f>F2998*E2998</f>
        <v>49000</v>
      </c>
    </row>
    <row r="2999" spans="1:7">
      <c r="A2999" s="294"/>
      <c r="B2999" s="410" t="s">
        <v>751</v>
      </c>
      <c r="C2999" s="247" t="s">
        <v>681</v>
      </c>
      <c r="D2999" s="247" t="s">
        <v>675</v>
      </c>
      <c r="E2999" s="372">
        <v>3.5000000000000003E-2</v>
      </c>
      <c r="F2999" s="360">
        <f>'UPAD-BAHAN-ALAT'!$I$15</f>
        <v>150000</v>
      </c>
      <c r="G2999" s="248">
        <f>F2999*E2999</f>
        <v>5250.0000000000009</v>
      </c>
    </row>
    <row r="3000" spans="1:7">
      <c r="A3000" s="294"/>
      <c r="B3000" s="410" t="s">
        <v>683</v>
      </c>
      <c r="C3000" s="247" t="s">
        <v>684</v>
      </c>
      <c r="D3000" s="247" t="s">
        <v>675</v>
      </c>
      <c r="E3000" s="372">
        <v>3.5000000000000003E-2</v>
      </c>
      <c r="F3000" s="360">
        <f>'UPAD-BAHAN-ALAT'!$I$14</f>
        <v>140000</v>
      </c>
      <c r="G3000" s="248">
        <f>F3000*E3000</f>
        <v>4900.0000000000009</v>
      </c>
    </row>
    <row r="3001" spans="1:7">
      <c r="A3001" s="294"/>
      <c r="B3001" s="410"/>
      <c r="C3001" s="247"/>
      <c r="D3001" s="247"/>
      <c r="E3001" s="1146" t="s">
        <v>685</v>
      </c>
      <c r="F3001" s="1146"/>
      <c r="G3001" s="248">
        <f>SUM(G2997:G3000)</f>
        <v>136150</v>
      </c>
    </row>
    <row r="3002" spans="1:7">
      <c r="A3002" s="294" t="s">
        <v>686</v>
      </c>
      <c r="B3002" s="410" t="s">
        <v>687</v>
      </c>
      <c r="C3002" s="247"/>
      <c r="D3002" s="247"/>
      <c r="E3002" s="372"/>
      <c r="F3002" s="360"/>
      <c r="G3002" s="248"/>
    </row>
    <row r="3003" spans="1:7">
      <c r="A3003" s="294"/>
      <c r="B3003" s="410" t="s">
        <v>1134</v>
      </c>
      <c r="C3003" s="247"/>
      <c r="D3003" s="247" t="s">
        <v>743</v>
      </c>
      <c r="E3003" s="372">
        <v>106</v>
      </c>
      <c r="F3003" s="360">
        <f>'UPAD-BAHAN-ALAT'!$I$247</f>
        <v>1000</v>
      </c>
      <c r="G3003" s="248">
        <f>F3003*E3003</f>
        <v>106000</v>
      </c>
    </row>
    <row r="3004" spans="1:7">
      <c r="A3004" s="294"/>
      <c r="B3004" s="410" t="s">
        <v>818</v>
      </c>
      <c r="C3004" s="247"/>
      <c r="D3004" s="247" t="s">
        <v>690</v>
      </c>
      <c r="E3004" s="372">
        <v>8.19</v>
      </c>
      <c r="F3004" s="360">
        <f>'UPAD-BAHAN-ALAT'!$I$77</f>
        <v>1625</v>
      </c>
      <c r="G3004" s="248">
        <f>F3004*E3004</f>
        <v>13308.75</v>
      </c>
    </row>
    <row r="3005" spans="1:7">
      <c r="A3005" s="294"/>
      <c r="B3005" s="410" t="s">
        <v>739</v>
      </c>
      <c r="C3005" s="247"/>
      <c r="D3005" s="247" t="s">
        <v>881</v>
      </c>
      <c r="E3005" s="372">
        <v>4.4999999999999998E-2</v>
      </c>
      <c r="F3005" s="360">
        <f>'UPAD-BAHAN-ALAT'!$I$71</f>
        <v>176000</v>
      </c>
      <c r="G3005" s="248">
        <f>F3005*E3005</f>
        <v>7920</v>
      </c>
    </row>
    <row r="3006" spans="1:7">
      <c r="A3006" s="294"/>
      <c r="B3006" s="410" t="s">
        <v>1100</v>
      </c>
      <c r="C3006" s="247"/>
      <c r="D3006" s="247" t="s">
        <v>690</v>
      </c>
      <c r="E3006" s="372">
        <v>3.2</v>
      </c>
      <c r="F3006" s="360">
        <f>'UPAD-BAHAN-ALAT'!$I$74/40</f>
        <v>3437.5</v>
      </c>
      <c r="G3006" s="248">
        <f>F3006*E3006</f>
        <v>11000</v>
      </c>
    </row>
    <row r="3007" spans="1:7">
      <c r="A3007" s="294"/>
      <c r="B3007" s="295"/>
      <c r="C3007" s="296"/>
      <c r="D3007" s="296"/>
      <c r="E3007" s="1146" t="s">
        <v>702</v>
      </c>
      <c r="F3007" s="1146"/>
      <c r="G3007" s="248">
        <f>SUM(G3003:G3006)</f>
        <v>138228.75</v>
      </c>
    </row>
    <row r="3008" spans="1:7" s="265" customFormat="1">
      <c r="A3008" s="294" t="s">
        <v>703</v>
      </c>
      <c r="B3008" s="1147" t="s">
        <v>3910</v>
      </c>
      <c r="C3008" s="1147"/>
      <c r="D3008" s="1147"/>
      <c r="E3008" s="1147"/>
      <c r="F3008" s="1147"/>
      <c r="G3008" s="255">
        <f>G3001+G3007</f>
        <v>274378.75</v>
      </c>
    </row>
    <row r="3009" spans="1:8" s="265" customFormat="1">
      <c r="A3009" s="294" t="s">
        <v>706</v>
      </c>
      <c r="B3009" s="1148" t="s">
        <v>876</v>
      </c>
      <c r="C3009" s="1148"/>
      <c r="D3009" s="1148"/>
      <c r="E3009" s="1147" t="s">
        <v>4030</v>
      </c>
      <c r="F3009" s="1147"/>
      <c r="G3009" s="255">
        <f>G3008*0.15</f>
        <v>41156.8125</v>
      </c>
    </row>
    <row r="3010" spans="1:8" s="265" customFormat="1">
      <c r="A3010" s="294" t="s">
        <v>708</v>
      </c>
      <c r="B3010" s="1149" t="s">
        <v>3911</v>
      </c>
      <c r="C3010" s="1149"/>
      <c r="D3010" s="1149"/>
      <c r="E3010" s="1149"/>
      <c r="F3010" s="1149"/>
      <c r="G3010" s="255">
        <f>ROUND(SUM(G3008:G3009),2)</f>
        <v>315535.56</v>
      </c>
      <c r="H3010" s="255">
        <f>SUM(G3008:G3009)</f>
        <v>315535.5625</v>
      </c>
    </row>
    <row r="3012" spans="1:8">
      <c r="A3012" s="600" t="s">
        <v>4195</v>
      </c>
      <c r="B3012" s="265" t="s">
        <v>2808</v>
      </c>
    </row>
    <row r="3013" spans="1:8" s="292" customFormat="1" ht="24.95" customHeight="1">
      <c r="A3013" s="290" t="s">
        <v>1003</v>
      </c>
      <c r="B3013" s="290" t="s">
        <v>1004</v>
      </c>
      <c r="C3013" s="290" t="s">
        <v>1005</v>
      </c>
      <c r="D3013" s="290" t="s">
        <v>1006</v>
      </c>
      <c r="E3013" s="373" t="s">
        <v>1007</v>
      </c>
      <c r="F3013" s="363" t="s">
        <v>2637</v>
      </c>
      <c r="G3013" s="291" t="s">
        <v>2638</v>
      </c>
    </row>
    <row r="3014" spans="1:8">
      <c r="A3014" s="294" t="s">
        <v>671</v>
      </c>
      <c r="B3014" s="410" t="s">
        <v>672</v>
      </c>
      <c r="C3014" s="247"/>
      <c r="D3014" s="247"/>
      <c r="E3014" s="372"/>
      <c r="F3014" s="360"/>
      <c r="G3014" s="248"/>
    </row>
    <row r="3015" spans="1:8">
      <c r="A3015" s="294"/>
      <c r="B3015" s="410" t="s">
        <v>673</v>
      </c>
      <c r="C3015" s="247" t="s">
        <v>674</v>
      </c>
      <c r="D3015" s="247" t="s">
        <v>675</v>
      </c>
      <c r="E3015" s="372">
        <v>0.7</v>
      </c>
      <c r="F3015" s="360">
        <f>'UPAD-BAHAN-ALAT'!$I$12</f>
        <v>110000</v>
      </c>
      <c r="G3015" s="248">
        <f>F3015*E3015</f>
        <v>77000</v>
      </c>
    </row>
    <row r="3016" spans="1:8">
      <c r="A3016" s="294"/>
      <c r="B3016" s="410" t="s">
        <v>816</v>
      </c>
      <c r="C3016" s="247" t="s">
        <v>678</v>
      </c>
      <c r="D3016" s="247" t="s">
        <v>675</v>
      </c>
      <c r="E3016" s="372">
        <v>0.35</v>
      </c>
      <c r="F3016" s="360">
        <f>'UPAD-BAHAN-ALAT'!$I$13</f>
        <v>140000</v>
      </c>
      <c r="G3016" s="248">
        <f>F3016*E3016</f>
        <v>49000</v>
      </c>
    </row>
    <row r="3017" spans="1:8">
      <c r="A3017" s="294"/>
      <c r="B3017" s="410" t="s">
        <v>751</v>
      </c>
      <c r="C3017" s="247" t="s">
        <v>681</v>
      </c>
      <c r="D3017" s="247" t="s">
        <v>675</v>
      </c>
      <c r="E3017" s="372">
        <v>3.5000000000000003E-2</v>
      </c>
      <c r="F3017" s="360">
        <f>'UPAD-BAHAN-ALAT'!$I$15</f>
        <v>150000</v>
      </c>
      <c r="G3017" s="248">
        <f>F3017*E3017</f>
        <v>5250.0000000000009</v>
      </c>
    </row>
    <row r="3018" spans="1:8">
      <c r="A3018" s="294"/>
      <c r="B3018" s="410" t="s">
        <v>683</v>
      </c>
      <c r="C3018" s="247" t="s">
        <v>684</v>
      </c>
      <c r="D3018" s="247" t="s">
        <v>675</v>
      </c>
      <c r="E3018" s="372">
        <v>3.5000000000000003E-2</v>
      </c>
      <c r="F3018" s="360">
        <f>'UPAD-BAHAN-ALAT'!$I$14</f>
        <v>140000</v>
      </c>
      <c r="G3018" s="248">
        <f>F3018*E3018</f>
        <v>4900.0000000000009</v>
      </c>
    </row>
    <row r="3019" spans="1:8">
      <c r="A3019" s="294"/>
      <c r="B3019" s="410"/>
      <c r="C3019" s="247"/>
      <c r="D3019" s="247"/>
      <c r="E3019" s="1146" t="s">
        <v>685</v>
      </c>
      <c r="F3019" s="1146"/>
      <c r="G3019" s="248">
        <f>SUM(G3015:G3018)</f>
        <v>136150</v>
      </c>
    </row>
    <row r="3020" spans="1:8">
      <c r="A3020" s="294" t="s">
        <v>686</v>
      </c>
      <c r="B3020" s="410" t="s">
        <v>687</v>
      </c>
      <c r="C3020" s="247"/>
      <c r="D3020" s="247"/>
      <c r="E3020" s="372"/>
      <c r="F3020" s="360"/>
      <c r="G3020" s="248"/>
    </row>
    <row r="3021" spans="1:8">
      <c r="A3021" s="294"/>
      <c r="B3021" s="410" t="s">
        <v>1134</v>
      </c>
      <c r="C3021" s="247"/>
      <c r="D3021" s="247" t="s">
        <v>743</v>
      </c>
      <c r="E3021" s="372">
        <v>10</v>
      </c>
      <c r="F3021" s="360">
        <f>'UPAD-BAHAN-ALAT'!$I$254</f>
        <v>7310</v>
      </c>
      <c r="G3021" s="248">
        <f>F3021*E3021</f>
        <v>73100</v>
      </c>
    </row>
    <row r="3022" spans="1:8">
      <c r="A3022" s="294"/>
      <c r="B3022" s="410" t="s">
        <v>738</v>
      </c>
      <c r="C3022" s="247"/>
      <c r="D3022" s="247" t="s">
        <v>690</v>
      </c>
      <c r="E3022" s="372">
        <v>8.19</v>
      </c>
      <c r="F3022" s="360">
        <f>'UPAD-BAHAN-ALAT'!$I$77</f>
        <v>1625</v>
      </c>
      <c r="G3022" s="248">
        <f>F3022*E3022</f>
        <v>13308.75</v>
      </c>
    </row>
    <row r="3023" spans="1:8">
      <c r="A3023" s="294"/>
      <c r="B3023" s="410" t="s">
        <v>739</v>
      </c>
      <c r="C3023" s="247"/>
      <c r="D3023" s="247" t="s">
        <v>881</v>
      </c>
      <c r="E3023" s="372">
        <v>4.4999999999999998E-2</v>
      </c>
      <c r="F3023" s="360">
        <f>'UPAD-BAHAN-ALAT'!$I$71</f>
        <v>176000</v>
      </c>
      <c r="G3023" s="248">
        <f>F3023*E3023</f>
        <v>7920</v>
      </c>
    </row>
    <row r="3024" spans="1:8">
      <c r="A3024" s="294"/>
      <c r="B3024" s="410" t="s">
        <v>1100</v>
      </c>
      <c r="C3024" s="247"/>
      <c r="D3024" s="247" t="s">
        <v>690</v>
      </c>
      <c r="E3024" s="372">
        <v>1.62</v>
      </c>
      <c r="F3024" s="360">
        <f>'UPAD-BAHAN-ALAT'!$I$74/40</f>
        <v>3437.5</v>
      </c>
      <c r="G3024" s="248">
        <f>F3024*E3024</f>
        <v>5568.75</v>
      </c>
    </row>
    <row r="3025" spans="1:8">
      <c r="A3025" s="294"/>
      <c r="B3025" s="295"/>
      <c r="C3025" s="296"/>
      <c r="D3025" s="296"/>
      <c r="E3025" s="1146" t="s">
        <v>702</v>
      </c>
      <c r="F3025" s="1146"/>
      <c r="G3025" s="248">
        <f>SUM(G3021:G3024)</f>
        <v>99897.5</v>
      </c>
    </row>
    <row r="3026" spans="1:8" s="265" customFormat="1">
      <c r="A3026" s="294" t="s">
        <v>703</v>
      </c>
      <c r="B3026" s="1147" t="s">
        <v>3910</v>
      </c>
      <c r="C3026" s="1147"/>
      <c r="D3026" s="1147"/>
      <c r="E3026" s="1147"/>
      <c r="F3026" s="1147"/>
      <c r="G3026" s="255">
        <f>G3019+G3025</f>
        <v>236047.5</v>
      </c>
    </row>
    <row r="3027" spans="1:8" s="265" customFormat="1">
      <c r="A3027" s="294" t="s">
        <v>706</v>
      </c>
      <c r="B3027" s="1148" t="s">
        <v>876</v>
      </c>
      <c r="C3027" s="1148"/>
      <c r="D3027" s="1148"/>
      <c r="E3027" s="1147" t="s">
        <v>4030</v>
      </c>
      <c r="F3027" s="1147"/>
      <c r="G3027" s="255">
        <f>G3026*0.15</f>
        <v>35407.125</v>
      </c>
    </row>
    <row r="3028" spans="1:8" s="265" customFormat="1">
      <c r="A3028" s="294" t="s">
        <v>708</v>
      </c>
      <c r="B3028" s="1149" t="s">
        <v>3911</v>
      </c>
      <c r="C3028" s="1149"/>
      <c r="D3028" s="1149"/>
      <c r="E3028" s="1149"/>
      <c r="F3028" s="1149"/>
      <c r="G3028" s="255">
        <f>ROUND(SUM(G3026:G3027),2)</f>
        <v>271454.63</v>
      </c>
      <c r="H3028" s="255">
        <f>SUM(G3026:G3027)</f>
        <v>271454.625</v>
      </c>
    </row>
    <row r="3029" spans="1:8">
      <c r="A3029" s="268"/>
      <c r="B3029" s="269"/>
      <c r="C3029" s="268"/>
      <c r="D3029" s="268"/>
      <c r="E3029" s="380"/>
      <c r="F3029" s="365"/>
      <c r="G3029" s="270"/>
    </row>
    <row r="3030" spans="1:8">
      <c r="A3030" s="285" t="s">
        <v>4196</v>
      </c>
      <c r="B3030" s="250" t="s">
        <v>2807</v>
      </c>
      <c r="C3030" s="252"/>
      <c r="D3030" s="252"/>
      <c r="E3030" s="374"/>
      <c r="F3030" s="361"/>
      <c r="G3030" s="253"/>
    </row>
    <row r="3031" spans="1:8" s="292" customFormat="1" ht="24.95" customHeight="1">
      <c r="A3031" s="290" t="s">
        <v>1003</v>
      </c>
      <c r="B3031" s="290" t="s">
        <v>1004</v>
      </c>
      <c r="C3031" s="290" t="s">
        <v>1005</v>
      </c>
      <c r="D3031" s="290" t="s">
        <v>1006</v>
      </c>
      <c r="E3031" s="373" t="s">
        <v>1007</v>
      </c>
      <c r="F3031" s="363" t="s">
        <v>2637</v>
      </c>
      <c r="G3031" s="291" t="s">
        <v>2638</v>
      </c>
    </row>
    <row r="3032" spans="1:8">
      <c r="A3032" s="294" t="s">
        <v>671</v>
      </c>
      <c r="B3032" s="410" t="s">
        <v>672</v>
      </c>
      <c r="C3032" s="247"/>
      <c r="D3032" s="247"/>
      <c r="E3032" s="372"/>
      <c r="F3032" s="360"/>
      <c r="G3032" s="248"/>
    </row>
    <row r="3033" spans="1:8">
      <c r="A3033" s="294"/>
      <c r="B3033" s="410" t="s">
        <v>673</v>
      </c>
      <c r="C3033" s="247" t="s">
        <v>674</v>
      </c>
      <c r="D3033" s="247" t="s">
        <v>675</v>
      </c>
      <c r="E3033" s="372">
        <v>0.7</v>
      </c>
      <c r="F3033" s="360">
        <f>'UPAD-BAHAN-ALAT'!$I$12</f>
        <v>110000</v>
      </c>
      <c r="G3033" s="248">
        <f>F3033*E3033</f>
        <v>77000</v>
      </c>
    </row>
    <row r="3034" spans="1:8">
      <c r="A3034" s="294"/>
      <c r="B3034" s="410" t="s">
        <v>816</v>
      </c>
      <c r="C3034" s="247" t="s">
        <v>678</v>
      </c>
      <c r="D3034" s="247" t="s">
        <v>675</v>
      </c>
      <c r="E3034" s="372">
        <v>0.35</v>
      </c>
      <c r="F3034" s="360">
        <f>'UPAD-BAHAN-ALAT'!$I$13</f>
        <v>140000</v>
      </c>
      <c r="G3034" s="248">
        <f>F3034*E3034</f>
        <v>49000</v>
      </c>
    </row>
    <row r="3035" spans="1:8">
      <c r="A3035" s="294"/>
      <c r="B3035" s="410" t="s">
        <v>751</v>
      </c>
      <c r="C3035" s="247" t="s">
        <v>681</v>
      </c>
      <c r="D3035" s="247" t="s">
        <v>675</v>
      </c>
      <c r="E3035" s="372">
        <v>3.5000000000000003E-2</v>
      </c>
      <c r="F3035" s="360">
        <f>'UPAD-BAHAN-ALAT'!$I$15</f>
        <v>150000</v>
      </c>
      <c r="G3035" s="248">
        <f>F3035*E3035</f>
        <v>5250.0000000000009</v>
      </c>
    </row>
    <row r="3036" spans="1:8">
      <c r="A3036" s="294"/>
      <c r="B3036" s="410" t="s">
        <v>683</v>
      </c>
      <c r="C3036" s="247" t="s">
        <v>684</v>
      </c>
      <c r="D3036" s="247" t="s">
        <v>675</v>
      </c>
      <c r="E3036" s="372">
        <v>3.5000000000000003E-2</v>
      </c>
      <c r="F3036" s="360">
        <f>'UPAD-BAHAN-ALAT'!$I$14</f>
        <v>140000</v>
      </c>
      <c r="G3036" s="248">
        <f>F3036*E3036</f>
        <v>4900.0000000000009</v>
      </c>
    </row>
    <row r="3037" spans="1:8">
      <c r="A3037" s="294"/>
      <c r="B3037" s="410"/>
      <c r="C3037" s="247"/>
      <c r="D3037" s="247"/>
      <c r="E3037" s="1146" t="s">
        <v>685</v>
      </c>
      <c r="F3037" s="1146"/>
      <c r="G3037" s="248">
        <f>SUM(G3033:G3036)</f>
        <v>136150</v>
      </c>
    </row>
    <row r="3038" spans="1:8">
      <c r="A3038" s="294" t="s">
        <v>686</v>
      </c>
      <c r="B3038" s="410" t="s">
        <v>687</v>
      </c>
      <c r="C3038" s="247"/>
      <c r="D3038" s="247"/>
      <c r="E3038" s="372"/>
      <c r="F3038" s="360"/>
      <c r="G3038" s="248"/>
    </row>
    <row r="3039" spans="1:8">
      <c r="A3039" s="294"/>
      <c r="B3039" s="410" t="s">
        <v>1134</v>
      </c>
      <c r="C3039" s="247"/>
      <c r="D3039" s="247" t="s">
        <v>743</v>
      </c>
      <c r="E3039" s="372">
        <v>11.87</v>
      </c>
      <c r="F3039" s="360">
        <f>'UPAD-BAHAN-ALAT'!$I$252</f>
        <v>6650</v>
      </c>
      <c r="G3039" s="248">
        <f>F3039*E3039</f>
        <v>78935.5</v>
      </c>
    </row>
    <row r="3040" spans="1:8">
      <c r="A3040" s="294"/>
      <c r="B3040" s="410" t="s">
        <v>738</v>
      </c>
      <c r="C3040" s="247"/>
      <c r="D3040" s="247" t="s">
        <v>690</v>
      </c>
      <c r="E3040" s="372">
        <v>10</v>
      </c>
      <c r="F3040" s="360">
        <f>'UPAD-BAHAN-ALAT'!$I$77</f>
        <v>1625</v>
      </c>
      <c r="G3040" s="248">
        <f>F3040*E3040</f>
        <v>16250</v>
      </c>
    </row>
    <row r="3041" spans="1:8">
      <c r="A3041" s="294"/>
      <c r="B3041" s="410" t="s">
        <v>739</v>
      </c>
      <c r="C3041" s="247"/>
      <c r="D3041" s="247" t="s">
        <v>881</v>
      </c>
      <c r="E3041" s="372">
        <v>4.4999999999999998E-2</v>
      </c>
      <c r="F3041" s="360">
        <f>'UPAD-BAHAN-ALAT'!$I$71</f>
        <v>176000</v>
      </c>
      <c r="G3041" s="248">
        <f>F3041*E3041</f>
        <v>7920</v>
      </c>
    </row>
    <row r="3042" spans="1:8">
      <c r="A3042" s="294"/>
      <c r="B3042" s="410" t="s">
        <v>1100</v>
      </c>
      <c r="C3042" s="247"/>
      <c r="D3042" s="247" t="s">
        <v>690</v>
      </c>
      <c r="E3042" s="372">
        <v>1.5</v>
      </c>
      <c r="F3042" s="360">
        <f>'UPAD-BAHAN-ALAT'!$I$74/40</f>
        <v>3437.5</v>
      </c>
      <c r="G3042" s="248">
        <f>F3042*E3042</f>
        <v>5156.25</v>
      </c>
    </row>
    <row r="3043" spans="1:8">
      <c r="A3043" s="294"/>
      <c r="B3043" s="295"/>
      <c r="C3043" s="296"/>
      <c r="D3043" s="296"/>
      <c r="E3043" s="1146" t="s">
        <v>702</v>
      </c>
      <c r="F3043" s="1146"/>
      <c r="G3043" s="248">
        <f>SUM(G3039:G3042)</f>
        <v>108261.75</v>
      </c>
    </row>
    <row r="3044" spans="1:8" s="265" customFormat="1">
      <c r="A3044" s="294" t="s">
        <v>703</v>
      </c>
      <c r="B3044" s="1147" t="s">
        <v>3910</v>
      </c>
      <c r="C3044" s="1147"/>
      <c r="D3044" s="1147"/>
      <c r="E3044" s="1147"/>
      <c r="F3044" s="1147"/>
      <c r="G3044" s="255">
        <f>G3037+G3043</f>
        <v>244411.75</v>
      </c>
    </row>
    <row r="3045" spans="1:8" s="265" customFormat="1">
      <c r="A3045" s="294" t="s">
        <v>706</v>
      </c>
      <c r="B3045" s="1148" t="s">
        <v>876</v>
      </c>
      <c r="C3045" s="1148"/>
      <c r="D3045" s="1148"/>
      <c r="E3045" s="1147" t="s">
        <v>4030</v>
      </c>
      <c r="F3045" s="1147"/>
      <c r="G3045" s="255">
        <f>G3044*0.15</f>
        <v>36661.762499999997</v>
      </c>
    </row>
    <row r="3046" spans="1:8" s="265" customFormat="1">
      <c r="A3046" s="294" t="s">
        <v>708</v>
      </c>
      <c r="B3046" s="1149" t="s">
        <v>3911</v>
      </c>
      <c r="C3046" s="1149"/>
      <c r="D3046" s="1149"/>
      <c r="E3046" s="1149"/>
      <c r="F3046" s="1149"/>
      <c r="G3046" s="255">
        <f>ROUND(SUM(G3044:G3045),2)</f>
        <v>281073.51</v>
      </c>
      <c r="H3046" s="255">
        <f>SUM(G3044:G3045)</f>
        <v>281073.51250000001</v>
      </c>
    </row>
    <row r="3048" spans="1:8">
      <c r="A3048" s="286" t="s">
        <v>4197</v>
      </c>
      <c r="B3048" s="265" t="s">
        <v>2806</v>
      </c>
    </row>
    <row r="3049" spans="1:8" s="292" customFormat="1" ht="24.95" customHeight="1">
      <c r="A3049" s="290" t="s">
        <v>1003</v>
      </c>
      <c r="B3049" s="290" t="s">
        <v>1004</v>
      </c>
      <c r="C3049" s="290" t="s">
        <v>1005</v>
      </c>
      <c r="D3049" s="290" t="s">
        <v>1006</v>
      </c>
      <c r="E3049" s="373" t="s">
        <v>1007</v>
      </c>
      <c r="F3049" s="363" t="s">
        <v>2637</v>
      </c>
      <c r="G3049" s="291" t="s">
        <v>2638</v>
      </c>
    </row>
    <row r="3050" spans="1:8">
      <c r="A3050" s="294" t="s">
        <v>671</v>
      </c>
      <c r="B3050" s="410" t="s">
        <v>672</v>
      </c>
      <c r="C3050" s="247"/>
      <c r="D3050" s="247"/>
      <c r="E3050" s="372"/>
      <c r="F3050" s="360"/>
      <c r="G3050" s="248"/>
    </row>
    <row r="3051" spans="1:8">
      <c r="A3051" s="294"/>
      <c r="B3051" s="410" t="s">
        <v>673</v>
      </c>
      <c r="C3051" s="247" t="s">
        <v>674</v>
      </c>
      <c r="D3051" s="247" t="s">
        <v>675</v>
      </c>
      <c r="E3051" s="372">
        <v>0.7</v>
      </c>
      <c r="F3051" s="360">
        <f>'UPAD-BAHAN-ALAT'!$I$12</f>
        <v>110000</v>
      </c>
      <c r="G3051" s="248">
        <f>F3051*E3051</f>
        <v>77000</v>
      </c>
    </row>
    <row r="3052" spans="1:8">
      <c r="A3052" s="294"/>
      <c r="B3052" s="410" t="s">
        <v>816</v>
      </c>
      <c r="C3052" s="247" t="s">
        <v>678</v>
      </c>
      <c r="D3052" s="247" t="s">
        <v>675</v>
      </c>
      <c r="E3052" s="372">
        <v>0.35</v>
      </c>
      <c r="F3052" s="360">
        <f>'UPAD-BAHAN-ALAT'!$I$13</f>
        <v>140000</v>
      </c>
      <c r="G3052" s="248">
        <f>F3052*E3052</f>
        <v>49000</v>
      </c>
    </row>
    <row r="3053" spans="1:8">
      <c r="A3053" s="294"/>
      <c r="B3053" s="410" t="s">
        <v>751</v>
      </c>
      <c r="C3053" s="247" t="s">
        <v>681</v>
      </c>
      <c r="D3053" s="247" t="s">
        <v>675</v>
      </c>
      <c r="E3053" s="372">
        <v>3.5000000000000003E-2</v>
      </c>
      <c r="F3053" s="360">
        <f>'UPAD-BAHAN-ALAT'!$I$15</f>
        <v>150000</v>
      </c>
      <c r="G3053" s="248">
        <f>F3053*E3053</f>
        <v>5250.0000000000009</v>
      </c>
    </row>
    <row r="3054" spans="1:8">
      <c r="A3054" s="294"/>
      <c r="B3054" s="410" t="s">
        <v>683</v>
      </c>
      <c r="C3054" s="247" t="s">
        <v>684</v>
      </c>
      <c r="D3054" s="247" t="s">
        <v>675</v>
      </c>
      <c r="E3054" s="372">
        <v>3.5000000000000003E-2</v>
      </c>
      <c r="F3054" s="360">
        <f>'UPAD-BAHAN-ALAT'!$I$14</f>
        <v>140000</v>
      </c>
      <c r="G3054" s="248">
        <f>F3054*E3054</f>
        <v>4900.0000000000009</v>
      </c>
    </row>
    <row r="3055" spans="1:8">
      <c r="A3055" s="294"/>
      <c r="B3055" s="410"/>
      <c r="C3055" s="247"/>
      <c r="D3055" s="247"/>
      <c r="E3055" s="1146" t="s">
        <v>685</v>
      </c>
      <c r="F3055" s="1146"/>
      <c r="G3055" s="248">
        <f>SUM(G3051:G3054)</f>
        <v>136150</v>
      </c>
    </row>
    <row r="3056" spans="1:8">
      <c r="A3056" s="294" t="s">
        <v>686</v>
      </c>
      <c r="B3056" s="410" t="s">
        <v>687</v>
      </c>
      <c r="C3056" s="247"/>
      <c r="D3056" s="247"/>
      <c r="E3056" s="372"/>
      <c r="F3056" s="360"/>
      <c r="G3056" s="248"/>
    </row>
    <row r="3057" spans="1:8">
      <c r="A3057" s="294"/>
      <c r="B3057" s="410" t="s">
        <v>1134</v>
      </c>
      <c r="C3057" s="247"/>
      <c r="D3057" s="247" t="s">
        <v>743</v>
      </c>
      <c r="E3057" s="372">
        <v>26.5</v>
      </c>
      <c r="F3057" s="360">
        <f>'UPAD-BAHAN-ALAT'!$I$249</f>
        <v>2250</v>
      </c>
      <c r="G3057" s="248">
        <f>F3057*E3057</f>
        <v>59625</v>
      </c>
    </row>
    <row r="3058" spans="1:8">
      <c r="A3058" s="294"/>
      <c r="B3058" s="410" t="s">
        <v>818</v>
      </c>
      <c r="C3058" s="247"/>
      <c r="D3058" s="247" t="s">
        <v>690</v>
      </c>
      <c r="E3058" s="372">
        <v>10.4</v>
      </c>
      <c r="F3058" s="360">
        <f>'UPAD-BAHAN-ALAT'!$I$77</f>
        <v>1625</v>
      </c>
      <c r="G3058" s="248">
        <f>F3058*E3058</f>
        <v>16900</v>
      </c>
    </row>
    <row r="3059" spans="1:8">
      <c r="A3059" s="294"/>
      <c r="B3059" s="410" t="s">
        <v>739</v>
      </c>
      <c r="C3059" s="247"/>
      <c r="D3059" s="247" t="s">
        <v>881</v>
      </c>
      <c r="E3059" s="372">
        <v>4.4999999999999998E-2</v>
      </c>
      <c r="F3059" s="360">
        <f>'UPAD-BAHAN-ALAT'!$I$71</f>
        <v>176000</v>
      </c>
      <c r="G3059" s="248">
        <f>F3059*E3059</f>
        <v>7920</v>
      </c>
    </row>
    <row r="3060" spans="1:8">
      <c r="A3060" s="294"/>
      <c r="B3060" s="410" t="s">
        <v>1100</v>
      </c>
      <c r="C3060" s="247"/>
      <c r="D3060" s="247" t="s">
        <v>690</v>
      </c>
      <c r="E3060" s="372">
        <v>1.62</v>
      </c>
      <c r="F3060" s="360">
        <f>'UPAD-BAHAN-ALAT'!$I$74/40</f>
        <v>3437.5</v>
      </c>
      <c r="G3060" s="248">
        <f>F3060*E3060</f>
        <v>5568.75</v>
      </c>
    </row>
    <row r="3061" spans="1:8">
      <c r="A3061" s="294"/>
      <c r="B3061" s="295"/>
      <c r="C3061" s="296"/>
      <c r="D3061" s="296"/>
      <c r="E3061" s="1146" t="s">
        <v>702</v>
      </c>
      <c r="F3061" s="1146"/>
      <c r="G3061" s="248">
        <f>SUM(G3057:G3060)</f>
        <v>90013.75</v>
      </c>
    </row>
    <row r="3062" spans="1:8" s="265" customFormat="1">
      <c r="A3062" s="294" t="s">
        <v>703</v>
      </c>
      <c r="B3062" s="1147" t="s">
        <v>3910</v>
      </c>
      <c r="C3062" s="1147"/>
      <c r="D3062" s="1147"/>
      <c r="E3062" s="1147"/>
      <c r="F3062" s="1147"/>
      <c r="G3062" s="255">
        <f>G3055+G3061</f>
        <v>226163.75</v>
      </c>
    </row>
    <row r="3063" spans="1:8" s="265" customFormat="1">
      <c r="A3063" s="294" t="s">
        <v>706</v>
      </c>
      <c r="B3063" s="1148" t="s">
        <v>876</v>
      </c>
      <c r="C3063" s="1148"/>
      <c r="D3063" s="1148"/>
      <c r="E3063" s="1147" t="s">
        <v>4030</v>
      </c>
      <c r="F3063" s="1147"/>
      <c r="G3063" s="255">
        <f>G3062*0.15</f>
        <v>33924.5625</v>
      </c>
    </row>
    <row r="3064" spans="1:8" s="265" customFormat="1">
      <c r="A3064" s="294" t="s">
        <v>708</v>
      </c>
      <c r="B3064" s="1149" t="s">
        <v>3911</v>
      </c>
      <c r="C3064" s="1149"/>
      <c r="D3064" s="1149"/>
      <c r="E3064" s="1149"/>
      <c r="F3064" s="1149"/>
      <c r="G3064" s="255">
        <f>ROUND(SUM(G3062:G3063),2)</f>
        <v>260088.31</v>
      </c>
      <c r="H3064" s="255">
        <f>SUM(G3062:G3063)</f>
        <v>260088.3125</v>
      </c>
    </row>
    <row r="3065" spans="1:8">
      <c r="A3065" s="252"/>
      <c r="B3065" s="251"/>
      <c r="C3065" s="252"/>
      <c r="D3065" s="251"/>
      <c r="E3065" s="378"/>
      <c r="F3065" s="364"/>
      <c r="G3065" s="253"/>
    </row>
    <row r="3066" spans="1:8">
      <c r="A3066" s="286" t="s">
        <v>4198</v>
      </c>
      <c r="B3066" s="265" t="s">
        <v>3709</v>
      </c>
    </row>
    <row r="3067" spans="1:8" s="292" customFormat="1" ht="24.95" customHeight="1">
      <c r="A3067" s="290" t="s">
        <v>1003</v>
      </c>
      <c r="B3067" s="290" t="s">
        <v>1004</v>
      </c>
      <c r="C3067" s="290" t="s">
        <v>1005</v>
      </c>
      <c r="D3067" s="290" t="s">
        <v>1006</v>
      </c>
      <c r="E3067" s="373" t="s">
        <v>1007</v>
      </c>
      <c r="F3067" s="363" t="s">
        <v>2637</v>
      </c>
      <c r="G3067" s="291" t="s">
        <v>2638</v>
      </c>
    </row>
    <row r="3068" spans="1:8">
      <c r="A3068" s="294" t="s">
        <v>671</v>
      </c>
      <c r="B3068" s="410" t="s">
        <v>672</v>
      </c>
      <c r="C3068" s="247"/>
      <c r="D3068" s="247"/>
      <c r="E3068" s="372"/>
      <c r="F3068" s="360"/>
      <c r="G3068" s="248"/>
    </row>
    <row r="3069" spans="1:8">
      <c r="A3069" s="294"/>
      <c r="B3069" s="410" t="s">
        <v>673</v>
      </c>
      <c r="C3069" s="247" t="s">
        <v>674</v>
      </c>
      <c r="D3069" s="247" t="s">
        <v>675</v>
      </c>
      <c r="E3069" s="372">
        <v>0.7</v>
      </c>
      <c r="F3069" s="360">
        <f>'UPAD-BAHAN-ALAT'!$I$12</f>
        <v>110000</v>
      </c>
      <c r="G3069" s="248">
        <f>F3069*E3069</f>
        <v>77000</v>
      </c>
    </row>
    <row r="3070" spans="1:8">
      <c r="A3070" s="294"/>
      <c r="B3070" s="410" t="s">
        <v>816</v>
      </c>
      <c r="C3070" s="247" t="s">
        <v>678</v>
      </c>
      <c r="D3070" s="247" t="s">
        <v>675</v>
      </c>
      <c r="E3070" s="372">
        <v>0.35</v>
      </c>
      <c r="F3070" s="360">
        <f>'UPAD-BAHAN-ALAT'!$I$13</f>
        <v>140000</v>
      </c>
      <c r="G3070" s="248">
        <f>F3070*E3070</f>
        <v>49000</v>
      </c>
    </row>
    <row r="3071" spans="1:8">
      <c r="A3071" s="294"/>
      <c r="B3071" s="410" t="s">
        <v>751</v>
      </c>
      <c r="C3071" s="247" t="s">
        <v>681</v>
      </c>
      <c r="D3071" s="247" t="s">
        <v>675</v>
      </c>
      <c r="E3071" s="372">
        <v>3.5000000000000003E-2</v>
      </c>
      <c r="F3071" s="360">
        <f>'UPAD-BAHAN-ALAT'!$I$15</f>
        <v>150000</v>
      </c>
      <c r="G3071" s="248">
        <f>F3071*E3071</f>
        <v>5250.0000000000009</v>
      </c>
    </row>
    <row r="3072" spans="1:8">
      <c r="A3072" s="294"/>
      <c r="B3072" s="410" t="s">
        <v>683</v>
      </c>
      <c r="C3072" s="247" t="s">
        <v>684</v>
      </c>
      <c r="D3072" s="247" t="s">
        <v>675</v>
      </c>
      <c r="E3072" s="372">
        <v>3.5000000000000003E-2</v>
      </c>
      <c r="F3072" s="360">
        <f>'UPAD-BAHAN-ALAT'!$I$14</f>
        <v>140000</v>
      </c>
      <c r="G3072" s="248">
        <f>F3072*E3072</f>
        <v>4900.0000000000009</v>
      </c>
    </row>
    <row r="3073" spans="1:8">
      <c r="A3073" s="294"/>
      <c r="B3073" s="410"/>
      <c r="C3073" s="247"/>
      <c r="D3073" s="247"/>
      <c r="E3073" s="1146" t="s">
        <v>685</v>
      </c>
      <c r="F3073" s="1146"/>
      <c r="G3073" s="248">
        <f>SUM(G3069:G3072)</f>
        <v>136150</v>
      </c>
    </row>
    <row r="3074" spans="1:8">
      <c r="A3074" s="294" t="s">
        <v>686</v>
      </c>
      <c r="B3074" s="410" t="s">
        <v>687</v>
      </c>
      <c r="C3074" s="247"/>
      <c r="D3074" s="247"/>
      <c r="E3074" s="372"/>
      <c r="F3074" s="360"/>
      <c r="G3074" s="248"/>
    </row>
    <row r="3075" spans="1:8">
      <c r="A3075" s="294"/>
      <c r="B3075" s="410" t="s">
        <v>1134</v>
      </c>
      <c r="C3075" s="247"/>
      <c r="D3075" s="247" t="s">
        <v>743</v>
      </c>
      <c r="E3075" s="372">
        <v>20</v>
      </c>
      <c r="F3075" s="360">
        <f>'UPAD-BAHAN-ALAT'!$I$250</f>
        <v>3500</v>
      </c>
      <c r="G3075" s="248">
        <f>F3075*E3075</f>
        <v>70000</v>
      </c>
    </row>
    <row r="3076" spans="1:8">
      <c r="A3076" s="294"/>
      <c r="B3076" s="410" t="s">
        <v>818</v>
      </c>
      <c r="C3076" s="247"/>
      <c r="D3076" s="247" t="s">
        <v>690</v>
      </c>
      <c r="E3076" s="372">
        <v>10.4</v>
      </c>
      <c r="F3076" s="360">
        <f>'UPAD-BAHAN-ALAT'!$I$77</f>
        <v>1625</v>
      </c>
      <c r="G3076" s="248">
        <f>F3076*E3076</f>
        <v>16900</v>
      </c>
    </row>
    <row r="3077" spans="1:8">
      <c r="A3077" s="294"/>
      <c r="B3077" s="410" t="s">
        <v>739</v>
      </c>
      <c r="C3077" s="247"/>
      <c r="D3077" s="247" t="s">
        <v>881</v>
      </c>
      <c r="E3077" s="372">
        <v>4.4999999999999998E-2</v>
      </c>
      <c r="F3077" s="360">
        <f>'UPAD-BAHAN-ALAT'!$I$71</f>
        <v>176000</v>
      </c>
      <c r="G3077" s="248">
        <f>F3077*E3077</f>
        <v>7920</v>
      </c>
    </row>
    <row r="3078" spans="1:8">
      <c r="A3078" s="294"/>
      <c r="B3078" s="410" t="s">
        <v>1100</v>
      </c>
      <c r="C3078" s="247"/>
      <c r="D3078" s="247" t="s">
        <v>690</v>
      </c>
      <c r="E3078" s="372">
        <v>1.62</v>
      </c>
      <c r="F3078" s="360">
        <f>'UPAD-BAHAN-ALAT'!$I$74/40</f>
        <v>3437.5</v>
      </c>
      <c r="G3078" s="248">
        <f>F3078*E3078</f>
        <v>5568.75</v>
      </c>
    </row>
    <row r="3079" spans="1:8">
      <c r="A3079" s="294"/>
      <c r="B3079" s="410"/>
      <c r="C3079" s="247"/>
      <c r="D3079" s="247"/>
      <c r="E3079" s="1144" t="s">
        <v>702</v>
      </c>
      <c r="F3079" s="1144"/>
      <c r="G3079" s="248">
        <f>SUM(G3075:G3078)</f>
        <v>100388.75</v>
      </c>
    </row>
    <row r="3080" spans="1:8" s="265" customFormat="1">
      <c r="A3080" s="294" t="s">
        <v>703</v>
      </c>
      <c r="B3080" s="1147" t="s">
        <v>3910</v>
      </c>
      <c r="C3080" s="1147"/>
      <c r="D3080" s="1147"/>
      <c r="E3080" s="1147"/>
      <c r="F3080" s="1147"/>
      <c r="G3080" s="255">
        <f>G3073+G3079</f>
        <v>236538.75</v>
      </c>
    </row>
    <row r="3081" spans="1:8" s="265" customFormat="1">
      <c r="A3081" s="294" t="s">
        <v>706</v>
      </c>
      <c r="B3081" s="1148" t="s">
        <v>876</v>
      </c>
      <c r="C3081" s="1148"/>
      <c r="D3081" s="1148"/>
      <c r="E3081" s="1147" t="s">
        <v>4030</v>
      </c>
      <c r="F3081" s="1147"/>
      <c r="G3081" s="255">
        <f>G3080*0.15</f>
        <v>35480.8125</v>
      </c>
    </row>
    <row r="3082" spans="1:8" s="265" customFormat="1">
      <c r="A3082" s="294" t="s">
        <v>708</v>
      </c>
      <c r="B3082" s="1147" t="s">
        <v>3911</v>
      </c>
      <c r="C3082" s="1147"/>
      <c r="D3082" s="1147"/>
      <c r="E3082" s="1147"/>
      <c r="F3082" s="1147"/>
      <c r="G3082" s="255">
        <f>ROUND(SUM(G3080:G3081),2)</f>
        <v>272019.56</v>
      </c>
      <c r="H3082" s="255">
        <f>SUM(G3080:G3081)</f>
        <v>272019.5625</v>
      </c>
    </row>
    <row r="3083" spans="1:8">
      <c r="A3083" s="252"/>
      <c r="B3083" s="251"/>
      <c r="C3083" s="252"/>
      <c r="D3083" s="251"/>
      <c r="E3083" s="378"/>
      <c r="F3083" s="364"/>
      <c r="G3083" s="264"/>
      <c r="H3083" s="253"/>
    </row>
    <row r="3084" spans="1:8" s="814" customFormat="1">
      <c r="A3084" s="847" t="s">
        <v>4199</v>
      </c>
      <c r="B3084" s="848" t="s">
        <v>3540</v>
      </c>
      <c r="C3084" s="849"/>
      <c r="D3084" s="849"/>
      <c r="E3084" s="850"/>
      <c r="F3084" s="851"/>
      <c r="G3084" s="852"/>
      <c r="H3084" s="813"/>
    </row>
    <row r="3085" spans="1:8" s="814" customFormat="1">
      <c r="A3085" s="853" t="s">
        <v>1003</v>
      </c>
      <c r="B3085" s="853" t="s">
        <v>1004</v>
      </c>
      <c r="C3085" s="853" t="s">
        <v>1005</v>
      </c>
      <c r="D3085" s="853" t="s">
        <v>1006</v>
      </c>
      <c r="E3085" s="880" t="s">
        <v>1007</v>
      </c>
      <c r="F3085" s="881" t="s">
        <v>2637</v>
      </c>
      <c r="G3085" s="857" t="s">
        <v>2638</v>
      </c>
      <c r="H3085" s="813"/>
    </row>
    <row r="3086" spans="1:8" s="814" customFormat="1">
      <c r="A3086" s="859" t="s">
        <v>671</v>
      </c>
      <c r="B3086" s="891" t="s">
        <v>672</v>
      </c>
      <c r="C3086" s="865"/>
      <c r="D3086" s="865"/>
      <c r="E3086" s="889"/>
      <c r="F3086" s="866"/>
      <c r="G3086" s="864"/>
      <c r="H3086" s="813"/>
    </row>
    <row r="3087" spans="1:8" s="814" customFormat="1">
      <c r="A3087" s="859"/>
      <c r="B3087" s="891" t="s">
        <v>673</v>
      </c>
      <c r="C3087" s="865" t="s">
        <v>674</v>
      </c>
      <c r="D3087" s="865" t="s">
        <v>675</v>
      </c>
      <c r="E3087" s="889">
        <v>0.7</v>
      </c>
      <c r="F3087" s="866">
        <f>'UPAD-BAHAN-ALAT'!$I$12</f>
        <v>110000</v>
      </c>
      <c r="G3087" s="864">
        <f>F3087*E3087</f>
        <v>77000</v>
      </c>
      <c r="H3087" s="813"/>
    </row>
    <row r="3088" spans="1:8" s="814" customFormat="1">
      <c r="A3088" s="859"/>
      <c r="B3088" s="891" t="s">
        <v>816</v>
      </c>
      <c r="C3088" s="865" t="s">
        <v>678</v>
      </c>
      <c r="D3088" s="865" t="s">
        <v>675</v>
      </c>
      <c r="E3088" s="889">
        <v>0.35</v>
      </c>
      <c r="F3088" s="866">
        <f>'UPAD-BAHAN-ALAT'!$I$13</f>
        <v>140000</v>
      </c>
      <c r="G3088" s="864">
        <f>F3088*E3088</f>
        <v>49000</v>
      </c>
      <c r="H3088" s="813"/>
    </row>
    <row r="3089" spans="1:8" s="814" customFormat="1">
      <c r="A3089" s="859"/>
      <c r="B3089" s="891" t="s">
        <v>751</v>
      </c>
      <c r="C3089" s="865" t="s">
        <v>681</v>
      </c>
      <c r="D3089" s="865" t="s">
        <v>675</v>
      </c>
      <c r="E3089" s="889">
        <v>3.5000000000000003E-2</v>
      </c>
      <c r="F3089" s="866">
        <f>'UPAD-BAHAN-ALAT'!$I$15</f>
        <v>150000</v>
      </c>
      <c r="G3089" s="864">
        <f>F3089*E3089</f>
        <v>5250.0000000000009</v>
      </c>
      <c r="H3089" s="813"/>
    </row>
    <row r="3090" spans="1:8" s="814" customFormat="1">
      <c r="A3090" s="859"/>
      <c r="B3090" s="891" t="s">
        <v>683</v>
      </c>
      <c r="C3090" s="865" t="s">
        <v>684</v>
      </c>
      <c r="D3090" s="865" t="s">
        <v>675</v>
      </c>
      <c r="E3090" s="889">
        <v>3.5000000000000003E-2</v>
      </c>
      <c r="F3090" s="866">
        <f>'UPAD-BAHAN-ALAT'!$I$14</f>
        <v>140000</v>
      </c>
      <c r="G3090" s="864">
        <f>F3090*E3090</f>
        <v>4900.0000000000009</v>
      </c>
      <c r="H3090" s="813"/>
    </row>
    <row r="3091" spans="1:8" s="814" customFormat="1">
      <c r="A3091" s="859"/>
      <c r="B3091" s="891"/>
      <c r="C3091" s="865"/>
      <c r="D3091" s="865"/>
      <c r="E3091" s="1156" t="s">
        <v>685</v>
      </c>
      <c r="F3091" s="1156"/>
      <c r="G3091" s="864">
        <f>SUM(G3087:G3090)</f>
        <v>136150</v>
      </c>
      <c r="H3091" s="813"/>
    </row>
    <row r="3092" spans="1:8" s="814" customFormat="1">
      <c r="A3092" s="859" t="s">
        <v>686</v>
      </c>
      <c r="B3092" s="891" t="s">
        <v>687</v>
      </c>
      <c r="C3092" s="865"/>
      <c r="D3092" s="865"/>
      <c r="E3092" s="889"/>
      <c r="F3092" s="866"/>
      <c r="G3092" s="864"/>
      <c r="H3092" s="813"/>
    </row>
    <row r="3093" spans="1:8" s="814" customFormat="1">
      <c r="A3093" s="859"/>
      <c r="B3093" s="891" t="s">
        <v>1134</v>
      </c>
      <c r="C3093" s="865"/>
      <c r="D3093" s="865" t="s">
        <v>743</v>
      </c>
      <c r="E3093" s="889">
        <v>6.5</v>
      </c>
      <c r="F3093" s="866">
        <f>'UPAD-BAHAN-ALAT'!$I$256</f>
        <v>10750</v>
      </c>
      <c r="G3093" s="864">
        <f>F3093*E3093</f>
        <v>69875</v>
      </c>
      <c r="H3093" s="813"/>
    </row>
    <row r="3094" spans="1:8" s="814" customFormat="1">
      <c r="A3094" s="859"/>
      <c r="B3094" s="891" t="s">
        <v>818</v>
      </c>
      <c r="C3094" s="865"/>
      <c r="D3094" s="865" t="s">
        <v>690</v>
      </c>
      <c r="E3094" s="889">
        <v>10.4</v>
      </c>
      <c r="F3094" s="866">
        <f>'UPAD-BAHAN-ALAT'!$I$77</f>
        <v>1625</v>
      </c>
      <c r="G3094" s="864">
        <f>F3094*E3094</f>
        <v>16900</v>
      </c>
      <c r="H3094" s="813"/>
    </row>
    <row r="3095" spans="1:8" s="814" customFormat="1">
      <c r="A3095" s="859"/>
      <c r="B3095" s="891" t="s">
        <v>739</v>
      </c>
      <c r="C3095" s="865"/>
      <c r="D3095" s="865" t="s">
        <v>881</v>
      </c>
      <c r="E3095" s="889">
        <v>4.4999999999999998E-2</v>
      </c>
      <c r="F3095" s="866">
        <f>'UPAD-BAHAN-ALAT'!$I$71</f>
        <v>176000</v>
      </c>
      <c r="G3095" s="864">
        <f>F3095*E3095</f>
        <v>7920</v>
      </c>
      <c r="H3095" s="813"/>
    </row>
    <row r="3096" spans="1:8" s="814" customFormat="1">
      <c r="A3096" s="859"/>
      <c r="B3096" s="891" t="s">
        <v>1100</v>
      </c>
      <c r="C3096" s="865"/>
      <c r="D3096" s="865" t="s">
        <v>690</v>
      </c>
      <c r="E3096" s="889">
        <v>1.62</v>
      </c>
      <c r="F3096" s="866">
        <f>'UPAD-BAHAN-ALAT'!$I$74/40</f>
        <v>3437.5</v>
      </c>
      <c r="G3096" s="864">
        <f>F3096*E3096</f>
        <v>5568.75</v>
      </c>
      <c r="H3096" s="813"/>
    </row>
    <row r="3097" spans="1:8" s="814" customFormat="1">
      <c r="A3097" s="859"/>
      <c r="B3097" s="900"/>
      <c r="C3097" s="897"/>
      <c r="D3097" s="897"/>
      <c r="E3097" s="1156" t="s">
        <v>702</v>
      </c>
      <c r="F3097" s="1156"/>
      <c r="G3097" s="864">
        <f>SUM(G3093:G3096)</f>
        <v>100263.75</v>
      </c>
      <c r="H3097" s="813"/>
    </row>
    <row r="3098" spans="1:8" s="814" customFormat="1">
      <c r="A3098" s="859" t="s">
        <v>703</v>
      </c>
      <c r="B3098" s="1153" t="s">
        <v>3910</v>
      </c>
      <c r="C3098" s="1153"/>
      <c r="D3098" s="1153"/>
      <c r="E3098" s="1153"/>
      <c r="F3098" s="1153"/>
      <c r="G3098" s="872">
        <f>G3091+G3097</f>
        <v>236413.75</v>
      </c>
      <c r="H3098" s="813"/>
    </row>
    <row r="3099" spans="1:8" s="814" customFormat="1">
      <c r="A3099" s="859" t="s">
        <v>706</v>
      </c>
      <c r="B3099" s="1152" t="s">
        <v>876</v>
      </c>
      <c r="C3099" s="1152"/>
      <c r="D3099" s="1152"/>
      <c r="E3099" s="1153" t="s">
        <v>4030</v>
      </c>
      <c r="F3099" s="1153"/>
      <c r="G3099" s="872">
        <f>G3098*0.15</f>
        <v>35462.0625</v>
      </c>
      <c r="H3099" s="813"/>
    </row>
    <row r="3100" spans="1:8" s="814" customFormat="1">
      <c r="A3100" s="859" t="s">
        <v>708</v>
      </c>
      <c r="B3100" s="1154" t="s">
        <v>3911</v>
      </c>
      <c r="C3100" s="1154"/>
      <c r="D3100" s="1154"/>
      <c r="E3100" s="1154"/>
      <c r="F3100" s="1154"/>
      <c r="G3100" s="872">
        <f>ROUND(SUM(G3098:G3099),2)</f>
        <v>271875.81</v>
      </c>
      <c r="H3100" s="813"/>
    </row>
    <row r="3101" spans="1:8">
      <c r="A3101" s="252"/>
      <c r="B3101" s="251"/>
      <c r="C3101" s="252"/>
      <c r="D3101" s="251"/>
      <c r="E3101" s="378"/>
      <c r="F3101" s="364"/>
      <c r="G3101" s="264"/>
      <c r="H3101" s="253"/>
    </row>
    <row r="3102" spans="1:8">
      <c r="A3102" s="286" t="s">
        <v>4200</v>
      </c>
      <c r="B3102" s="265" t="s">
        <v>3485</v>
      </c>
    </row>
    <row r="3103" spans="1:8" s="292" customFormat="1" ht="24.95" customHeight="1">
      <c r="A3103" s="290" t="s">
        <v>1003</v>
      </c>
      <c r="B3103" s="290" t="s">
        <v>1004</v>
      </c>
      <c r="C3103" s="290" t="s">
        <v>1005</v>
      </c>
      <c r="D3103" s="290" t="s">
        <v>1006</v>
      </c>
      <c r="E3103" s="373" t="s">
        <v>1007</v>
      </c>
      <c r="F3103" s="363" t="s">
        <v>2637</v>
      </c>
      <c r="G3103" s="291" t="s">
        <v>2638</v>
      </c>
    </row>
    <row r="3104" spans="1:8">
      <c r="A3104" s="294" t="s">
        <v>671</v>
      </c>
      <c r="B3104" s="410" t="s">
        <v>672</v>
      </c>
      <c r="C3104" s="247"/>
      <c r="D3104" s="247"/>
      <c r="E3104" s="372"/>
      <c r="F3104" s="360"/>
      <c r="G3104" s="248"/>
    </row>
    <row r="3105" spans="1:8">
      <c r="A3105" s="294"/>
      <c r="B3105" s="410" t="s">
        <v>673</v>
      </c>
      <c r="C3105" s="247" t="s">
        <v>674</v>
      </c>
      <c r="D3105" s="247" t="s">
        <v>675</v>
      </c>
      <c r="E3105" s="372">
        <v>0.7</v>
      </c>
      <c r="F3105" s="360">
        <f>'UPAD-BAHAN-ALAT'!$I$12</f>
        <v>110000</v>
      </c>
      <c r="G3105" s="248">
        <f>F3105*E3105</f>
        <v>77000</v>
      </c>
    </row>
    <row r="3106" spans="1:8">
      <c r="A3106" s="294"/>
      <c r="B3106" s="410" t="s">
        <v>816</v>
      </c>
      <c r="C3106" s="247" t="s">
        <v>678</v>
      </c>
      <c r="D3106" s="247" t="s">
        <v>675</v>
      </c>
      <c r="E3106" s="372">
        <v>0.35</v>
      </c>
      <c r="F3106" s="360">
        <f>'UPAD-BAHAN-ALAT'!$I$13</f>
        <v>140000</v>
      </c>
      <c r="G3106" s="248">
        <f>F3106*E3106</f>
        <v>49000</v>
      </c>
    </row>
    <row r="3107" spans="1:8">
      <c r="A3107" s="294"/>
      <c r="B3107" s="410" t="s">
        <v>751</v>
      </c>
      <c r="C3107" s="247" t="s">
        <v>681</v>
      </c>
      <c r="D3107" s="247" t="s">
        <v>675</v>
      </c>
      <c r="E3107" s="372">
        <v>3.5000000000000003E-2</v>
      </c>
      <c r="F3107" s="360">
        <f>'UPAD-BAHAN-ALAT'!$I$15</f>
        <v>150000</v>
      </c>
      <c r="G3107" s="248">
        <f>F3107*E3107</f>
        <v>5250.0000000000009</v>
      </c>
    </row>
    <row r="3108" spans="1:8">
      <c r="A3108" s="294"/>
      <c r="B3108" s="410" t="s">
        <v>683</v>
      </c>
      <c r="C3108" s="247" t="s">
        <v>684</v>
      </c>
      <c r="D3108" s="247" t="s">
        <v>675</v>
      </c>
      <c r="E3108" s="372">
        <v>3.5000000000000003E-2</v>
      </c>
      <c r="F3108" s="360">
        <f>'UPAD-BAHAN-ALAT'!$I$14</f>
        <v>140000</v>
      </c>
      <c r="G3108" s="248">
        <f>F3108*E3108</f>
        <v>4900.0000000000009</v>
      </c>
    </row>
    <row r="3109" spans="1:8">
      <c r="A3109" s="294"/>
      <c r="B3109" s="410"/>
      <c r="C3109" s="247"/>
      <c r="D3109" s="247"/>
      <c r="E3109" s="1146" t="s">
        <v>685</v>
      </c>
      <c r="F3109" s="1146"/>
      <c r="G3109" s="248">
        <f>SUM(G3105:G3108)</f>
        <v>136150</v>
      </c>
    </row>
    <row r="3110" spans="1:8">
      <c r="A3110" s="294" t="s">
        <v>686</v>
      </c>
      <c r="B3110" s="410" t="s">
        <v>687</v>
      </c>
      <c r="C3110" s="247"/>
      <c r="D3110" s="247"/>
      <c r="E3110" s="372"/>
      <c r="F3110" s="360"/>
      <c r="G3110" s="248"/>
    </row>
    <row r="3111" spans="1:8">
      <c r="A3111" s="294"/>
      <c r="B3111" s="410" t="s">
        <v>1134</v>
      </c>
      <c r="C3111" s="247"/>
      <c r="D3111" s="247" t="s">
        <v>743</v>
      </c>
      <c r="E3111" s="372">
        <v>3</v>
      </c>
      <c r="F3111" s="360">
        <f>'UPAD-BAHAN-ALAT'!$I$258</f>
        <v>56100</v>
      </c>
      <c r="G3111" s="248">
        <f>F3111*E3111</f>
        <v>168300</v>
      </c>
    </row>
    <row r="3112" spans="1:8">
      <c r="A3112" s="294"/>
      <c r="B3112" s="410" t="s">
        <v>818</v>
      </c>
      <c r="C3112" s="247"/>
      <c r="D3112" s="247" t="s">
        <v>690</v>
      </c>
      <c r="E3112" s="372">
        <v>10.4</v>
      </c>
      <c r="F3112" s="360">
        <f>'UPAD-BAHAN-ALAT'!$I$77</f>
        <v>1625</v>
      </c>
      <c r="G3112" s="248">
        <f>F3112*E3112</f>
        <v>16900</v>
      </c>
    </row>
    <row r="3113" spans="1:8">
      <c r="A3113" s="294"/>
      <c r="B3113" s="410" t="s">
        <v>739</v>
      </c>
      <c r="C3113" s="247"/>
      <c r="D3113" s="247" t="s">
        <v>881</v>
      </c>
      <c r="E3113" s="372">
        <v>4.4999999999999998E-2</v>
      </c>
      <c r="F3113" s="360">
        <f>'UPAD-BAHAN-ALAT'!$I$71</f>
        <v>176000</v>
      </c>
      <c r="G3113" s="248">
        <f>F3113*E3113</f>
        <v>7920</v>
      </c>
    </row>
    <row r="3114" spans="1:8">
      <c r="A3114" s="294"/>
      <c r="B3114" s="410" t="s">
        <v>1100</v>
      </c>
      <c r="C3114" s="247"/>
      <c r="D3114" s="247" t="s">
        <v>690</v>
      </c>
      <c r="E3114" s="372">
        <v>1.62</v>
      </c>
      <c r="F3114" s="360">
        <f>'UPAD-BAHAN-ALAT'!$I$74/40</f>
        <v>3437.5</v>
      </c>
      <c r="G3114" s="248">
        <f>F3114*E3114</f>
        <v>5568.75</v>
      </c>
    </row>
    <row r="3115" spans="1:8">
      <c r="A3115" s="294"/>
      <c r="B3115" s="295"/>
      <c r="C3115" s="296"/>
      <c r="D3115" s="296"/>
      <c r="E3115" s="1146" t="s">
        <v>702</v>
      </c>
      <c r="F3115" s="1146"/>
      <c r="G3115" s="248">
        <f>SUM(G3111:G3114)</f>
        <v>198688.75</v>
      </c>
    </row>
    <row r="3116" spans="1:8" s="265" customFormat="1">
      <c r="A3116" s="294" t="s">
        <v>703</v>
      </c>
      <c r="B3116" s="1147" t="s">
        <v>3910</v>
      </c>
      <c r="C3116" s="1147"/>
      <c r="D3116" s="1147"/>
      <c r="E3116" s="1147"/>
      <c r="F3116" s="1147"/>
      <c r="G3116" s="255">
        <f>G3109+G3115</f>
        <v>334838.75</v>
      </c>
    </row>
    <row r="3117" spans="1:8" s="265" customFormat="1">
      <c r="A3117" s="294" t="s">
        <v>706</v>
      </c>
      <c r="B3117" s="1148" t="s">
        <v>876</v>
      </c>
      <c r="C3117" s="1148"/>
      <c r="D3117" s="1148"/>
      <c r="E3117" s="1147" t="s">
        <v>4030</v>
      </c>
      <c r="F3117" s="1147"/>
      <c r="G3117" s="255">
        <f>G3116*0.15</f>
        <v>50225.8125</v>
      </c>
    </row>
    <row r="3118" spans="1:8" s="265" customFormat="1">
      <c r="A3118" s="294" t="s">
        <v>708</v>
      </c>
      <c r="B3118" s="1149" t="s">
        <v>3911</v>
      </c>
      <c r="C3118" s="1149"/>
      <c r="D3118" s="1149"/>
      <c r="E3118" s="1149"/>
      <c r="F3118" s="1149"/>
      <c r="G3118" s="255">
        <f>ROUND(SUM(G3116:G3117),2)</f>
        <v>385064.56</v>
      </c>
      <c r="H3118" s="255">
        <f>SUM(G3116:G3117)</f>
        <v>385064.5625</v>
      </c>
    </row>
    <row r="3119" spans="1:8">
      <c r="A3119" s="252"/>
      <c r="B3119" s="251"/>
      <c r="C3119" s="252"/>
      <c r="D3119" s="251"/>
      <c r="E3119" s="378"/>
      <c r="F3119" s="364"/>
      <c r="G3119" s="264"/>
      <c r="H3119" s="253"/>
    </row>
    <row r="3120" spans="1:8">
      <c r="A3120" s="286" t="s">
        <v>4201</v>
      </c>
      <c r="B3120" s="265" t="s">
        <v>3541</v>
      </c>
    </row>
    <row r="3121" spans="1:8" s="292" customFormat="1" ht="24.95" customHeight="1">
      <c r="A3121" s="290" t="s">
        <v>1003</v>
      </c>
      <c r="B3121" s="290" t="s">
        <v>1004</v>
      </c>
      <c r="C3121" s="290" t="s">
        <v>1005</v>
      </c>
      <c r="D3121" s="290" t="s">
        <v>1006</v>
      </c>
      <c r="E3121" s="373" t="s">
        <v>1007</v>
      </c>
      <c r="F3121" s="363" t="s">
        <v>2637</v>
      </c>
      <c r="G3121" s="291" t="s">
        <v>2638</v>
      </c>
    </row>
    <row r="3122" spans="1:8">
      <c r="A3122" s="294" t="s">
        <v>671</v>
      </c>
      <c r="B3122" s="410" t="s">
        <v>672</v>
      </c>
      <c r="C3122" s="247"/>
      <c r="D3122" s="247"/>
      <c r="E3122" s="372"/>
      <c r="F3122" s="360"/>
      <c r="G3122" s="248"/>
    </row>
    <row r="3123" spans="1:8">
      <c r="A3123" s="294"/>
      <c r="B3123" s="410" t="s">
        <v>673</v>
      </c>
      <c r="C3123" s="247" t="s">
        <v>674</v>
      </c>
      <c r="D3123" s="247" t="s">
        <v>675</v>
      </c>
      <c r="E3123" s="372">
        <v>0.7</v>
      </c>
      <c r="F3123" s="360">
        <f>'UPAD-BAHAN-ALAT'!$I$12</f>
        <v>110000</v>
      </c>
      <c r="G3123" s="248">
        <f>F3123*E3123</f>
        <v>77000</v>
      </c>
    </row>
    <row r="3124" spans="1:8">
      <c r="A3124" s="294"/>
      <c r="B3124" s="410" t="s">
        <v>816</v>
      </c>
      <c r="C3124" s="247" t="s">
        <v>678</v>
      </c>
      <c r="D3124" s="247" t="s">
        <v>675</v>
      </c>
      <c r="E3124" s="372">
        <v>0.35</v>
      </c>
      <c r="F3124" s="360">
        <f>'UPAD-BAHAN-ALAT'!$I$13</f>
        <v>140000</v>
      </c>
      <c r="G3124" s="248">
        <f>F3124*E3124</f>
        <v>49000</v>
      </c>
    </row>
    <row r="3125" spans="1:8">
      <c r="A3125" s="294"/>
      <c r="B3125" s="410" t="s">
        <v>751</v>
      </c>
      <c r="C3125" s="247" t="s">
        <v>681</v>
      </c>
      <c r="D3125" s="247" t="s">
        <v>675</v>
      </c>
      <c r="E3125" s="372">
        <v>3.5000000000000003E-2</v>
      </c>
      <c r="F3125" s="360">
        <f>'UPAD-BAHAN-ALAT'!$I$15</f>
        <v>150000</v>
      </c>
      <c r="G3125" s="248">
        <f>F3125*E3125</f>
        <v>5250.0000000000009</v>
      </c>
    </row>
    <row r="3126" spans="1:8">
      <c r="A3126" s="294"/>
      <c r="B3126" s="410" t="s">
        <v>683</v>
      </c>
      <c r="C3126" s="247" t="s">
        <v>684</v>
      </c>
      <c r="D3126" s="247" t="s">
        <v>675</v>
      </c>
      <c r="E3126" s="372">
        <v>3.5000000000000003E-2</v>
      </c>
      <c r="F3126" s="360">
        <f>'UPAD-BAHAN-ALAT'!$I$14</f>
        <v>140000</v>
      </c>
      <c r="G3126" s="248">
        <f>F3126*E3126</f>
        <v>4900.0000000000009</v>
      </c>
    </row>
    <row r="3127" spans="1:8">
      <c r="A3127" s="294"/>
      <c r="B3127" s="410"/>
      <c r="C3127" s="247"/>
      <c r="D3127" s="247"/>
      <c r="E3127" s="1146" t="s">
        <v>685</v>
      </c>
      <c r="F3127" s="1146"/>
      <c r="G3127" s="248">
        <f>SUM(G3123:G3126)</f>
        <v>136150</v>
      </c>
    </row>
    <row r="3128" spans="1:8">
      <c r="A3128" s="294" t="s">
        <v>686</v>
      </c>
      <c r="B3128" s="410" t="s">
        <v>687</v>
      </c>
      <c r="C3128" s="247"/>
      <c r="D3128" s="247"/>
      <c r="E3128" s="372"/>
      <c r="F3128" s="360"/>
      <c r="G3128" s="248"/>
    </row>
    <row r="3129" spans="1:8">
      <c r="A3129" s="294"/>
      <c r="B3129" s="410" t="s">
        <v>1134</v>
      </c>
      <c r="C3129" s="247"/>
      <c r="D3129" s="247" t="s">
        <v>743</v>
      </c>
      <c r="E3129" s="372">
        <v>6.5</v>
      </c>
      <c r="F3129" s="360">
        <f>'UPAD-BAHAN-ALAT'!$I$259</f>
        <v>51000</v>
      </c>
      <c r="G3129" s="248">
        <f>F3129*E3129</f>
        <v>331500</v>
      </c>
    </row>
    <row r="3130" spans="1:8">
      <c r="A3130" s="294"/>
      <c r="B3130" s="410" t="s">
        <v>818</v>
      </c>
      <c r="C3130" s="247"/>
      <c r="D3130" s="247" t="s">
        <v>690</v>
      </c>
      <c r="E3130" s="372">
        <v>10.4</v>
      </c>
      <c r="F3130" s="360">
        <f>'UPAD-BAHAN-ALAT'!$I$77</f>
        <v>1625</v>
      </c>
      <c r="G3130" s="248">
        <f>F3130*E3130</f>
        <v>16900</v>
      </c>
    </row>
    <row r="3131" spans="1:8">
      <c r="A3131" s="294"/>
      <c r="B3131" s="410" t="s">
        <v>739</v>
      </c>
      <c r="C3131" s="247"/>
      <c r="D3131" s="247" t="s">
        <v>881</v>
      </c>
      <c r="E3131" s="372">
        <v>4.4999999999999998E-2</v>
      </c>
      <c r="F3131" s="360">
        <f>'UPAD-BAHAN-ALAT'!$I$71</f>
        <v>176000</v>
      </c>
      <c r="G3131" s="248">
        <f>F3131*E3131</f>
        <v>7920</v>
      </c>
    </row>
    <row r="3132" spans="1:8">
      <c r="A3132" s="294"/>
      <c r="B3132" s="410" t="s">
        <v>1100</v>
      </c>
      <c r="C3132" s="247"/>
      <c r="D3132" s="247" t="s">
        <v>690</v>
      </c>
      <c r="E3132" s="372">
        <v>1.62</v>
      </c>
      <c r="F3132" s="360">
        <f>'UPAD-BAHAN-ALAT'!$I$74/40</f>
        <v>3437.5</v>
      </c>
      <c r="G3132" s="248">
        <f>F3132*E3132</f>
        <v>5568.75</v>
      </c>
    </row>
    <row r="3133" spans="1:8">
      <c r="A3133" s="294"/>
      <c r="B3133" s="295"/>
      <c r="C3133" s="296"/>
      <c r="D3133" s="296"/>
      <c r="E3133" s="1146" t="s">
        <v>702</v>
      </c>
      <c r="F3133" s="1146"/>
      <c r="G3133" s="248">
        <f>SUM(G3129:G3132)</f>
        <v>361888.75</v>
      </c>
    </row>
    <row r="3134" spans="1:8" s="265" customFormat="1">
      <c r="A3134" s="294" t="s">
        <v>703</v>
      </c>
      <c r="B3134" s="1147" t="s">
        <v>3910</v>
      </c>
      <c r="C3134" s="1147"/>
      <c r="D3134" s="1147"/>
      <c r="E3134" s="1147"/>
      <c r="F3134" s="1147"/>
      <c r="G3134" s="255">
        <f>G3127+G3133</f>
        <v>498038.75</v>
      </c>
    </row>
    <row r="3135" spans="1:8" s="265" customFormat="1">
      <c r="A3135" s="294" t="s">
        <v>706</v>
      </c>
      <c r="B3135" s="1148" t="s">
        <v>876</v>
      </c>
      <c r="C3135" s="1148"/>
      <c r="D3135" s="1148"/>
      <c r="E3135" s="1147" t="s">
        <v>4030</v>
      </c>
      <c r="F3135" s="1147"/>
      <c r="G3135" s="255">
        <f>G3134*0.15</f>
        <v>74705.8125</v>
      </c>
    </row>
    <row r="3136" spans="1:8" s="265" customFormat="1">
      <c r="A3136" s="294" t="s">
        <v>708</v>
      </c>
      <c r="B3136" s="1149" t="s">
        <v>3911</v>
      </c>
      <c r="C3136" s="1149"/>
      <c r="D3136" s="1149"/>
      <c r="E3136" s="1149"/>
      <c r="F3136" s="1149"/>
      <c r="G3136" s="255">
        <f>ROUND(SUM(G3134:G3135),2)</f>
        <v>572744.56000000006</v>
      </c>
      <c r="H3136" s="255">
        <f>SUM(G3134:G3135)</f>
        <v>572744.5625</v>
      </c>
    </row>
    <row r="3137" spans="1:8">
      <c r="A3137" s="252"/>
      <c r="B3137" s="251"/>
      <c r="C3137" s="252"/>
      <c r="D3137" s="251"/>
      <c r="E3137" s="378"/>
      <c r="F3137" s="364"/>
      <c r="G3137" s="264"/>
      <c r="H3137" s="253"/>
    </row>
    <row r="3138" spans="1:8">
      <c r="A3138" s="286" t="s">
        <v>4202</v>
      </c>
      <c r="B3138" s="265" t="s">
        <v>3542</v>
      </c>
    </row>
    <row r="3139" spans="1:8" s="292" customFormat="1" ht="24.95" customHeight="1">
      <c r="A3139" s="290" t="s">
        <v>1003</v>
      </c>
      <c r="B3139" s="290" t="s">
        <v>1004</v>
      </c>
      <c r="C3139" s="290" t="s">
        <v>1005</v>
      </c>
      <c r="D3139" s="290" t="s">
        <v>1006</v>
      </c>
      <c r="E3139" s="373" t="s">
        <v>1007</v>
      </c>
      <c r="F3139" s="363" t="s">
        <v>2637</v>
      </c>
      <c r="G3139" s="291" t="s">
        <v>2638</v>
      </c>
    </row>
    <row r="3140" spans="1:8">
      <c r="A3140" s="294" t="s">
        <v>671</v>
      </c>
      <c r="B3140" s="410" t="s">
        <v>672</v>
      </c>
      <c r="C3140" s="247"/>
      <c r="D3140" s="247"/>
      <c r="E3140" s="372"/>
      <c r="F3140" s="360"/>
      <c r="G3140" s="248"/>
    </row>
    <row r="3141" spans="1:8">
      <c r="A3141" s="294"/>
      <c r="B3141" s="410" t="s">
        <v>673</v>
      </c>
      <c r="C3141" s="247" t="s">
        <v>674</v>
      </c>
      <c r="D3141" s="247" t="s">
        <v>675</v>
      </c>
      <c r="E3141" s="372">
        <v>0.7</v>
      </c>
      <c r="F3141" s="360">
        <f>'UPAD-BAHAN-ALAT'!$I$12</f>
        <v>110000</v>
      </c>
      <c r="G3141" s="248">
        <f>F3141*E3141</f>
        <v>77000</v>
      </c>
    </row>
    <row r="3142" spans="1:8">
      <c r="A3142" s="294"/>
      <c r="B3142" s="410" t="s">
        <v>816</v>
      </c>
      <c r="C3142" s="247" t="s">
        <v>678</v>
      </c>
      <c r="D3142" s="247" t="s">
        <v>675</v>
      </c>
      <c r="E3142" s="372">
        <v>0.35</v>
      </c>
      <c r="F3142" s="360">
        <f>'UPAD-BAHAN-ALAT'!$I$13</f>
        <v>140000</v>
      </c>
      <c r="G3142" s="248">
        <f>F3142*E3142</f>
        <v>49000</v>
      </c>
    </row>
    <row r="3143" spans="1:8">
      <c r="A3143" s="294"/>
      <c r="B3143" s="410" t="s">
        <v>751</v>
      </c>
      <c r="C3143" s="247" t="s">
        <v>681</v>
      </c>
      <c r="D3143" s="247" t="s">
        <v>675</v>
      </c>
      <c r="E3143" s="372">
        <v>3.5000000000000003E-2</v>
      </c>
      <c r="F3143" s="360">
        <f>'UPAD-BAHAN-ALAT'!$I$15</f>
        <v>150000</v>
      </c>
      <c r="G3143" s="248">
        <f>F3143*E3143</f>
        <v>5250.0000000000009</v>
      </c>
    </row>
    <row r="3144" spans="1:8">
      <c r="A3144" s="294"/>
      <c r="B3144" s="410" t="s">
        <v>683</v>
      </c>
      <c r="C3144" s="247" t="s">
        <v>684</v>
      </c>
      <c r="D3144" s="247" t="s">
        <v>675</v>
      </c>
      <c r="E3144" s="372">
        <v>3.5000000000000003E-2</v>
      </c>
      <c r="F3144" s="360">
        <f>'UPAD-BAHAN-ALAT'!$I$14</f>
        <v>140000</v>
      </c>
      <c r="G3144" s="248">
        <f>F3144*E3144</f>
        <v>4900.0000000000009</v>
      </c>
    </row>
    <row r="3145" spans="1:8">
      <c r="A3145" s="294"/>
      <c r="B3145" s="410"/>
      <c r="C3145" s="247"/>
      <c r="D3145" s="247"/>
      <c r="E3145" s="1146" t="s">
        <v>685</v>
      </c>
      <c r="F3145" s="1146"/>
      <c r="G3145" s="248">
        <f>SUM(G3141:G3144)</f>
        <v>136150</v>
      </c>
    </row>
    <row r="3146" spans="1:8">
      <c r="A3146" s="294" t="s">
        <v>686</v>
      </c>
      <c r="B3146" s="410" t="s">
        <v>687</v>
      </c>
      <c r="C3146" s="247"/>
      <c r="D3146" s="247"/>
      <c r="E3146" s="372"/>
      <c r="F3146" s="360"/>
      <c r="G3146" s="248"/>
    </row>
    <row r="3147" spans="1:8">
      <c r="A3147" s="294"/>
      <c r="B3147" s="410" t="s">
        <v>1134</v>
      </c>
      <c r="C3147" s="247"/>
      <c r="D3147" s="247" t="s">
        <v>743</v>
      </c>
      <c r="E3147" s="372">
        <v>6.5</v>
      </c>
      <c r="F3147" s="360">
        <f>'UPAD-BAHAN-ALAT'!$I$260</f>
        <v>63000</v>
      </c>
      <c r="G3147" s="248">
        <f>F3147*E3147</f>
        <v>409500</v>
      </c>
    </row>
    <row r="3148" spans="1:8">
      <c r="A3148" s="294"/>
      <c r="B3148" s="410" t="s">
        <v>818</v>
      </c>
      <c r="C3148" s="247"/>
      <c r="D3148" s="247" t="s">
        <v>690</v>
      </c>
      <c r="E3148" s="372">
        <v>10.4</v>
      </c>
      <c r="F3148" s="360">
        <f>'UPAD-BAHAN-ALAT'!$I$77</f>
        <v>1625</v>
      </c>
      <c r="G3148" s="248">
        <f>F3148*E3148</f>
        <v>16900</v>
      </c>
    </row>
    <row r="3149" spans="1:8">
      <c r="A3149" s="294"/>
      <c r="B3149" s="410" t="s">
        <v>739</v>
      </c>
      <c r="C3149" s="247"/>
      <c r="D3149" s="247" t="s">
        <v>881</v>
      </c>
      <c r="E3149" s="372">
        <v>4.4999999999999998E-2</v>
      </c>
      <c r="F3149" s="360">
        <f>'UPAD-BAHAN-ALAT'!$I$71</f>
        <v>176000</v>
      </c>
      <c r="G3149" s="248">
        <f>F3149*E3149</f>
        <v>7920</v>
      </c>
    </row>
    <row r="3150" spans="1:8">
      <c r="A3150" s="294"/>
      <c r="B3150" s="410" t="s">
        <v>1100</v>
      </c>
      <c r="C3150" s="247"/>
      <c r="D3150" s="247" t="s">
        <v>690</v>
      </c>
      <c r="E3150" s="372">
        <v>1.62</v>
      </c>
      <c r="F3150" s="360">
        <f>'UPAD-BAHAN-ALAT'!$I$74/40</f>
        <v>3437.5</v>
      </c>
      <c r="G3150" s="248">
        <f>F3150*E3150</f>
        <v>5568.75</v>
      </c>
    </row>
    <row r="3151" spans="1:8">
      <c r="A3151" s="294"/>
      <c r="B3151" s="295"/>
      <c r="C3151" s="296"/>
      <c r="D3151" s="296"/>
      <c r="E3151" s="1146" t="s">
        <v>702</v>
      </c>
      <c r="F3151" s="1146"/>
      <c r="G3151" s="248">
        <f>SUM(G3147:G3150)</f>
        <v>439888.75</v>
      </c>
    </row>
    <row r="3152" spans="1:8" s="265" customFormat="1">
      <c r="A3152" s="294" t="s">
        <v>703</v>
      </c>
      <c r="B3152" s="1147" t="s">
        <v>3910</v>
      </c>
      <c r="C3152" s="1147"/>
      <c r="D3152" s="1147"/>
      <c r="E3152" s="1147"/>
      <c r="F3152" s="1147"/>
      <c r="G3152" s="255">
        <f>G3145+G3151</f>
        <v>576038.75</v>
      </c>
    </row>
    <row r="3153" spans="1:8" s="265" customFormat="1">
      <c r="A3153" s="294" t="s">
        <v>706</v>
      </c>
      <c r="B3153" s="1148" t="s">
        <v>876</v>
      </c>
      <c r="C3153" s="1148"/>
      <c r="D3153" s="1148"/>
      <c r="E3153" s="1147" t="s">
        <v>4030</v>
      </c>
      <c r="F3153" s="1147"/>
      <c r="G3153" s="255">
        <f>G3152*0.15</f>
        <v>86405.8125</v>
      </c>
    </row>
    <row r="3154" spans="1:8" s="265" customFormat="1">
      <c r="A3154" s="294" t="s">
        <v>708</v>
      </c>
      <c r="B3154" s="1149" t="s">
        <v>3911</v>
      </c>
      <c r="C3154" s="1149"/>
      <c r="D3154" s="1149"/>
      <c r="E3154" s="1149"/>
      <c r="F3154" s="1149"/>
      <c r="G3154" s="255">
        <f>ROUND(SUM(G3152:G3153),2)</f>
        <v>662444.56000000006</v>
      </c>
      <c r="H3154" s="255">
        <f>SUM(G3152:G3153)</f>
        <v>662444.5625</v>
      </c>
    </row>
    <row r="3155" spans="1:8">
      <c r="A3155" s="268"/>
      <c r="B3155" s="269"/>
      <c r="C3155" s="268"/>
      <c r="D3155" s="268"/>
      <c r="E3155" s="380"/>
      <c r="F3155" s="365"/>
      <c r="G3155" s="270"/>
    </row>
    <row r="3156" spans="1:8">
      <c r="A3156" s="286" t="s">
        <v>4203</v>
      </c>
      <c r="B3156" s="265" t="s">
        <v>3991</v>
      </c>
    </row>
    <row r="3157" spans="1:8" s="292" customFormat="1" ht="24.95" customHeight="1">
      <c r="A3157" s="290" t="s">
        <v>1003</v>
      </c>
      <c r="B3157" s="290" t="s">
        <v>1004</v>
      </c>
      <c r="C3157" s="290" t="s">
        <v>1005</v>
      </c>
      <c r="D3157" s="290" t="s">
        <v>1006</v>
      </c>
      <c r="E3157" s="373" t="s">
        <v>1007</v>
      </c>
      <c r="F3157" s="363" t="s">
        <v>2637</v>
      </c>
      <c r="G3157" s="291" t="s">
        <v>2638</v>
      </c>
    </row>
    <row r="3158" spans="1:8">
      <c r="A3158" s="294" t="s">
        <v>671</v>
      </c>
      <c r="B3158" s="410" t="s">
        <v>672</v>
      </c>
      <c r="C3158" s="247"/>
      <c r="D3158" s="247"/>
      <c r="E3158" s="372"/>
      <c r="F3158" s="360"/>
      <c r="G3158" s="248"/>
    </row>
    <row r="3159" spans="1:8">
      <c r="A3159" s="294"/>
      <c r="B3159" s="410" t="s">
        <v>673</v>
      </c>
      <c r="C3159" s="247" t="s">
        <v>674</v>
      </c>
      <c r="D3159" s="247" t="s">
        <v>675</v>
      </c>
      <c r="E3159" s="372">
        <v>0.7</v>
      </c>
      <c r="F3159" s="360">
        <f>'UPAD-BAHAN-ALAT'!$I$12</f>
        <v>110000</v>
      </c>
      <c r="G3159" s="248">
        <f>F3159*E3159</f>
        <v>77000</v>
      </c>
    </row>
    <row r="3160" spans="1:8">
      <c r="A3160" s="294"/>
      <c r="B3160" s="410" t="s">
        <v>816</v>
      </c>
      <c r="C3160" s="247" t="s">
        <v>678</v>
      </c>
      <c r="D3160" s="247" t="s">
        <v>675</v>
      </c>
      <c r="E3160" s="372">
        <v>0.35</v>
      </c>
      <c r="F3160" s="360">
        <f>'UPAD-BAHAN-ALAT'!$I$13</f>
        <v>140000</v>
      </c>
      <c r="G3160" s="248">
        <f>F3160*E3160</f>
        <v>49000</v>
      </c>
    </row>
    <row r="3161" spans="1:8">
      <c r="A3161" s="294"/>
      <c r="B3161" s="410" t="s">
        <v>751</v>
      </c>
      <c r="C3161" s="247" t="s">
        <v>681</v>
      </c>
      <c r="D3161" s="247" t="s">
        <v>675</v>
      </c>
      <c r="E3161" s="372">
        <v>3.5000000000000003E-2</v>
      </c>
      <c r="F3161" s="360">
        <f>'UPAD-BAHAN-ALAT'!$I$15</f>
        <v>150000</v>
      </c>
      <c r="G3161" s="248">
        <f>F3161*E3161</f>
        <v>5250.0000000000009</v>
      </c>
    </row>
    <row r="3162" spans="1:8">
      <c r="A3162" s="294"/>
      <c r="B3162" s="410" t="s">
        <v>683</v>
      </c>
      <c r="C3162" s="247" t="s">
        <v>684</v>
      </c>
      <c r="D3162" s="247" t="s">
        <v>675</v>
      </c>
      <c r="E3162" s="372">
        <v>3.5000000000000003E-2</v>
      </c>
      <c r="F3162" s="360">
        <f>'UPAD-BAHAN-ALAT'!$I$14</f>
        <v>140000</v>
      </c>
      <c r="G3162" s="248">
        <f>F3162*E3162</f>
        <v>4900.0000000000009</v>
      </c>
    </row>
    <row r="3163" spans="1:8">
      <c r="A3163" s="294"/>
      <c r="B3163" s="410"/>
      <c r="C3163" s="247"/>
      <c r="D3163" s="247"/>
      <c r="E3163" s="1146" t="s">
        <v>685</v>
      </c>
      <c r="F3163" s="1146"/>
      <c r="G3163" s="248">
        <f>SUM(G3159:G3162)</f>
        <v>136150</v>
      </c>
    </row>
    <row r="3164" spans="1:8">
      <c r="A3164" s="294" t="s">
        <v>686</v>
      </c>
      <c r="B3164" s="410" t="s">
        <v>687</v>
      </c>
      <c r="C3164" s="247"/>
      <c r="D3164" s="247"/>
      <c r="E3164" s="372"/>
      <c r="F3164" s="360"/>
      <c r="G3164" s="248"/>
    </row>
    <row r="3165" spans="1:8">
      <c r="A3165" s="294"/>
      <c r="B3165" s="410" t="s">
        <v>1134</v>
      </c>
      <c r="C3165" s="247"/>
      <c r="D3165" s="247" t="s">
        <v>743</v>
      </c>
      <c r="E3165" s="372">
        <v>16.8</v>
      </c>
      <c r="F3165" s="360">
        <f>'UPAD-BAHAN-ALAT'!$I$255</f>
        <v>5375</v>
      </c>
      <c r="G3165" s="248">
        <f>F3165*E3165</f>
        <v>90300</v>
      </c>
    </row>
    <row r="3166" spans="1:8">
      <c r="A3166" s="294"/>
      <c r="B3166" s="410" t="s">
        <v>818</v>
      </c>
      <c r="C3166" s="247"/>
      <c r="D3166" s="247" t="s">
        <v>690</v>
      </c>
      <c r="E3166" s="372">
        <v>10.4</v>
      </c>
      <c r="F3166" s="360">
        <f>'UPAD-BAHAN-ALAT'!$I$77</f>
        <v>1625</v>
      </c>
      <c r="G3166" s="248">
        <f>F3166*E3166</f>
        <v>16900</v>
      </c>
    </row>
    <row r="3167" spans="1:8">
      <c r="A3167" s="294"/>
      <c r="B3167" s="410" t="s">
        <v>739</v>
      </c>
      <c r="C3167" s="247"/>
      <c r="D3167" s="247" t="s">
        <v>881</v>
      </c>
      <c r="E3167" s="372">
        <v>4.4999999999999998E-2</v>
      </c>
      <c r="F3167" s="360">
        <f>'UPAD-BAHAN-ALAT'!$I$71</f>
        <v>176000</v>
      </c>
      <c r="G3167" s="248">
        <f>F3167*E3167</f>
        <v>7920</v>
      </c>
    </row>
    <row r="3168" spans="1:8">
      <c r="A3168" s="294"/>
      <c r="B3168" s="410" t="s">
        <v>1100</v>
      </c>
      <c r="C3168" s="247"/>
      <c r="D3168" s="247" t="s">
        <v>690</v>
      </c>
      <c r="E3168" s="372">
        <v>1.62</v>
      </c>
      <c r="F3168" s="360">
        <f>'UPAD-BAHAN-ALAT'!$I$74/40</f>
        <v>3437.5</v>
      </c>
      <c r="G3168" s="248">
        <f>F3168*E3168</f>
        <v>5568.75</v>
      </c>
    </row>
    <row r="3169" spans="1:8">
      <c r="A3169" s="294"/>
      <c r="B3169" s="295"/>
      <c r="C3169" s="296"/>
      <c r="D3169" s="296"/>
      <c r="E3169" s="1146" t="s">
        <v>702</v>
      </c>
      <c r="F3169" s="1146"/>
      <c r="G3169" s="248">
        <f>SUM(G3165:G3168)</f>
        <v>120688.75</v>
      </c>
    </row>
    <row r="3170" spans="1:8" s="265" customFormat="1">
      <c r="A3170" s="294" t="s">
        <v>703</v>
      </c>
      <c r="B3170" s="1147" t="s">
        <v>3910</v>
      </c>
      <c r="C3170" s="1147"/>
      <c r="D3170" s="1147"/>
      <c r="E3170" s="1147"/>
      <c r="F3170" s="1147"/>
      <c r="G3170" s="255">
        <f>G3163+G3169</f>
        <v>256838.75</v>
      </c>
    </row>
    <row r="3171" spans="1:8" s="265" customFormat="1">
      <c r="A3171" s="294" t="s">
        <v>706</v>
      </c>
      <c r="B3171" s="1148" t="s">
        <v>876</v>
      </c>
      <c r="C3171" s="1148"/>
      <c r="D3171" s="1148"/>
      <c r="E3171" s="1147" t="s">
        <v>4030</v>
      </c>
      <c r="F3171" s="1147"/>
      <c r="G3171" s="255">
        <f>G3170*0.15</f>
        <v>38525.8125</v>
      </c>
    </row>
    <row r="3172" spans="1:8" s="265" customFormat="1">
      <c r="A3172" s="294" t="s">
        <v>708</v>
      </c>
      <c r="B3172" s="1149" t="s">
        <v>3911</v>
      </c>
      <c r="C3172" s="1149"/>
      <c r="D3172" s="1149"/>
      <c r="E3172" s="1149"/>
      <c r="F3172" s="1149"/>
      <c r="G3172" s="255">
        <f>ROUND(SUM(G3170:G3171),2)</f>
        <v>295364.56</v>
      </c>
      <c r="H3172" s="255">
        <f>SUM(G3170:G3171)</f>
        <v>295364.5625</v>
      </c>
    </row>
    <row r="3173" spans="1:8">
      <c r="A3173" s="252"/>
      <c r="B3173" s="251"/>
      <c r="C3173" s="252"/>
      <c r="D3173" s="252"/>
      <c r="E3173" s="374"/>
      <c r="F3173" s="361"/>
      <c r="G3173" s="253"/>
    </row>
    <row r="3174" spans="1:8">
      <c r="A3174" s="286" t="s">
        <v>4204</v>
      </c>
      <c r="B3174" s="265" t="s">
        <v>2805</v>
      </c>
    </row>
    <row r="3175" spans="1:8" s="292" customFormat="1" ht="24.95" customHeight="1">
      <c r="A3175" s="290" t="s">
        <v>1003</v>
      </c>
      <c r="B3175" s="290" t="s">
        <v>1004</v>
      </c>
      <c r="C3175" s="290" t="s">
        <v>1005</v>
      </c>
      <c r="D3175" s="290" t="s">
        <v>1006</v>
      </c>
      <c r="E3175" s="373" t="s">
        <v>1007</v>
      </c>
      <c r="F3175" s="363" t="s">
        <v>2637</v>
      </c>
      <c r="G3175" s="291" t="s">
        <v>2638</v>
      </c>
    </row>
    <row r="3176" spans="1:8">
      <c r="A3176" s="294" t="s">
        <v>671</v>
      </c>
      <c r="B3176" s="410" t="s">
        <v>672</v>
      </c>
      <c r="C3176" s="247"/>
      <c r="D3176" s="247"/>
      <c r="E3176" s="372"/>
      <c r="F3176" s="360"/>
      <c r="G3176" s="248"/>
    </row>
    <row r="3177" spans="1:8">
      <c r="A3177" s="294"/>
      <c r="B3177" s="410" t="s">
        <v>673</v>
      </c>
      <c r="C3177" s="247" t="s">
        <v>674</v>
      </c>
      <c r="D3177" s="247" t="s">
        <v>675</v>
      </c>
      <c r="E3177" s="372">
        <v>0.7</v>
      </c>
      <c r="F3177" s="360">
        <f>'UPAD-BAHAN-ALAT'!$I$12</f>
        <v>110000</v>
      </c>
      <c r="G3177" s="248">
        <f>F3177*E3177</f>
        <v>77000</v>
      </c>
    </row>
    <row r="3178" spans="1:8">
      <c r="A3178" s="294"/>
      <c r="B3178" s="410" t="s">
        <v>816</v>
      </c>
      <c r="C3178" s="247" t="s">
        <v>678</v>
      </c>
      <c r="D3178" s="247" t="s">
        <v>675</v>
      </c>
      <c r="E3178" s="372">
        <v>0.35</v>
      </c>
      <c r="F3178" s="360">
        <f>'UPAD-BAHAN-ALAT'!$I$13</f>
        <v>140000</v>
      </c>
      <c r="G3178" s="248">
        <f>F3178*E3178</f>
        <v>49000</v>
      </c>
    </row>
    <row r="3179" spans="1:8">
      <c r="A3179" s="294"/>
      <c r="B3179" s="410" t="s">
        <v>751</v>
      </c>
      <c r="C3179" s="247" t="s">
        <v>681</v>
      </c>
      <c r="D3179" s="247" t="s">
        <v>675</v>
      </c>
      <c r="E3179" s="372">
        <v>3.5000000000000003E-2</v>
      </c>
      <c r="F3179" s="360">
        <f>'UPAD-BAHAN-ALAT'!$I$15</f>
        <v>150000</v>
      </c>
      <c r="G3179" s="248">
        <f>F3179*E3179</f>
        <v>5250.0000000000009</v>
      </c>
    </row>
    <row r="3180" spans="1:8">
      <c r="A3180" s="294"/>
      <c r="B3180" s="410" t="s">
        <v>683</v>
      </c>
      <c r="C3180" s="247" t="s">
        <v>684</v>
      </c>
      <c r="D3180" s="247" t="s">
        <v>675</v>
      </c>
      <c r="E3180" s="372">
        <v>3.5000000000000003E-2</v>
      </c>
      <c r="F3180" s="360">
        <f>'UPAD-BAHAN-ALAT'!$I$14</f>
        <v>140000</v>
      </c>
      <c r="G3180" s="248">
        <f>F3180*E3180</f>
        <v>4900.0000000000009</v>
      </c>
    </row>
    <row r="3181" spans="1:8">
      <c r="A3181" s="294"/>
      <c r="B3181" s="410"/>
      <c r="C3181" s="247"/>
      <c r="D3181" s="247"/>
      <c r="E3181" s="1146" t="s">
        <v>685</v>
      </c>
      <c r="F3181" s="1146"/>
      <c r="G3181" s="248">
        <f>SUM(G3177:G3180)</f>
        <v>136150</v>
      </c>
    </row>
    <row r="3182" spans="1:8">
      <c r="A3182" s="294" t="s">
        <v>686</v>
      </c>
      <c r="B3182" s="410" t="s">
        <v>687</v>
      </c>
      <c r="C3182" s="247"/>
      <c r="D3182" s="247"/>
      <c r="E3182" s="372"/>
      <c r="F3182" s="360"/>
      <c r="G3182" s="248"/>
    </row>
    <row r="3183" spans="1:8">
      <c r="A3183" s="294"/>
      <c r="B3183" s="410" t="s">
        <v>1134</v>
      </c>
      <c r="C3183" s="247"/>
      <c r="D3183" s="247" t="s">
        <v>743</v>
      </c>
      <c r="E3183" s="372">
        <v>11.87</v>
      </c>
      <c r="F3183" s="360">
        <f>'UPAD-BAHAN-ALAT'!$I$252</f>
        <v>6650</v>
      </c>
      <c r="G3183" s="248">
        <f>F3183*E3183</f>
        <v>78935.5</v>
      </c>
    </row>
    <row r="3184" spans="1:8">
      <c r="A3184" s="294"/>
      <c r="B3184" s="410" t="s">
        <v>818</v>
      </c>
      <c r="C3184" s="247"/>
      <c r="D3184" s="247" t="s">
        <v>690</v>
      </c>
      <c r="E3184" s="372">
        <v>14.15</v>
      </c>
      <c r="F3184" s="360">
        <f>'UPAD-BAHAN-ALAT'!$I$77</f>
        <v>1625</v>
      </c>
      <c r="G3184" s="248">
        <f>F3184*E3184</f>
        <v>22993.75</v>
      </c>
    </row>
    <row r="3185" spans="1:8">
      <c r="A3185" s="294"/>
      <c r="B3185" s="410" t="s">
        <v>739</v>
      </c>
      <c r="C3185" s="247"/>
      <c r="D3185" s="247" t="s">
        <v>881</v>
      </c>
      <c r="E3185" s="372">
        <v>3.9E-2</v>
      </c>
      <c r="F3185" s="360">
        <f>'UPAD-BAHAN-ALAT'!$I$71</f>
        <v>176000</v>
      </c>
      <c r="G3185" s="248">
        <f>F3185*E3185</f>
        <v>6864</v>
      </c>
    </row>
    <row r="3186" spans="1:8">
      <c r="A3186" s="294"/>
      <c r="B3186" s="410" t="s">
        <v>1100</v>
      </c>
      <c r="C3186" s="247"/>
      <c r="D3186" s="247" t="s">
        <v>690</v>
      </c>
      <c r="E3186" s="372">
        <v>2</v>
      </c>
      <c r="F3186" s="360">
        <f>'UPAD-BAHAN-ALAT'!$I$74/40</f>
        <v>3437.5</v>
      </c>
      <c r="G3186" s="248">
        <f>F3186*E3186</f>
        <v>6875</v>
      </c>
    </row>
    <row r="3187" spans="1:8">
      <c r="A3187" s="294"/>
      <c r="B3187" s="295"/>
      <c r="C3187" s="296"/>
      <c r="D3187" s="296"/>
      <c r="E3187" s="1146" t="s">
        <v>702</v>
      </c>
      <c r="F3187" s="1146"/>
      <c r="G3187" s="248">
        <f>SUM(G3183:G3186)</f>
        <v>115668.25</v>
      </c>
    </row>
    <row r="3188" spans="1:8" s="265" customFormat="1">
      <c r="A3188" s="294" t="s">
        <v>703</v>
      </c>
      <c r="B3188" s="1147" t="s">
        <v>3910</v>
      </c>
      <c r="C3188" s="1147"/>
      <c r="D3188" s="1147"/>
      <c r="E3188" s="1147"/>
      <c r="F3188" s="1147"/>
      <c r="G3188" s="255">
        <f>G3181+G3187</f>
        <v>251818.25</v>
      </c>
    </row>
    <row r="3189" spans="1:8" s="265" customFormat="1">
      <c r="A3189" s="294" t="s">
        <v>706</v>
      </c>
      <c r="B3189" s="1148" t="s">
        <v>876</v>
      </c>
      <c r="C3189" s="1148"/>
      <c r="D3189" s="1148"/>
      <c r="E3189" s="1147" t="s">
        <v>4030</v>
      </c>
      <c r="F3189" s="1147"/>
      <c r="G3189" s="255">
        <f>G3188*0.15</f>
        <v>37772.737499999996</v>
      </c>
    </row>
    <row r="3190" spans="1:8" s="265" customFormat="1">
      <c r="A3190" s="294" t="s">
        <v>708</v>
      </c>
      <c r="B3190" s="1149" t="s">
        <v>3911</v>
      </c>
      <c r="C3190" s="1149"/>
      <c r="D3190" s="1149"/>
      <c r="E3190" s="1149"/>
      <c r="F3190" s="1149"/>
      <c r="G3190" s="255">
        <f>ROUND(SUM(G3188:G3189),2)</f>
        <v>289590.99</v>
      </c>
      <c r="H3190" s="255">
        <f>SUM(G3188:G3189)</f>
        <v>289590.98749999999</v>
      </c>
    </row>
    <row r="3191" spans="1:8">
      <c r="A3191" s="268"/>
      <c r="B3191" s="269"/>
      <c r="C3191" s="268"/>
      <c r="D3191" s="268"/>
      <c r="E3191" s="380"/>
      <c r="F3191" s="365"/>
      <c r="G3191" s="270"/>
    </row>
    <row r="3192" spans="1:8">
      <c r="A3192" s="286" t="s">
        <v>4205</v>
      </c>
      <c r="B3192" s="265" t="s">
        <v>2803</v>
      </c>
    </row>
    <row r="3193" spans="1:8" ht="24.95" customHeight="1">
      <c r="A3193" s="290" t="s">
        <v>1003</v>
      </c>
      <c r="B3193" s="290" t="s">
        <v>1004</v>
      </c>
      <c r="C3193" s="290" t="s">
        <v>1005</v>
      </c>
      <c r="D3193" s="290" t="s">
        <v>1006</v>
      </c>
      <c r="E3193" s="373" t="s">
        <v>1007</v>
      </c>
      <c r="F3193" s="363" t="s">
        <v>2637</v>
      </c>
      <c r="G3193" s="291" t="s">
        <v>2638</v>
      </c>
    </row>
    <row r="3194" spans="1:8">
      <c r="A3194" s="294" t="s">
        <v>671</v>
      </c>
      <c r="B3194" s="410" t="s">
        <v>672</v>
      </c>
      <c r="C3194" s="247"/>
      <c r="D3194" s="247"/>
      <c r="E3194" s="372"/>
      <c r="F3194" s="360"/>
      <c r="G3194" s="248"/>
    </row>
    <row r="3195" spans="1:8">
      <c r="A3195" s="294"/>
      <c r="B3195" s="410" t="s">
        <v>673</v>
      </c>
      <c r="C3195" s="247" t="s">
        <v>674</v>
      </c>
      <c r="D3195" s="247" t="s">
        <v>675</v>
      </c>
      <c r="E3195" s="372">
        <v>0.09</v>
      </c>
      <c r="F3195" s="360">
        <f>'UPAD-BAHAN-ALAT'!$I$12</f>
        <v>110000</v>
      </c>
      <c r="G3195" s="248">
        <f>F3195*E3195</f>
        <v>9900</v>
      </c>
    </row>
    <row r="3196" spans="1:8">
      <c r="A3196" s="294"/>
      <c r="B3196" s="410" t="s">
        <v>816</v>
      </c>
      <c r="C3196" s="247" t="s">
        <v>678</v>
      </c>
      <c r="D3196" s="247" t="s">
        <v>675</v>
      </c>
      <c r="E3196" s="372">
        <v>0.09</v>
      </c>
      <c r="F3196" s="360">
        <f>'UPAD-BAHAN-ALAT'!$I$13</f>
        <v>140000</v>
      </c>
      <c r="G3196" s="248">
        <f>F3196*E3196</f>
        <v>12600</v>
      </c>
    </row>
    <row r="3197" spans="1:8">
      <c r="A3197" s="294"/>
      <c r="B3197" s="410" t="s">
        <v>751</v>
      </c>
      <c r="C3197" s="247" t="s">
        <v>681</v>
      </c>
      <c r="D3197" s="247" t="s">
        <v>675</v>
      </c>
      <c r="E3197" s="372">
        <v>3.5000000000000003E-2</v>
      </c>
      <c r="F3197" s="360">
        <f>'UPAD-BAHAN-ALAT'!$I$15</f>
        <v>150000</v>
      </c>
      <c r="G3197" s="248">
        <f>F3197*E3197</f>
        <v>5250.0000000000009</v>
      </c>
    </row>
    <row r="3198" spans="1:8">
      <c r="A3198" s="294"/>
      <c r="B3198" s="410" t="s">
        <v>683</v>
      </c>
      <c r="C3198" s="247" t="s">
        <v>684</v>
      </c>
      <c r="D3198" s="247" t="s">
        <v>675</v>
      </c>
      <c r="E3198" s="372">
        <v>5.0000000000000001E-3</v>
      </c>
      <c r="F3198" s="360">
        <f>'UPAD-BAHAN-ALAT'!$I$14</f>
        <v>140000</v>
      </c>
      <c r="G3198" s="248">
        <f>F3198*E3198</f>
        <v>700</v>
      </c>
    </row>
    <row r="3199" spans="1:8">
      <c r="A3199" s="294"/>
      <c r="B3199" s="410"/>
      <c r="C3199" s="247"/>
      <c r="D3199" s="247"/>
      <c r="E3199" s="1146" t="s">
        <v>685</v>
      </c>
      <c r="F3199" s="1146"/>
      <c r="G3199" s="248">
        <f>SUM(G3195:G3198)</f>
        <v>28450</v>
      </c>
    </row>
    <row r="3200" spans="1:8">
      <c r="A3200" s="294" t="s">
        <v>686</v>
      </c>
      <c r="B3200" s="410" t="s">
        <v>687</v>
      </c>
      <c r="C3200" s="247"/>
      <c r="D3200" s="247"/>
      <c r="E3200" s="372"/>
      <c r="F3200" s="360"/>
      <c r="G3200" s="248"/>
    </row>
    <row r="3201" spans="1:7">
      <c r="A3201" s="294"/>
      <c r="B3201" s="410" t="s">
        <v>1145</v>
      </c>
      <c r="C3201" s="247"/>
      <c r="D3201" s="247" t="s">
        <v>743</v>
      </c>
      <c r="E3201" s="372">
        <v>10.5</v>
      </c>
      <c r="F3201" s="360">
        <f>'UPAD-BAHAN-ALAT'!$I$270</f>
        <v>1075</v>
      </c>
      <c r="G3201" s="248">
        <f>F3201*E3201</f>
        <v>11287.5</v>
      </c>
    </row>
    <row r="3202" spans="1:7">
      <c r="A3202" s="294"/>
      <c r="B3202" s="410" t="s">
        <v>738</v>
      </c>
      <c r="C3202" s="247"/>
      <c r="D3202" s="247" t="s">
        <v>690</v>
      </c>
      <c r="E3202" s="372">
        <v>1.1399999999999999</v>
      </c>
      <c r="F3202" s="360">
        <f>'UPAD-BAHAN-ALAT'!$I$77</f>
        <v>1625</v>
      </c>
      <c r="G3202" s="248">
        <f>F3202*E3202</f>
        <v>1852.4999999999998</v>
      </c>
    </row>
    <row r="3203" spans="1:7">
      <c r="A3203" s="294"/>
      <c r="B3203" s="410" t="s">
        <v>739</v>
      </c>
      <c r="C3203" s="247"/>
      <c r="D3203" s="247" t="s">
        <v>881</v>
      </c>
      <c r="E3203" s="372">
        <v>3.0000000000000001E-3</v>
      </c>
      <c r="F3203" s="360">
        <f>'UPAD-BAHAN-ALAT'!$I$71</f>
        <v>176000</v>
      </c>
      <c r="G3203" s="248">
        <f>F3203*E3203</f>
        <v>528</v>
      </c>
    </row>
    <row r="3204" spans="1:7">
      <c r="A3204" s="294"/>
      <c r="B3204" s="410" t="s">
        <v>1100</v>
      </c>
      <c r="C3204" s="247"/>
      <c r="D3204" s="247" t="s">
        <v>690</v>
      </c>
      <c r="E3204" s="372">
        <v>0.05</v>
      </c>
      <c r="F3204" s="360">
        <f>'UPAD-BAHAN-ALAT'!$I$74/40</f>
        <v>3437.5</v>
      </c>
      <c r="G3204" s="248">
        <f>F3204*E3204</f>
        <v>171.875</v>
      </c>
    </row>
    <row r="3205" spans="1:7">
      <c r="A3205" s="294"/>
      <c r="B3205" s="295"/>
      <c r="C3205" s="296"/>
      <c r="D3205" s="296"/>
      <c r="E3205" s="1146" t="s">
        <v>702</v>
      </c>
      <c r="F3205" s="1146"/>
      <c r="G3205" s="248">
        <f>SUM(G3201:G3204)</f>
        <v>13839.875</v>
      </c>
    </row>
    <row r="3206" spans="1:7">
      <c r="A3206" s="294" t="s">
        <v>703</v>
      </c>
      <c r="B3206" s="1147" t="s">
        <v>3910</v>
      </c>
      <c r="C3206" s="1147"/>
      <c r="D3206" s="1147"/>
      <c r="E3206" s="1147"/>
      <c r="F3206" s="1147"/>
      <c r="G3206" s="255">
        <f>G3199+G3205</f>
        <v>42289.875</v>
      </c>
    </row>
    <row r="3207" spans="1:7">
      <c r="A3207" s="294" t="s">
        <v>706</v>
      </c>
      <c r="B3207" s="1148" t="s">
        <v>876</v>
      </c>
      <c r="C3207" s="1148"/>
      <c r="D3207" s="1148"/>
      <c r="E3207" s="1147" t="s">
        <v>4030</v>
      </c>
      <c r="F3207" s="1147"/>
      <c r="G3207" s="255">
        <f>G3206*0.15</f>
        <v>6343.4812499999998</v>
      </c>
    </row>
    <row r="3208" spans="1:7">
      <c r="A3208" s="294" t="s">
        <v>708</v>
      </c>
      <c r="B3208" s="1149" t="s">
        <v>3911</v>
      </c>
      <c r="C3208" s="1149"/>
      <c r="D3208" s="1149"/>
      <c r="E3208" s="1149"/>
      <c r="F3208" s="1149"/>
      <c r="G3208" s="255">
        <f>ROUND(SUM(G3206:G3207),2)</f>
        <v>48633.36</v>
      </c>
    </row>
    <row r="3209" spans="1:7">
      <c r="A3209" s="252"/>
      <c r="B3209" s="251"/>
      <c r="C3209" s="252"/>
      <c r="D3209" s="252"/>
      <c r="E3209" s="374"/>
      <c r="F3209" s="361"/>
      <c r="G3209" s="253"/>
    </row>
    <row r="3210" spans="1:7">
      <c r="A3210" s="285" t="s">
        <v>4600</v>
      </c>
      <c r="B3210" s="250" t="s">
        <v>2804</v>
      </c>
      <c r="C3210" s="252"/>
      <c r="D3210" s="252"/>
      <c r="E3210" s="374"/>
      <c r="F3210" s="361"/>
      <c r="G3210" s="253"/>
    </row>
    <row r="3211" spans="1:7" s="292" customFormat="1" ht="24.95" customHeight="1">
      <c r="A3211" s="290" t="s">
        <v>1003</v>
      </c>
      <c r="B3211" s="290" t="s">
        <v>1004</v>
      </c>
      <c r="C3211" s="290" t="s">
        <v>1005</v>
      </c>
      <c r="D3211" s="290" t="s">
        <v>1006</v>
      </c>
      <c r="E3211" s="373" t="s">
        <v>1007</v>
      </c>
      <c r="F3211" s="363" t="s">
        <v>2637</v>
      </c>
      <c r="G3211" s="291" t="s">
        <v>2638</v>
      </c>
    </row>
    <row r="3212" spans="1:7">
      <c r="A3212" s="294" t="s">
        <v>671</v>
      </c>
      <c r="B3212" s="410" t="s">
        <v>672</v>
      </c>
      <c r="C3212" s="247"/>
      <c r="D3212" s="247"/>
      <c r="E3212" s="372"/>
      <c r="F3212" s="360"/>
      <c r="G3212" s="248"/>
    </row>
    <row r="3213" spans="1:7">
      <c r="A3213" s="294"/>
      <c r="B3213" s="410" t="s">
        <v>673</v>
      </c>
      <c r="C3213" s="247" t="s">
        <v>674</v>
      </c>
      <c r="D3213" s="247" t="s">
        <v>675</v>
      </c>
      <c r="E3213" s="372">
        <v>0.09</v>
      </c>
      <c r="F3213" s="360">
        <f>'UPAD-BAHAN-ALAT'!$I$12</f>
        <v>110000</v>
      </c>
      <c r="G3213" s="248">
        <f>F3213*E3213</f>
        <v>9900</v>
      </c>
    </row>
    <row r="3214" spans="1:7">
      <c r="A3214" s="294"/>
      <c r="B3214" s="410" t="s">
        <v>816</v>
      </c>
      <c r="C3214" s="247" t="s">
        <v>678</v>
      </c>
      <c r="D3214" s="247" t="s">
        <v>675</v>
      </c>
      <c r="E3214" s="372">
        <v>0.09</v>
      </c>
      <c r="F3214" s="360">
        <f>'UPAD-BAHAN-ALAT'!$I$13</f>
        <v>140000</v>
      </c>
      <c r="G3214" s="248">
        <f>F3214*E3214</f>
        <v>12600</v>
      </c>
    </row>
    <row r="3215" spans="1:7">
      <c r="A3215" s="294"/>
      <c r="B3215" s="410" t="s">
        <v>751</v>
      </c>
      <c r="C3215" s="247" t="s">
        <v>681</v>
      </c>
      <c r="D3215" s="247" t="s">
        <v>675</v>
      </c>
      <c r="E3215" s="372">
        <v>3.5000000000000003E-2</v>
      </c>
      <c r="F3215" s="360">
        <f>'UPAD-BAHAN-ALAT'!$I$15</f>
        <v>150000</v>
      </c>
      <c r="G3215" s="248">
        <f>F3215*E3215</f>
        <v>5250.0000000000009</v>
      </c>
    </row>
    <row r="3216" spans="1:7">
      <c r="A3216" s="294"/>
      <c r="B3216" s="410" t="s">
        <v>683</v>
      </c>
      <c r="C3216" s="247" t="s">
        <v>684</v>
      </c>
      <c r="D3216" s="247" t="s">
        <v>675</v>
      </c>
      <c r="E3216" s="372">
        <v>5.0000000000000001E-3</v>
      </c>
      <c r="F3216" s="360">
        <f>'UPAD-BAHAN-ALAT'!$I$14</f>
        <v>140000</v>
      </c>
      <c r="G3216" s="248">
        <f>F3216*E3216</f>
        <v>700</v>
      </c>
    </row>
    <row r="3217" spans="1:8">
      <c r="A3217" s="294"/>
      <c r="B3217" s="410"/>
      <c r="C3217" s="247"/>
      <c r="D3217" s="247"/>
      <c r="E3217" s="1146" t="s">
        <v>685</v>
      </c>
      <c r="F3217" s="1146"/>
      <c r="G3217" s="248">
        <f>SUM(G3213:G3216)</f>
        <v>28450</v>
      </c>
    </row>
    <row r="3218" spans="1:8">
      <c r="A3218" s="294" t="s">
        <v>686</v>
      </c>
      <c r="B3218" s="410" t="s">
        <v>687</v>
      </c>
      <c r="C3218" s="247"/>
      <c r="D3218" s="247"/>
      <c r="E3218" s="372"/>
      <c r="F3218" s="360"/>
      <c r="G3218" s="248"/>
    </row>
    <row r="3219" spans="1:8">
      <c r="A3219" s="294"/>
      <c r="B3219" s="410" t="s">
        <v>1145</v>
      </c>
      <c r="C3219" s="247"/>
      <c r="D3219" s="247" t="s">
        <v>743</v>
      </c>
      <c r="E3219" s="372">
        <v>5.3</v>
      </c>
      <c r="F3219" s="360">
        <f>'UPAD-BAHAN-ALAT'!$I$271</f>
        <v>1700</v>
      </c>
      <c r="G3219" s="248">
        <f>F3219*E3219</f>
        <v>9010</v>
      </c>
    </row>
    <row r="3220" spans="1:8">
      <c r="A3220" s="294"/>
      <c r="B3220" s="410" t="s">
        <v>818</v>
      </c>
      <c r="C3220" s="247"/>
      <c r="D3220" s="247" t="s">
        <v>690</v>
      </c>
      <c r="E3220" s="372">
        <v>1.1399999999999999</v>
      </c>
      <c r="F3220" s="360">
        <f>'UPAD-BAHAN-ALAT'!$I$77</f>
        <v>1625</v>
      </c>
      <c r="G3220" s="248">
        <f>F3220*E3220</f>
        <v>1852.4999999999998</v>
      </c>
    </row>
    <row r="3221" spans="1:8">
      <c r="A3221" s="294"/>
      <c r="B3221" s="410" t="s">
        <v>739</v>
      </c>
      <c r="C3221" s="247"/>
      <c r="D3221" s="247" t="s">
        <v>881</v>
      </c>
      <c r="E3221" s="372">
        <v>3.0000000000000001E-3</v>
      </c>
      <c r="F3221" s="360">
        <f>'UPAD-BAHAN-ALAT'!$I$71</f>
        <v>176000</v>
      </c>
      <c r="G3221" s="248">
        <f>F3221*E3221</f>
        <v>528</v>
      </c>
    </row>
    <row r="3222" spans="1:8">
      <c r="A3222" s="294"/>
      <c r="B3222" s="410" t="s">
        <v>1100</v>
      </c>
      <c r="C3222" s="247"/>
      <c r="D3222" s="247" t="s">
        <v>690</v>
      </c>
      <c r="E3222" s="372">
        <v>2.5000000000000001E-2</v>
      </c>
      <c r="F3222" s="360">
        <f>'UPAD-BAHAN-ALAT'!$I$74/40</f>
        <v>3437.5</v>
      </c>
      <c r="G3222" s="248">
        <f>F3222*E3222</f>
        <v>85.9375</v>
      </c>
    </row>
    <row r="3223" spans="1:8">
      <c r="A3223" s="294"/>
      <c r="B3223" s="410"/>
      <c r="C3223" s="247"/>
      <c r="D3223" s="247"/>
      <c r="E3223" s="1155" t="s">
        <v>702</v>
      </c>
      <c r="F3223" s="1155"/>
      <c r="G3223" s="248">
        <f>SUM(G3219:G3222)</f>
        <v>11476.4375</v>
      </c>
    </row>
    <row r="3224" spans="1:8" s="265" customFormat="1">
      <c r="A3224" s="294" t="s">
        <v>703</v>
      </c>
      <c r="B3224" s="1151" t="s">
        <v>3910</v>
      </c>
      <c r="C3224" s="1151"/>
      <c r="D3224" s="1151"/>
      <c r="E3224" s="1151"/>
      <c r="F3224" s="1151"/>
      <c r="G3224" s="255">
        <f>G3217+G3223</f>
        <v>39926.4375</v>
      </c>
    </row>
    <row r="3225" spans="1:8" s="265" customFormat="1">
      <c r="A3225" s="294" t="s">
        <v>706</v>
      </c>
      <c r="B3225" s="1148" t="s">
        <v>876</v>
      </c>
      <c r="C3225" s="1148"/>
      <c r="D3225" s="1148"/>
      <c r="E3225" s="1147" t="s">
        <v>4030</v>
      </c>
      <c r="F3225" s="1147"/>
      <c r="G3225" s="255">
        <f>G3224*0.15</f>
        <v>5988.9656249999998</v>
      </c>
    </row>
    <row r="3226" spans="1:8" s="265" customFormat="1">
      <c r="A3226" s="294" t="s">
        <v>708</v>
      </c>
      <c r="B3226" s="1149" t="s">
        <v>3911</v>
      </c>
      <c r="C3226" s="1149"/>
      <c r="D3226" s="1149"/>
      <c r="E3226" s="1149"/>
      <c r="F3226" s="1149"/>
      <c r="G3226" s="255">
        <f>ROUND(SUM(G3224:G3225),2)</f>
        <v>45915.4</v>
      </c>
      <c r="H3226" s="255">
        <f>SUM(G3224:G3225)</f>
        <v>45915.403124999997</v>
      </c>
    </row>
    <row r="3228" spans="1:8">
      <c r="A3228" s="285" t="s">
        <v>4601</v>
      </c>
      <c r="B3228" s="250" t="s">
        <v>3486</v>
      </c>
      <c r="C3228" s="252"/>
      <c r="D3228" s="252"/>
      <c r="E3228" s="374"/>
      <c r="F3228" s="361"/>
      <c r="G3228" s="253"/>
    </row>
    <row r="3229" spans="1:8" s="292" customFormat="1" ht="24.95" customHeight="1">
      <c r="A3229" s="290" t="s">
        <v>1003</v>
      </c>
      <c r="B3229" s="290" t="s">
        <v>1004</v>
      </c>
      <c r="C3229" s="290" t="s">
        <v>1005</v>
      </c>
      <c r="D3229" s="290" t="s">
        <v>1006</v>
      </c>
      <c r="E3229" s="373" t="s">
        <v>1007</v>
      </c>
      <c r="F3229" s="363" t="s">
        <v>2637</v>
      </c>
      <c r="G3229" s="291" t="s">
        <v>2638</v>
      </c>
    </row>
    <row r="3230" spans="1:8">
      <c r="A3230" s="294" t="s">
        <v>671</v>
      </c>
      <c r="B3230" s="410" t="s">
        <v>672</v>
      </c>
      <c r="C3230" s="247"/>
      <c r="D3230" s="247"/>
      <c r="E3230" s="372"/>
      <c r="F3230" s="360"/>
      <c r="G3230" s="248"/>
    </row>
    <row r="3231" spans="1:8">
      <c r="A3231" s="294"/>
      <c r="B3231" s="410" t="s">
        <v>673</v>
      </c>
      <c r="C3231" s="247" t="s">
        <v>674</v>
      </c>
      <c r="D3231" s="247" t="s">
        <v>675</v>
      </c>
      <c r="E3231" s="372">
        <v>0.09</v>
      </c>
      <c r="F3231" s="360">
        <f>'UPAD-BAHAN-ALAT'!$I$12</f>
        <v>110000</v>
      </c>
      <c r="G3231" s="248">
        <f>F3231*E3231</f>
        <v>9900</v>
      </c>
    </row>
    <row r="3232" spans="1:8">
      <c r="A3232" s="294"/>
      <c r="B3232" s="410" t="s">
        <v>816</v>
      </c>
      <c r="C3232" s="247" t="s">
        <v>678</v>
      </c>
      <c r="D3232" s="247" t="s">
        <v>675</v>
      </c>
      <c r="E3232" s="372">
        <v>0.09</v>
      </c>
      <c r="F3232" s="360">
        <f>'UPAD-BAHAN-ALAT'!$I$13</f>
        <v>140000</v>
      </c>
      <c r="G3232" s="248">
        <f>F3232*E3232</f>
        <v>12600</v>
      </c>
    </row>
    <row r="3233" spans="1:9">
      <c r="A3233" s="294"/>
      <c r="B3233" s="410" t="s">
        <v>751</v>
      </c>
      <c r="C3233" s="247" t="s">
        <v>681</v>
      </c>
      <c r="D3233" s="247" t="s">
        <v>675</v>
      </c>
      <c r="E3233" s="372">
        <v>3.5000000000000003E-2</v>
      </c>
      <c r="F3233" s="360">
        <f>'UPAD-BAHAN-ALAT'!$I$15</f>
        <v>150000</v>
      </c>
      <c r="G3233" s="248">
        <f>F3233*E3233</f>
        <v>5250.0000000000009</v>
      </c>
    </row>
    <row r="3234" spans="1:9">
      <c r="A3234" s="294"/>
      <c r="B3234" s="410" t="s">
        <v>683</v>
      </c>
      <c r="C3234" s="247" t="s">
        <v>684</v>
      </c>
      <c r="D3234" s="247" t="s">
        <v>675</v>
      </c>
      <c r="E3234" s="372">
        <v>5.0000000000000001E-3</v>
      </c>
      <c r="F3234" s="360">
        <f>'UPAD-BAHAN-ALAT'!$I$14</f>
        <v>140000</v>
      </c>
      <c r="G3234" s="248">
        <f>F3234*E3234</f>
        <v>700</v>
      </c>
    </row>
    <row r="3235" spans="1:9">
      <c r="A3235" s="294"/>
      <c r="B3235" s="410"/>
      <c r="C3235" s="247"/>
      <c r="D3235" s="247"/>
      <c r="E3235" s="1146" t="s">
        <v>685</v>
      </c>
      <c r="F3235" s="1146"/>
      <c r="G3235" s="248">
        <f>SUM(G3231:G3234)</f>
        <v>28450</v>
      </c>
    </row>
    <row r="3236" spans="1:9">
      <c r="A3236" s="294" t="s">
        <v>686</v>
      </c>
      <c r="B3236" s="410" t="s">
        <v>687</v>
      </c>
      <c r="C3236" s="247"/>
      <c r="D3236" s="247"/>
      <c r="E3236" s="372"/>
      <c r="F3236" s="360"/>
      <c r="G3236" s="248"/>
    </row>
    <row r="3237" spans="1:9">
      <c r="A3237" s="294"/>
      <c r="B3237" s="410" t="s">
        <v>1145</v>
      </c>
      <c r="C3237" s="247"/>
      <c r="D3237" s="247" t="s">
        <v>743</v>
      </c>
      <c r="E3237" s="372">
        <v>5.3</v>
      </c>
      <c r="F3237" s="360">
        <f>'UPAD-BAHAN-ALAT'!I272</f>
        <v>2210</v>
      </c>
      <c r="G3237" s="248">
        <f>F3237*E3237</f>
        <v>11713</v>
      </c>
    </row>
    <row r="3238" spans="1:9">
      <c r="A3238" s="294"/>
      <c r="B3238" s="410" t="s">
        <v>738</v>
      </c>
      <c r="C3238" s="247"/>
      <c r="D3238" s="247" t="s">
        <v>690</v>
      </c>
      <c r="E3238" s="372">
        <v>0.56999999999999995</v>
      </c>
      <c r="F3238" s="360">
        <f>'UPAD-BAHAN-ALAT'!$I$77</f>
        <v>1625</v>
      </c>
      <c r="G3238" s="248">
        <f>F3238*E3238</f>
        <v>926.24999999999989</v>
      </c>
    </row>
    <row r="3239" spans="1:9">
      <c r="A3239" s="294"/>
      <c r="B3239" s="410" t="s">
        <v>739</v>
      </c>
      <c r="C3239" s="247"/>
      <c r="D3239" s="247" t="s">
        <v>881</v>
      </c>
      <c r="E3239" s="372">
        <v>1.5E-3</v>
      </c>
      <c r="F3239" s="360">
        <f>'UPAD-BAHAN-ALAT'!$I$71</f>
        <v>176000</v>
      </c>
      <c r="G3239" s="248">
        <f>F3239*E3239</f>
        <v>264</v>
      </c>
    </row>
    <row r="3240" spans="1:9">
      <c r="A3240" s="294"/>
      <c r="B3240" s="410" t="s">
        <v>1100</v>
      </c>
      <c r="C3240" s="247"/>
      <c r="D3240" s="247" t="s">
        <v>690</v>
      </c>
      <c r="E3240" s="372">
        <v>1.2999999999999999E-2</v>
      </c>
      <c r="F3240" s="360">
        <f>'UPAD-BAHAN-ALAT'!$I$74/40</f>
        <v>3437.5</v>
      </c>
      <c r="G3240" s="248">
        <f>F3240*E3240</f>
        <v>44.6875</v>
      </c>
    </row>
    <row r="3241" spans="1:9">
      <c r="A3241" s="294"/>
      <c r="B3241" s="295"/>
      <c r="C3241" s="296"/>
      <c r="D3241" s="296"/>
      <c r="E3241" s="1146" t="s">
        <v>702</v>
      </c>
      <c r="F3241" s="1146"/>
      <c r="G3241" s="683">
        <v>12713.32</v>
      </c>
      <c r="I3241" s="259">
        <f>SUM(G3237:G3240)</f>
        <v>12947.9375</v>
      </c>
    </row>
    <row r="3242" spans="1:9" s="265" customFormat="1">
      <c r="A3242" s="294" t="s">
        <v>703</v>
      </c>
      <c r="B3242" s="1147" t="s">
        <v>3910</v>
      </c>
      <c r="C3242" s="1147"/>
      <c r="D3242" s="1147"/>
      <c r="E3242" s="1147"/>
      <c r="F3242" s="1147"/>
      <c r="G3242" s="255">
        <f>G3235+G3241</f>
        <v>41163.32</v>
      </c>
    </row>
    <row r="3243" spans="1:9" s="265" customFormat="1">
      <c r="A3243" s="294" t="s">
        <v>706</v>
      </c>
      <c r="B3243" s="1148" t="s">
        <v>876</v>
      </c>
      <c r="C3243" s="1148"/>
      <c r="D3243" s="1148"/>
      <c r="E3243" s="1147" t="s">
        <v>4030</v>
      </c>
      <c r="F3243" s="1147"/>
      <c r="G3243" s="255">
        <f>G3242*0.15</f>
        <v>6174.4979999999996</v>
      </c>
    </row>
    <row r="3244" spans="1:9" s="265" customFormat="1">
      <c r="A3244" s="294" t="s">
        <v>708</v>
      </c>
      <c r="B3244" s="1149" t="s">
        <v>3911</v>
      </c>
      <c r="C3244" s="1149"/>
      <c r="D3244" s="1149"/>
      <c r="E3244" s="1149"/>
      <c r="F3244" s="1149"/>
      <c r="G3244" s="255">
        <f>ROUND(SUM(G3242:G3243),2)</f>
        <v>47337.82</v>
      </c>
      <c r="H3244" s="255">
        <f>SUM(G3242:G3243)</f>
        <v>47337.817999999999</v>
      </c>
    </row>
    <row r="3245" spans="1:9">
      <c r="A3245" s="252"/>
      <c r="B3245" s="251"/>
      <c r="C3245" s="252"/>
      <c r="D3245" s="251"/>
      <c r="E3245" s="378"/>
      <c r="F3245" s="364"/>
      <c r="G3245" s="264"/>
      <c r="H3245" s="253"/>
    </row>
    <row r="3246" spans="1:9">
      <c r="A3246" s="285" t="s">
        <v>4602</v>
      </c>
      <c r="B3246" s="655" t="s">
        <v>3487</v>
      </c>
      <c r="C3246" s="252"/>
      <c r="D3246" s="252"/>
      <c r="E3246" s="374"/>
      <c r="F3246" s="361"/>
      <c r="G3246" s="253"/>
    </row>
    <row r="3247" spans="1:9" s="292" customFormat="1" ht="24.95" customHeight="1">
      <c r="A3247" s="290" t="s">
        <v>1003</v>
      </c>
      <c r="B3247" s="290" t="s">
        <v>1004</v>
      </c>
      <c r="C3247" s="290" t="s">
        <v>1005</v>
      </c>
      <c r="D3247" s="290" t="s">
        <v>1006</v>
      </c>
      <c r="E3247" s="373" t="s">
        <v>1007</v>
      </c>
      <c r="F3247" s="363" t="s">
        <v>2637</v>
      </c>
      <c r="G3247" s="291" t="s">
        <v>2638</v>
      </c>
    </row>
    <row r="3248" spans="1:9">
      <c r="A3248" s="294" t="s">
        <v>671</v>
      </c>
      <c r="B3248" s="410" t="s">
        <v>672</v>
      </c>
      <c r="C3248" s="247"/>
      <c r="D3248" s="247"/>
      <c r="E3248" s="372"/>
      <c r="F3248" s="360"/>
      <c r="G3248" s="248"/>
    </row>
    <row r="3249" spans="1:8">
      <c r="A3249" s="294"/>
      <c r="B3249" s="410" t="s">
        <v>673</v>
      </c>
      <c r="C3249" s="247" t="s">
        <v>674</v>
      </c>
      <c r="D3249" s="247" t="s">
        <v>675</v>
      </c>
      <c r="E3249" s="372">
        <v>0.09</v>
      </c>
      <c r="F3249" s="360">
        <f>'UPAD-BAHAN-ALAT'!$I$12</f>
        <v>110000</v>
      </c>
      <c r="G3249" s="248">
        <f>F3249*E3249</f>
        <v>9900</v>
      </c>
    </row>
    <row r="3250" spans="1:8">
      <c r="A3250" s="294"/>
      <c r="B3250" s="410" t="s">
        <v>816</v>
      </c>
      <c r="C3250" s="247" t="s">
        <v>678</v>
      </c>
      <c r="D3250" s="247" t="s">
        <v>675</v>
      </c>
      <c r="E3250" s="372">
        <v>0.09</v>
      </c>
      <c r="F3250" s="360">
        <f>'UPAD-BAHAN-ALAT'!$I$13</f>
        <v>140000</v>
      </c>
      <c r="G3250" s="248">
        <f>F3250*E3250</f>
        <v>12600</v>
      </c>
    </row>
    <row r="3251" spans="1:8">
      <c r="A3251" s="294"/>
      <c r="B3251" s="410" t="s">
        <v>751</v>
      </c>
      <c r="C3251" s="247" t="s">
        <v>681</v>
      </c>
      <c r="D3251" s="247" t="s">
        <v>675</v>
      </c>
      <c r="E3251" s="372">
        <v>3.5000000000000003E-2</v>
      </c>
      <c r="F3251" s="360">
        <f>'UPAD-BAHAN-ALAT'!$I$15</f>
        <v>150000</v>
      </c>
      <c r="G3251" s="248">
        <f>F3251*E3251</f>
        <v>5250.0000000000009</v>
      </c>
    </row>
    <row r="3252" spans="1:8">
      <c r="A3252" s="294"/>
      <c r="B3252" s="410" t="s">
        <v>683</v>
      </c>
      <c r="C3252" s="247" t="s">
        <v>684</v>
      </c>
      <c r="D3252" s="247" t="s">
        <v>675</v>
      </c>
      <c r="E3252" s="372">
        <v>5.0000000000000001E-3</v>
      </c>
      <c r="F3252" s="360">
        <f>'UPAD-BAHAN-ALAT'!$I$14</f>
        <v>140000</v>
      </c>
      <c r="G3252" s="248">
        <f>F3252*E3252</f>
        <v>700</v>
      </c>
    </row>
    <row r="3253" spans="1:8">
      <c r="A3253" s="294"/>
      <c r="B3253" s="410"/>
      <c r="C3253" s="247"/>
      <c r="D3253" s="247"/>
      <c r="E3253" s="1146" t="s">
        <v>685</v>
      </c>
      <c r="F3253" s="1146"/>
      <c r="G3253" s="248">
        <f>SUM(G3249:G3252)</f>
        <v>28450</v>
      </c>
    </row>
    <row r="3254" spans="1:8">
      <c r="A3254" s="294" t="s">
        <v>686</v>
      </c>
      <c r="B3254" s="410" t="s">
        <v>687</v>
      </c>
      <c r="C3254" s="247"/>
      <c r="D3254" s="247"/>
      <c r="E3254" s="372"/>
      <c r="F3254" s="360"/>
      <c r="G3254" s="248"/>
    </row>
    <row r="3255" spans="1:8">
      <c r="A3255" s="294"/>
      <c r="B3255" s="410" t="s">
        <v>1145</v>
      </c>
      <c r="C3255" s="247"/>
      <c r="D3255" s="247" t="s">
        <v>743</v>
      </c>
      <c r="E3255" s="372">
        <v>5.3</v>
      </c>
      <c r="F3255" s="360">
        <f>'UPAD-BAHAN-ALAT'!I273</f>
        <v>3230</v>
      </c>
      <c r="G3255" s="248">
        <f>F3255*E3255</f>
        <v>17119</v>
      </c>
    </row>
    <row r="3256" spans="1:8">
      <c r="A3256" s="294"/>
      <c r="B3256" s="410" t="s">
        <v>738</v>
      </c>
      <c r="C3256" s="247"/>
      <c r="D3256" s="247" t="s">
        <v>690</v>
      </c>
      <c r="E3256" s="372">
        <v>0.56999999999999995</v>
      </c>
      <c r="F3256" s="360">
        <f>'UPAD-BAHAN-ALAT'!$I$77</f>
        <v>1625</v>
      </c>
      <c r="G3256" s="248">
        <f>F3256*E3256</f>
        <v>926.24999999999989</v>
      </c>
    </row>
    <row r="3257" spans="1:8">
      <c r="A3257" s="294"/>
      <c r="B3257" s="410" t="s">
        <v>739</v>
      </c>
      <c r="C3257" s="247"/>
      <c r="D3257" s="247" t="s">
        <v>881</v>
      </c>
      <c r="E3257" s="372">
        <v>1.5E-3</v>
      </c>
      <c r="F3257" s="360">
        <f>'UPAD-BAHAN-ALAT'!$I$71</f>
        <v>176000</v>
      </c>
      <c r="G3257" s="248">
        <f>F3257*E3257</f>
        <v>264</v>
      </c>
    </row>
    <row r="3258" spans="1:8">
      <c r="A3258" s="294"/>
      <c r="B3258" s="410" t="s">
        <v>1100</v>
      </c>
      <c r="C3258" s="247"/>
      <c r="D3258" s="247" t="s">
        <v>690</v>
      </c>
      <c r="E3258" s="372">
        <v>1.2999999999999999E-2</v>
      </c>
      <c r="F3258" s="360">
        <f>'UPAD-BAHAN-ALAT'!$I$74/40</f>
        <v>3437.5</v>
      </c>
      <c r="G3258" s="248">
        <f>F3258*E3258</f>
        <v>44.6875</v>
      </c>
    </row>
    <row r="3259" spans="1:8">
      <c r="A3259" s="294"/>
      <c r="B3259" s="295"/>
      <c r="C3259" s="296"/>
      <c r="D3259" s="296"/>
      <c r="E3259" s="1146" t="s">
        <v>702</v>
      </c>
      <c r="F3259" s="1146"/>
      <c r="G3259" s="248">
        <f>SUM(G3255:G3258)</f>
        <v>18353.9375</v>
      </c>
    </row>
    <row r="3260" spans="1:8" s="265" customFormat="1">
      <c r="A3260" s="294" t="s">
        <v>703</v>
      </c>
      <c r="B3260" s="1147" t="s">
        <v>3910</v>
      </c>
      <c r="C3260" s="1147"/>
      <c r="D3260" s="1147"/>
      <c r="E3260" s="1147"/>
      <c r="F3260" s="1147"/>
      <c r="G3260" s="255">
        <f>G3253+G3259</f>
        <v>46803.9375</v>
      </c>
    </row>
    <row r="3261" spans="1:8" s="265" customFormat="1">
      <c r="A3261" s="294" t="s">
        <v>706</v>
      </c>
      <c r="B3261" s="1148" t="s">
        <v>876</v>
      </c>
      <c r="C3261" s="1148"/>
      <c r="D3261" s="1148"/>
      <c r="E3261" s="1147" t="s">
        <v>4030</v>
      </c>
      <c r="F3261" s="1147"/>
      <c r="G3261" s="255">
        <f>G3260*0.15</f>
        <v>7020.5906249999998</v>
      </c>
    </row>
    <row r="3262" spans="1:8" s="265" customFormat="1">
      <c r="A3262" s="294" t="s">
        <v>708</v>
      </c>
      <c r="B3262" s="1149" t="s">
        <v>3911</v>
      </c>
      <c r="C3262" s="1149"/>
      <c r="D3262" s="1149"/>
      <c r="E3262" s="1149"/>
      <c r="F3262" s="1149"/>
      <c r="G3262" s="255">
        <f>ROUND(SUM(G3260:G3261),2)</f>
        <v>53824.53</v>
      </c>
      <c r="H3262" s="255">
        <f>SUM(G3260:G3261)</f>
        <v>53824.528124999997</v>
      </c>
    </row>
    <row r="3263" spans="1:8">
      <c r="A3263" s="252"/>
      <c r="B3263" s="251"/>
      <c r="C3263" s="252"/>
      <c r="D3263" s="251"/>
      <c r="E3263" s="378"/>
      <c r="F3263" s="364"/>
      <c r="G3263" s="264"/>
      <c r="H3263" s="253"/>
    </row>
    <row r="3264" spans="1:8">
      <c r="A3264" s="285" t="s">
        <v>4603</v>
      </c>
      <c r="B3264" s="250" t="s">
        <v>3488</v>
      </c>
      <c r="C3264" s="252"/>
      <c r="D3264" s="252"/>
      <c r="E3264" s="374"/>
      <c r="F3264" s="361"/>
      <c r="G3264" s="253"/>
    </row>
    <row r="3265" spans="1:8" s="292" customFormat="1" ht="24.95" customHeight="1">
      <c r="A3265" s="290" t="s">
        <v>1003</v>
      </c>
      <c r="B3265" s="290" t="s">
        <v>1004</v>
      </c>
      <c r="C3265" s="290" t="s">
        <v>1005</v>
      </c>
      <c r="D3265" s="290" t="s">
        <v>1006</v>
      </c>
      <c r="E3265" s="373" t="s">
        <v>1007</v>
      </c>
      <c r="F3265" s="363" t="s">
        <v>2637</v>
      </c>
      <c r="G3265" s="291" t="s">
        <v>2638</v>
      </c>
    </row>
    <row r="3266" spans="1:8">
      <c r="A3266" s="294" t="s">
        <v>671</v>
      </c>
      <c r="B3266" s="410" t="s">
        <v>672</v>
      </c>
      <c r="C3266" s="247"/>
      <c r="D3266" s="247"/>
      <c r="E3266" s="372"/>
      <c r="F3266" s="360"/>
      <c r="G3266" s="248"/>
    </row>
    <row r="3267" spans="1:8">
      <c r="A3267" s="294"/>
      <c r="B3267" s="410" t="s">
        <v>673</v>
      </c>
      <c r="C3267" s="247" t="s">
        <v>674</v>
      </c>
      <c r="D3267" s="247" t="s">
        <v>675</v>
      </c>
      <c r="E3267" s="372">
        <v>0.09</v>
      </c>
      <c r="F3267" s="360">
        <f>'UPAD-BAHAN-ALAT'!$I$12</f>
        <v>110000</v>
      </c>
      <c r="G3267" s="248">
        <f>F3267*E3267</f>
        <v>9900</v>
      </c>
    </row>
    <row r="3268" spans="1:8">
      <c r="A3268" s="294"/>
      <c r="B3268" s="410" t="s">
        <v>816</v>
      </c>
      <c r="C3268" s="247" t="s">
        <v>678</v>
      </c>
      <c r="D3268" s="247" t="s">
        <v>675</v>
      </c>
      <c r="E3268" s="372">
        <v>0.09</v>
      </c>
      <c r="F3268" s="360">
        <f>'UPAD-BAHAN-ALAT'!$I$13</f>
        <v>140000</v>
      </c>
      <c r="G3268" s="248">
        <f>F3268*E3268</f>
        <v>12600</v>
      </c>
    </row>
    <row r="3269" spans="1:8">
      <c r="A3269" s="294"/>
      <c r="B3269" s="410" t="s">
        <v>751</v>
      </c>
      <c r="C3269" s="247" t="s">
        <v>681</v>
      </c>
      <c r="D3269" s="247" t="s">
        <v>675</v>
      </c>
      <c r="E3269" s="372">
        <v>3.5000000000000003E-2</v>
      </c>
      <c r="F3269" s="360">
        <f>'UPAD-BAHAN-ALAT'!$I$15</f>
        <v>150000</v>
      </c>
      <c r="G3269" s="248">
        <f>F3269*E3269</f>
        <v>5250.0000000000009</v>
      </c>
    </row>
    <row r="3270" spans="1:8">
      <c r="A3270" s="294"/>
      <c r="B3270" s="410" t="s">
        <v>683</v>
      </c>
      <c r="C3270" s="247" t="s">
        <v>684</v>
      </c>
      <c r="D3270" s="247" t="s">
        <v>675</v>
      </c>
      <c r="E3270" s="372">
        <v>5.0000000000000001E-3</v>
      </c>
      <c r="F3270" s="360">
        <f>'UPAD-BAHAN-ALAT'!$I$14</f>
        <v>140000</v>
      </c>
      <c r="G3270" s="248">
        <f>F3270*E3270</f>
        <v>700</v>
      </c>
    </row>
    <row r="3271" spans="1:8">
      <c r="A3271" s="294"/>
      <c r="B3271" s="410"/>
      <c r="C3271" s="247"/>
      <c r="D3271" s="247"/>
      <c r="E3271" s="1146" t="s">
        <v>685</v>
      </c>
      <c r="F3271" s="1146"/>
      <c r="G3271" s="248">
        <f>SUM(G3267:G3270)</f>
        <v>28450</v>
      </c>
    </row>
    <row r="3272" spans="1:8">
      <c r="A3272" s="294" t="s">
        <v>686</v>
      </c>
      <c r="B3272" s="410" t="s">
        <v>687</v>
      </c>
      <c r="C3272" s="247"/>
      <c r="D3272" s="247"/>
      <c r="E3272" s="372"/>
      <c r="F3272" s="360"/>
      <c r="G3272" s="248"/>
    </row>
    <row r="3273" spans="1:8">
      <c r="A3273" s="294"/>
      <c r="B3273" s="410" t="s">
        <v>1145</v>
      </c>
      <c r="C3273" s="247"/>
      <c r="D3273" s="247" t="s">
        <v>743</v>
      </c>
      <c r="E3273" s="372">
        <v>5.3</v>
      </c>
      <c r="F3273" s="360">
        <f>'UPAD-BAHAN-ALAT'!I274</f>
        <v>8415</v>
      </c>
      <c r="G3273" s="248">
        <f>F3273*E3273</f>
        <v>44599.5</v>
      </c>
    </row>
    <row r="3274" spans="1:8">
      <c r="A3274" s="294"/>
      <c r="B3274" s="410" t="s">
        <v>738</v>
      </c>
      <c r="C3274" s="247"/>
      <c r="D3274" s="247" t="s">
        <v>690</v>
      </c>
      <c r="E3274" s="372">
        <v>0.56999999999999995</v>
      </c>
      <c r="F3274" s="360">
        <f>'UPAD-BAHAN-ALAT'!$I$77</f>
        <v>1625</v>
      </c>
      <c r="G3274" s="248">
        <f>F3274*E3274</f>
        <v>926.24999999999989</v>
      </c>
    </row>
    <row r="3275" spans="1:8">
      <c r="A3275" s="294"/>
      <c r="B3275" s="410" t="s">
        <v>739</v>
      </c>
      <c r="C3275" s="247"/>
      <c r="D3275" s="247" t="s">
        <v>881</v>
      </c>
      <c r="E3275" s="372">
        <v>1.5E-3</v>
      </c>
      <c r="F3275" s="360">
        <f>'UPAD-BAHAN-ALAT'!$I$71</f>
        <v>176000</v>
      </c>
      <c r="G3275" s="248">
        <f>F3275*E3275</f>
        <v>264</v>
      </c>
    </row>
    <row r="3276" spans="1:8">
      <c r="A3276" s="294"/>
      <c r="B3276" s="410" t="s">
        <v>1100</v>
      </c>
      <c r="C3276" s="247"/>
      <c r="D3276" s="247" t="s">
        <v>690</v>
      </c>
      <c r="E3276" s="372">
        <v>1.2999999999999999E-2</v>
      </c>
      <c r="F3276" s="360">
        <f>'UPAD-BAHAN-ALAT'!$I$74/40</f>
        <v>3437.5</v>
      </c>
      <c r="G3276" s="248">
        <f>F3276*E3276</f>
        <v>44.6875</v>
      </c>
    </row>
    <row r="3277" spans="1:8">
      <c r="A3277" s="294"/>
      <c r="B3277" s="410"/>
      <c r="C3277" s="247"/>
      <c r="D3277" s="247"/>
      <c r="E3277" s="1155" t="s">
        <v>702</v>
      </c>
      <c r="F3277" s="1155"/>
      <c r="G3277" s="248">
        <f>SUM(G3273:G3276)</f>
        <v>45834.4375</v>
      </c>
    </row>
    <row r="3278" spans="1:8" s="265" customFormat="1">
      <c r="A3278" s="294" t="s">
        <v>703</v>
      </c>
      <c r="B3278" s="1151" t="s">
        <v>3910</v>
      </c>
      <c r="C3278" s="1151"/>
      <c r="D3278" s="1151"/>
      <c r="E3278" s="1151"/>
      <c r="F3278" s="1151"/>
      <c r="G3278" s="255">
        <f>G3271+G3277</f>
        <v>74284.4375</v>
      </c>
    </row>
    <row r="3279" spans="1:8" s="265" customFormat="1">
      <c r="A3279" s="294" t="s">
        <v>706</v>
      </c>
      <c r="B3279" s="1148" t="s">
        <v>876</v>
      </c>
      <c r="C3279" s="1148"/>
      <c r="D3279" s="1148"/>
      <c r="E3279" s="1147" t="s">
        <v>4030</v>
      </c>
      <c r="F3279" s="1147"/>
      <c r="G3279" s="255">
        <f>G3278*0.15</f>
        <v>11142.665625</v>
      </c>
    </row>
    <row r="3280" spans="1:8" s="265" customFormat="1">
      <c r="A3280" s="294" t="s">
        <v>708</v>
      </c>
      <c r="B3280" s="1149" t="s">
        <v>3911</v>
      </c>
      <c r="C3280" s="1149"/>
      <c r="D3280" s="1149"/>
      <c r="E3280" s="1149"/>
      <c r="F3280" s="1149"/>
      <c r="G3280" s="255">
        <f>ROUND(SUM(G3278:G3279),2)</f>
        <v>85427.1</v>
      </c>
      <c r="H3280" s="255">
        <f>SUM(G3278:G3279)</f>
        <v>85427.103124999994</v>
      </c>
    </row>
    <row r="3282" spans="1:7">
      <c r="A3282" s="285" t="s">
        <v>4206</v>
      </c>
      <c r="B3282" s="250" t="s">
        <v>2802</v>
      </c>
      <c r="C3282" s="252"/>
      <c r="D3282" s="252"/>
      <c r="E3282" s="374"/>
      <c r="F3282" s="361"/>
      <c r="G3282" s="253"/>
    </row>
    <row r="3283" spans="1:7" ht="24.95" customHeight="1">
      <c r="A3283" s="290" t="s">
        <v>1003</v>
      </c>
      <c r="B3283" s="290" t="s">
        <v>1004</v>
      </c>
      <c r="C3283" s="290" t="s">
        <v>1005</v>
      </c>
      <c r="D3283" s="290" t="s">
        <v>1006</v>
      </c>
      <c r="E3283" s="373" t="s">
        <v>1007</v>
      </c>
      <c r="F3283" s="363" t="s">
        <v>2637</v>
      </c>
      <c r="G3283" s="291" t="s">
        <v>2638</v>
      </c>
    </row>
    <row r="3284" spans="1:7">
      <c r="A3284" s="294" t="s">
        <v>671</v>
      </c>
      <c r="B3284" s="410" t="s">
        <v>672</v>
      </c>
      <c r="C3284" s="247"/>
      <c r="D3284" s="247"/>
      <c r="E3284" s="372"/>
      <c r="F3284" s="360"/>
      <c r="G3284" s="248"/>
    </row>
    <row r="3285" spans="1:7">
      <c r="A3285" s="294"/>
      <c r="B3285" s="410" t="s">
        <v>673</v>
      </c>
      <c r="C3285" s="247" t="s">
        <v>674</v>
      </c>
      <c r="D3285" s="247" t="s">
        <v>675</v>
      </c>
      <c r="E3285" s="372">
        <v>0.09</v>
      </c>
      <c r="F3285" s="360">
        <f>'UPAD-BAHAN-ALAT'!$I$12</f>
        <v>110000</v>
      </c>
      <c r="G3285" s="248">
        <f>F3285*E3285</f>
        <v>9900</v>
      </c>
    </row>
    <row r="3286" spans="1:7">
      <c r="A3286" s="294"/>
      <c r="B3286" s="410" t="s">
        <v>816</v>
      </c>
      <c r="C3286" s="247" t="s">
        <v>678</v>
      </c>
      <c r="D3286" s="247" t="s">
        <v>675</v>
      </c>
      <c r="E3286" s="372">
        <v>0.09</v>
      </c>
      <c r="F3286" s="360">
        <f>'UPAD-BAHAN-ALAT'!$I$13</f>
        <v>140000</v>
      </c>
      <c r="G3286" s="248">
        <f>F3286*E3286</f>
        <v>12600</v>
      </c>
    </row>
    <row r="3287" spans="1:7">
      <c r="A3287" s="294"/>
      <c r="B3287" s="410" t="s">
        <v>751</v>
      </c>
      <c r="C3287" s="247" t="s">
        <v>681</v>
      </c>
      <c r="D3287" s="247" t="s">
        <v>675</v>
      </c>
      <c r="E3287" s="372">
        <v>3.5000000000000003E-2</v>
      </c>
      <c r="F3287" s="360">
        <f>'UPAD-BAHAN-ALAT'!$I$15</f>
        <v>150000</v>
      </c>
      <c r="G3287" s="248">
        <f>F3287*E3287</f>
        <v>5250.0000000000009</v>
      </c>
    </row>
    <row r="3288" spans="1:7">
      <c r="A3288" s="294"/>
      <c r="B3288" s="410" t="s">
        <v>683</v>
      </c>
      <c r="C3288" s="247" t="s">
        <v>684</v>
      </c>
      <c r="D3288" s="247" t="s">
        <v>675</v>
      </c>
      <c r="E3288" s="372">
        <v>5.0000000000000001E-3</v>
      </c>
      <c r="F3288" s="360">
        <f>'UPAD-BAHAN-ALAT'!$I$14</f>
        <v>140000</v>
      </c>
      <c r="G3288" s="248">
        <f>F3288*E3288</f>
        <v>700</v>
      </c>
    </row>
    <row r="3289" spans="1:7">
      <c r="A3289" s="294"/>
      <c r="B3289" s="410"/>
      <c r="C3289" s="247"/>
      <c r="D3289" s="247"/>
      <c r="E3289" s="1146" t="s">
        <v>685</v>
      </c>
      <c r="F3289" s="1146"/>
      <c r="G3289" s="248">
        <f>SUM(G3285:G3288)</f>
        <v>28450</v>
      </c>
    </row>
    <row r="3290" spans="1:7">
      <c r="A3290" s="294" t="s">
        <v>686</v>
      </c>
      <c r="B3290" s="410" t="s">
        <v>687</v>
      </c>
      <c r="C3290" s="247"/>
      <c r="D3290" s="247"/>
      <c r="E3290" s="372"/>
      <c r="F3290" s="360"/>
      <c r="G3290" s="248"/>
    </row>
    <row r="3291" spans="1:7">
      <c r="A3291" s="294"/>
      <c r="B3291" s="410" t="s">
        <v>1145</v>
      </c>
      <c r="C3291" s="247"/>
      <c r="D3291" s="247" t="s">
        <v>743</v>
      </c>
      <c r="E3291" s="372">
        <v>5.3</v>
      </c>
      <c r="F3291" s="360">
        <f>'UPAD-BAHAN-ALAT'!$I$275</f>
        <v>1000</v>
      </c>
      <c r="G3291" s="248">
        <f>F3291*E3291</f>
        <v>5300</v>
      </c>
    </row>
    <row r="3292" spans="1:7">
      <c r="A3292" s="294"/>
      <c r="B3292" s="410" t="s">
        <v>738</v>
      </c>
      <c r="C3292" s="247"/>
      <c r="D3292" s="247" t="s">
        <v>690</v>
      </c>
      <c r="E3292" s="372">
        <v>0.56999999999999995</v>
      </c>
      <c r="F3292" s="360">
        <f>'UPAD-BAHAN-ALAT'!$I$77</f>
        <v>1625</v>
      </c>
      <c r="G3292" s="248">
        <f>F3292*E3292</f>
        <v>926.24999999999989</v>
      </c>
    </row>
    <row r="3293" spans="1:7">
      <c r="A3293" s="294"/>
      <c r="B3293" s="410" t="s">
        <v>739</v>
      </c>
      <c r="C3293" s="247"/>
      <c r="D3293" s="247" t="s">
        <v>881</v>
      </c>
      <c r="E3293" s="372">
        <v>1.5E-3</v>
      </c>
      <c r="F3293" s="360">
        <f>'UPAD-BAHAN-ALAT'!$I$71</f>
        <v>176000</v>
      </c>
      <c r="G3293" s="248">
        <f>F3293*E3293</f>
        <v>264</v>
      </c>
    </row>
    <row r="3294" spans="1:7">
      <c r="A3294" s="294"/>
      <c r="B3294" s="410" t="s">
        <v>1100</v>
      </c>
      <c r="C3294" s="247"/>
      <c r="D3294" s="247" t="s">
        <v>690</v>
      </c>
      <c r="E3294" s="372">
        <v>1.2999999999999999E-2</v>
      </c>
      <c r="F3294" s="360">
        <f>'UPAD-BAHAN-ALAT'!$I$74/40</f>
        <v>3437.5</v>
      </c>
      <c r="G3294" s="248">
        <f>F3294*E3294</f>
        <v>44.6875</v>
      </c>
    </row>
    <row r="3295" spans="1:7">
      <c r="A3295" s="294"/>
      <c r="B3295" s="295"/>
      <c r="C3295" s="296"/>
      <c r="D3295" s="296"/>
      <c r="E3295" s="1146" t="s">
        <v>702</v>
      </c>
      <c r="F3295" s="1146"/>
      <c r="G3295" s="248">
        <f>SUM(G3291:G3294)</f>
        <v>6534.9375</v>
      </c>
    </row>
    <row r="3296" spans="1:7">
      <c r="A3296" s="294" t="s">
        <v>703</v>
      </c>
      <c r="B3296" s="1147" t="s">
        <v>3910</v>
      </c>
      <c r="C3296" s="1147"/>
      <c r="D3296" s="1147"/>
      <c r="E3296" s="1147"/>
      <c r="F3296" s="1147"/>
      <c r="G3296" s="255">
        <f>G3289+G3295</f>
        <v>34984.9375</v>
      </c>
    </row>
    <row r="3297" spans="1:7">
      <c r="A3297" s="294" t="s">
        <v>706</v>
      </c>
      <c r="B3297" s="1148" t="s">
        <v>876</v>
      </c>
      <c r="C3297" s="1148"/>
      <c r="D3297" s="1148"/>
      <c r="E3297" s="1147" t="s">
        <v>4030</v>
      </c>
      <c r="F3297" s="1147"/>
      <c r="G3297" s="255">
        <f>G3296*0.15</f>
        <v>5247.7406249999995</v>
      </c>
    </row>
    <row r="3298" spans="1:7">
      <c r="A3298" s="294" t="s">
        <v>708</v>
      </c>
      <c r="B3298" s="1149" t="s">
        <v>3911</v>
      </c>
      <c r="C3298" s="1149"/>
      <c r="D3298" s="1149"/>
      <c r="E3298" s="1149"/>
      <c r="F3298" s="1149"/>
      <c r="G3298" s="255">
        <f>ROUND(SUM(G3296:G3297),2)</f>
        <v>40232.68</v>
      </c>
    </row>
    <row r="3300" spans="1:7">
      <c r="A3300" s="285" t="s">
        <v>4207</v>
      </c>
      <c r="B3300" s="250" t="s">
        <v>2801</v>
      </c>
      <c r="C3300" s="252"/>
      <c r="D3300" s="252"/>
      <c r="E3300" s="374"/>
      <c r="F3300" s="361"/>
      <c r="G3300" s="253"/>
    </row>
    <row r="3301" spans="1:7" s="292" customFormat="1" ht="24.95" customHeight="1">
      <c r="A3301" s="290" t="s">
        <v>1003</v>
      </c>
      <c r="B3301" s="290" t="s">
        <v>1004</v>
      </c>
      <c r="C3301" s="290" t="s">
        <v>1005</v>
      </c>
      <c r="D3301" s="290" t="s">
        <v>1006</v>
      </c>
      <c r="E3301" s="373" t="s">
        <v>1007</v>
      </c>
      <c r="F3301" s="363" t="s">
        <v>2637</v>
      </c>
      <c r="G3301" s="291" t="s">
        <v>2638</v>
      </c>
    </row>
    <row r="3302" spans="1:7">
      <c r="A3302" s="294" t="s">
        <v>671</v>
      </c>
      <c r="B3302" s="410" t="s">
        <v>672</v>
      </c>
      <c r="C3302" s="247"/>
      <c r="D3302" s="247"/>
      <c r="E3302" s="372"/>
      <c r="F3302" s="360"/>
      <c r="G3302" s="248"/>
    </row>
    <row r="3303" spans="1:7">
      <c r="A3303" s="294"/>
      <c r="B3303" s="410" t="s">
        <v>673</v>
      </c>
      <c r="C3303" s="247" t="s">
        <v>674</v>
      </c>
      <c r="D3303" s="247" t="s">
        <v>675</v>
      </c>
      <c r="E3303" s="372">
        <v>0.7</v>
      </c>
      <c r="F3303" s="360">
        <f>'UPAD-BAHAN-ALAT'!$I$12</f>
        <v>110000</v>
      </c>
      <c r="G3303" s="248">
        <f>F3303*E3303</f>
        <v>77000</v>
      </c>
    </row>
    <row r="3304" spans="1:7">
      <c r="A3304" s="294"/>
      <c r="B3304" s="410" t="s">
        <v>816</v>
      </c>
      <c r="C3304" s="247" t="s">
        <v>678</v>
      </c>
      <c r="D3304" s="247" t="s">
        <v>675</v>
      </c>
      <c r="E3304" s="372">
        <v>0.35</v>
      </c>
      <c r="F3304" s="360">
        <f>'UPAD-BAHAN-ALAT'!$I$13</f>
        <v>140000</v>
      </c>
      <c r="G3304" s="248">
        <f>F3304*E3304</f>
        <v>49000</v>
      </c>
    </row>
    <row r="3305" spans="1:7">
      <c r="A3305" s="294"/>
      <c r="B3305" s="410" t="s">
        <v>751</v>
      </c>
      <c r="C3305" s="247" t="s">
        <v>681</v>
      </c>
      <c r="D3305" s="247" t="s">
        <v>675</v>
      </c>
      <c r="E3305" s="372">
        <v>3.5000000000000003E-2</v>
      </c>
      <c r="F3305" s="360">
        <f>'UPAD-BAHAN-ALAT'!$I$15</f>
        <v>150000</v>
      </c>
      <c r="G3305" s="248">
        <f>F3305*E3305</f>
        <v>5250.0000000000009</v>
      </c>
    </row>
    <row r="3306" spans="1:7">
      <c r="A3306" s="294"/>
      <c r="B3306" s="410" t="s">
        <v>683</v>
      </c>
      <c r="C3306" s="247" t="s">
        <v>684</v>
      </c>
      <c r="D3306" s="247" t="s">
        <v>675</v>
      </c>
      <c r="E3306" s="372">
        <v>3.5000000000000003E-2</v>
      </c>
      <c r="F3306" s="360">
        <f>'UPAD-BAHAN-ALAT'!$I$14</f>
        <v>140000</v>
      </c>
      <c r="G3306" s="248">
        <f>F3306*E3306</f>
        <v>4900.0000000000009</v>
      </c>
    </row>
    <row r="3307" spans="1:7">
      <c r="A3307" s="294"/>
      <c r="B3307" s="410"/>
      <c r="C3307" s="247"/>
      <c r="D3307" s="247"/>
      <c r="E3307" s="1146" t="s">
        <v>685</v>
      </c>
      <c r="F3307" s="1146"/>
      <c r="G3307" s="248">
        <f>SUM(G3303:G3306)</f>
        <v>136150</v>
      </c>
    </row>
    <row r="3308" spans="1:7">
      <c r="A3308" s="294" t="s">
        <v>686</v>
      </c>
      <c r="B3308" s="410" t="s">
        <v>687</v>
      </c>
      <c r="C3308" s="247"/>
      <c r="D3308" s="247"/>
      <c r="E3308" s="372"/>
      <c r="F3308" s="360"/>
      <c r="G3308" s="248"/>
    </row>
    <row r="3309" spans="1:7">
      <c r="A3309" s="294"/>
      <c r="B3309" s="410" t="s">
        <v>1151</v>
      </c>
      <c r="C3309" s="247"/>
      <c r="D3309" s="247" t="s">
        <v>743</v>
      </c>
      <c r="E3309" s="372">
        <v>1.06</v>
      </c>
      <c r="F3309" s="360">
        <f>'UPAD-BAHAN-ALAT'!I278</f>
        <v>850000</v>
      </c>
      <c r="G3309" s="248">
        <f>F3309*E3309</f>
        <v>901000</v>
      </c>
    </row>
    <row r="3310" spans="1:7">
      <c r="A3310" s="294"/>
      <c r="B3310" s="410" t="s">
        <v>818</v>
      </c>
      <c r="C3310" s="247"/>
      <c r="D3310" s="247" t="s">
        <v>690</v>
      </c>
      <c r="E3310" s="372">
        <v>8.19</v>
      </c>
      <c r="F3310" s="360">
        <f>'UPAD-BAHAN-ALAT'!$I$77</f>
        <v>1625</v>
      </c>
      <c r="G3310" s="248">
        <f>F3310*E3310</f>
        <v>13308.75</v>
      </c>
    </row>
    <row r="3311" spans="1:7">
      <c r="A3311" s="294"/>
      <c r="B3311" s="410" t="s">
        <v>739</v>
      </c>
      <c r="C3311" s="247"/>
      <c r="D3311" s="247" t="s">
        <v>881</v>
      </c>
      <c r="E3311" s="372">
        <v>4.4999999999999998E-2</v>
      </c>
      <c r="F3311" s="360">
        <f>'UPAD-BAHAN-ALAT'!$I$71</f>
        <v>176000</v>
      </c>
      <c r="G3311" s="248">
        <f>F3311*E3311</f>
        <v>7920</v>
      </c>
    </row>
    <row r="3312" spans="1:7">
      <c r="A3312" s="294"/>
      <c r="B3312" s="410" t="s">
        <v>1100</v>
      </c>
      <c r="C3312" s="247"/>
      <c r="D3312" s="247" t="s">
        <v>690</v>
      </c>
      <c r="E3312" s="372">
        <v>0.65</v>
      </c>
      <c r="F3312" s="360">
        <f>'UPAD-BAHAN-ALAT'!$I$74/40</f>
        <v>3437.5</v>
      </c>
      <c r="G3312" s="248">
        <f>F3312*E3312</f>
        <v>2234.375</v>
      </c>
    </row>
    <row r="3313" spans="1:8">
      <c r="A3313" s="294"/>
      <c r="B3313" s="410"/>
      <c r="C3313" s="247"/>
      <c r="D3313" s="247"/>
      <c r="E3313" s="1144" t="s">
        <v>702</v>
      </c>
      <c r="F3313" s="1144"/>
      <c r="G3313" s="248">
        <f>SUM(G3309:G3312)</f>
        <v>924463.125</v>
      </c>
    </row>
    <row r="3314" spans="1:8">
      <c r="A3314" s="294" t="s">
        <v>703</v>
      </c>
      <c r="B3314" s="410" t="s">
        <v>704</v>
      </c>
      <c r="C3314" s="247"/>
      <c r="D3314" s="247"/>
      <c r="E3314" s="410"/>
      <c r="F3314" s="410"/>
      <c r="G3314" s="248"/>
    </row>
    <row r="3315" spans="1:8">
      <c r="A3315" s="294"/>
      <c r="B3315" s="410" t="s">
        <v>4573</v>
      </c>
      <c r="C3315" s="247"/>
      <c r="D3315" s="247" t="s">
        <v>1264</v>
      </c>
      <c r="E3315" s="387">
        <v>1</v>
      </c>
      <c r="F3315" s="409">
        <f>'UPAD-BAHAN-ALAT'!$I$281</f>
        <v>80000</v>
      </c>
      <c r="G3315" s="248">
        <f>F3315*E3315</f>
        <v>80000</v>
      </c>
    </row>
    <row r="3316" spans="1:8">
      <c r="A3316" s="294"/>
      <c r="B3316" s="410"/>
      <c r="C3316" s="247"/>
      <c r="D3316" s="247"/>
      <c r="E3316" s="1144" t="s">
        <v>4604</v>
      </c>
      <c r="F3316" s="1144"/>
      <c r="G3316" s="248">
        <f>G3315</f>
        <v>80000</v>
      </c>
    </row>
    <row r="3317" spans="1:8" s="265" customFormat="1">
      <c r="A3317" s="294" t="s">
        <v>706</v>
      </c>
      <c r="B3317" s="1147" t="s">
        <v>707</v>
      </c>
      <c r="C3317" s="1147"/>
      <c r="D3317" s="1147"/>
      <c r="E3317" s="1147"/>
      <c r="F3317" s="1147"/>
      <c r="G3317" s="255">
        <f>G3307+G3313+G3316</f>
        <v>1140613.125</v>
      </c>
    </row>
    <row r="3318" spans="1:8" s="265" customFormat="1">
      <c r="A3318" s="294" t="s">
        <v>708</v>
      </c>
      <c r="B3318" s="1148" t="s">
        <v>876</v>
      </c>
      <c r="C3318" s="1148"/>
      <c r="D3318" s="1148"/>
      <c r="E3318" s="1147" t="s">
        <v>710</v>
      </c>
      <c r="F3318" s="1147"/>
      <c r="G3318" s="255">
        <f>G3317*0.15</f>
        <v>171091.96875</v>
      </c>
    </row>
    <row r="3319" spans="1:8" s="265" customFormat="1">
      <c r="A3319" s="294" t="s">
        <v>711</v>
      </c>
      <c r="B3319" s="1149" t="s">
        <v>712</v>
      </c>
      <c r="C3319" s="1149"/>
      <c r="D3319" s="1149"/>
      <c r="E3319" s="1149"/>
      <c r="F3319" s="1149"/>
      <c r="G3319" s="255">
        <f>ROUND(SUM(G3317:G3318),2)</f>
        <v>1311705.0900000001</v>
      </c>
      <c r="H3319" s="255">
        <f>SUM(G3317:G3318)</f>
        <v>1311705.09375</v>
      </c>
    </row>
    <row r="3321" spans="1:8">
      <c r="A3321" s="286" t="s">
        <v>4208</v>
      </c>
      <c r="B3321" s="265" t="s">
        <v>2800</v>
      </c>
    </row>
    <row r="3322" spans="1:8" s="292" customFormat="1" ht="24.95" customHeight="1">
      <c r="A3322" s="290" t="s">
        <v>1003</v>
      </c>
      <c r="B3322" s="290" t="s">
        <v>1004</v>
      </c>
      <c r="C3322" s="290" t="s">
        <v>1005</v>
      </c>
      <c r="D3322" s="290" t="s">
        <v>1006</v>
      </c>
      <c r="E3322" s="373" t="s">
        <v>1007</v>
      </c>
      <c r="F3322" s="363" t="s">
        <v>2637</v>
      </c>
      <c r="G3322" s="291" t="s">
        <v>2638</v>
      </c>
    </row>
    <row r="3323" spans="1:8">
      <c r="A3323" s="294" t="s">
        <v>671</v>
      </c>
      <c r="B3323" s="410" t="s">
        <v>672</v>
      </c>
      <c r="C3323" s="247"/>
      <c r="D3323" s="247"/>
      <c r="E3323" s="372"/>
      <c r="F3323" s="360"/>
      <c r="G3323" s="248"/>
    </row>
    <row r="3324" spans="1:8">
      <c r="A3324" s="294"/>
      <c r="B3324" s="410" t="s">
        <v>673</v>
      </c>
      <c r="C3324" s="247" t="s">
        <v>674</v>
      </c>
      <c r="D3324" s="247" t="s">
        <v>675</v>
      </c>
      <c r="E3324" s="372">
        <v>0.17</v>
      </c>
      <c r="F3324" s="360">
        <f>'UPAD-BAHAN-ALAT'!$I$12</f>
        <v>110000</v>
      </c>
      <c r="G3324" s="248">
        <f>F3324*E3324</f>
        <v>18700</v>
      </c>
    </row>
    <row r="3325" spans="1:8">
      <c r="A3325" s="294"/>
      <c r="B3325" s="410" t="s">
        <v>677</v>
      </c>
      <c r="C3325" s="247" t="s">
        <v>678</v>
      </c>
      <c r="D3325" s="247" t="s">
        <v>675</v>
      </c>
      <c r="E3325" s="372">
        <v>0.17</v>
      </c>
      <c r="F3325" s="360">
        <f>'UPAD-BAHAN-ALAT'!$I$13</f>
        <v>140000</v>
      </c>
      <c r="G3325" s="248">
        <f>F3325*E3325</f>
        <v>23800</v>
      </c>
    </row>
    <row r="3326" spans="1:8">
      <c r="A3326" s="294"/>
      <c r="B3326" s="410" t="s">
        <v>751</v>
      </c>
      <c r="C3326" s="247" t="s">
        <v>681</v>
      </c>
      <c r="D3326" s="247" t="s">
        <v>675</v>
      </c>
      <c r="E3326" s="372">
        <v>1.7000000000000001E-2</v>
      </c>
      <c r="F3326" s="360">
        <f>'UPAD-BAHAN-ALAT'!$I$15</f>
        <v>150000</v>
      </c>
      <c r="G3326" s="248">
        <f>F3326*E3326</f>
        <v>2550</v>
      </c>
    </row>
    <row r="3327" spans="1:8">
      <c r="A3327" s="294"/>
      <c r="B3327" s="410" t="s">
        <v>683</v>
      </c>
      <c r="C3327" s="247" t="s">
        <v>684</v>
      </c>
      <c r="D3327" s="247" t="s">
        <v>675</v>
      </c>
      <c r="E3327" s="372">
        <v>8.9999999999999993E-3</v>
      </c>
      <c r="F3327" s="360">
        <f>'UPAD-BAHAN-ALAT'!$I$14</f>
        <v>140000</v>
      </c>
      <c r="G3327" s="248">
        <f>F3327*E3327</f>
        <v>1260</v>
      </c>
    </row>
    <row r="3328" spans="1:8">
      <c r="A3328" s="294"/>
      <c r="B3328" s="410"/>
      <c r="C3328" s="247"/>
      <c r="D3328" s="247"/>
      <c r="E3328" s="1146" t="s">
        <v>685</v>
      </c>
      <c r="F3328" s="1146"/>
      <c r="G3328" s="248">
        <f>SUM(G3324:G3327)</f>
        <v>46310</v>
      </c>
    </row>
    <row r="3329" spans="1:8">
      <c r="A3329" s="294" t="s">
        <v>686</v>
      </c>
      <c r="B3329" s="410" t="s">
        <v>687</v>
      </c>
      <c r="C3329" s="247"/>
      <c r="D3329" s="247"/>
      <c r="E3329" s="372"/>
      <c r="F3329" s="360"/>
      <c r="G3329" s="248"/>
    </row>
    <row r="3330" spans="1:8">
      <c r="A3330" s="294"/>
      <c r="B3330" s="410" t="s">
        <v>1156</v>
      </c>
      <c r="C3330" s="247"/>
      <c r="D3330" s="247" t="s">
        <v>2647</v>
      </c>
      <c r="E3330" s="372">
        <v>1.05</v>
      </c>
      <c r="F3330" s="360">
        <f>'UPAD-BAHAN-ALAT'!$I$264</f>
        <v>46750</v>
      </c>
      <c r="G3330" s="248">
        <f>F3330*E3330</f>
        <v>49087.5</v>
      </c>
    </row>
    <row r="3331" spans="1:8">
      <c r="A3331" s="294"/>
      <c r="B3331" s="410" t="s">
        <v>1158</v>
      </c>
      <c r="C3331" s="247"/>
      <c r="D3331" s="247" t="s">
        <v>690</v>
      </c>
      <c r="E3331" s="372">
        <v>0.35</v>
      </c>
      <c r="F3331" s="360">
        <f>'UPAD-BAHAN-ALAT'!$I$98</f>
        <v>33000</v>
      </c>
      <c r="G3331" s="248">
        <f>F3331*E3331</f>
        <v>11550</v>
      </c>
    </row>
    <row r="3332" spans="1:8">
      <c r="A3332" s="294"/>
      <c r="B3332" s="295"/>
      <c r="C3332" s="296"/>
      <c r="D3332" s="296"/>
      <c r="E3332" s="1146" t="s">
        <v>702</v>
      </c>
      <c r="F3332" s="1146"/>
      <c r="G3332" s="248">
        <f>SUM(G3330:G3331)</f>
        <v>60637.5</v>
      </c>
    </row>
    <row r="3333" spans="1:8" s="265" customFormat="1">
      <c r="A3333" s="294" t="s">
        <v>703</v>
      </c>
      <c r="B3333" s="1147" t="s">
        <v>3910</v>
      </c>
      <c r="C3333" s="1147"/>
      <c r="D3333" s="1147"/>
      <c r="E3333" s="1147"/>
      <c r="F3333" s="1147"/>
      <c r="G3333" s="255">
        <f>G3328+G3332</f>
        <v>106947.5</v>
      </c>
    </row>
    <row r="3334" spans="1:8" s="265" customFormat="1">
      <c r="A3334" s="294" t="s">
        <v>706</v>
      </c>
      <c r="B3334" s="1148" t="s">
        <v>876</v>
      </c>
      <c r="C3334" s="1148"/>
      <c r="D3334" s="1148"/>
      <c r="E3334" s="1147" t="s">
        <v>4030</v>
      </c>
      <c r="F3334" s="1147"/>
      <c r="G3334" s="255">
        <f>G3333*0.15</f>
        <v>16042.125</v>
      </c>
    </row>
    <row r="3335" spans="1:8" s="265" customFormat="1">
      <c r="A3335" s="294" t="s">
        <v>708</v>
      </c>
      <c r="B3335" s="1149" t="s">
        <v>3911</v>
      </c>
      <c r="C3335" s="1149"/>
      <c r="D3335" s="1149"/>
      <c r="E3335" s="1149"/>
      <c r="F3335" s="1149"/>
      <c r="G3335" s="255">
        <f>ROUND(SUM(G3333:G3334),2)</f>
        <v>122989.63</v>
      </c>
      <c r="H3335" s="255">
        <f>SUM(G3333:G3334)</f>
        <v>122989.625</v>
      </c>
    </row>
    <row r="3336" spans="1:8">
      <c r="A3336" s="268"/>
      <c r="B3336" s="269"/>
      <c r="C3336" s="268"/>
      <c r="D3336" s="268"/>
      <c r="E3336" s="380"/>
      <c r="F3336" s="365"/>
      <c r="G3336" s="270"/>
    </row>
    <row r="3337" spans="1:8">
      <c r="A3337" s="285" t="s">
        <v>4209</v>
      </c>
      <c r="B3337" s="250" t="s">
        <v>2799</v>
      </c>
      <c r="C3337" s="252"/>
      <c r="D3337" s="252"/>
      <c r="E3337" s="374"/>
      <c r="F3337" s="361"/>
      <c r="G3337" s="253"/>
    </row>
    <row r="3338" spans="1:8" s="292" customFormat="1" ht="24.95" customHeight="1">
      <c r="A3338" s="290" t="s">
        <v>1003</v>
      </c>
      <c r="B3338" s="290" t="s">
        <v>1004</v>
      </c>
      <c r="C3338" s="290" t="s">
        <v>1005</v>
      </c>
      <c r="D3338" s="290" t="s">
        <v>1006</v>
      </c>
      <c r="E3338" s="373" t="s">
        <v>1007</v>
      </c>
      <c r="F3338" s="363" t="s">
        <v>2637</v>
      </c>
      <c r="G3338" s="291" t="s">
        <v>2638</v>
      </c>
    </row>
    <row r="3339" spans="1:8">
      <c r="A3339" s="294" t="s">
        <v>671</v>
      </c>
      <c r="B3339" s="410" t="s">
        <v>672</v>
      </c>
      <c r="C3339" s="247"/>
      <c r="D3339" s="247"/>
      <c r="E3339" s="372"/>
      <c r="F3339" s="360"/>
      <c r="G3339" s="248"/>
    </row>
    <row r="3340" spans="1:8">
      <c r="A3340" s="294"/>
      <c r="B3340" s="410" t="s">
        <v>673</v>
      </c>
      <c r="C3340" s="247" t="s">
        <v>674</v>
      </c>
      <c r="D3340" s="247" t="s">
        <v>675</v>
      </c>
      <c r="E3340" s="372">
        <v>0.12</v>
      </c>
      <c r="F3340" s="360">
        <f>'UPAD-BAHAN-ALAT'!$I$12</f>
        <v>110000</v>
      </c>
      <c r="G3340" s="248">
        <f>F3340*E3340</f>
        <v>13200</v>
      </c>
    </row>
    <row r="3341" spans="1:8">
      <c r="A3341" s="294"/>
      <c r="B3341" s="410" t="s">
        <v>677</v>
      </c>
      <c r="C3341" s="247" t="s">
        <v>678</v>
      </c>
      <c r="D3341" s="247" t="s">
        <v>675</v>
      </c>
      <c r="E3341" s="372">
        <v>0.12</v>
      </c>
      <c r="F3341" s="360">
        <f>'UPAD-BAHAN-ALAT'!$I$13</f>
        <v>140000</v>
      </c>
      <c r="G3341" s="248">
        <f>F3341*E3341</f>
        <v>16800</v>
      </c>
    </row>
    <row r="3342" spans="1:8">
      <c r="A3342" s="294"/>
      <c r="B3342" s="410" t="s">
        <v>751</v>
      </c>
      <c r="C3342" s="247" t="s">
        <v>681</v>
      </c>
      <c r="D3342" s="247" t="s">
        <v>675</v>
      </c>
      <c r="E3342" s="372">
        <v>1.2E-2</v>
      </c>
      <c r="F3342" s="360">
        <f>'UPAD-BAHAN-ALAT'!$I$15</f>
        <v>150000</v>
      </c>
      <c r="G3342" s="248">
        <f>F3342*E3342</f>
        <v>1800</v>
      </c>
    </row>
    <row r="3343" spans="1:8">
      <c r="A3343" s="294"/>
      <c r="B3343" s="410" t="s">
        <v>683</v>
      </c>
      <c r="C3343" s="247" t="s">
        <v>684</v>
      </c>
      <c r="D3343" s="247" t="s">
        <v>675</v>
      </c>
      <c r="E3343" s="372">
        <v>6.0000000000000001E-3</v>
      </c>
      <c r="F3343" s="360">
        <f>'UPAD-BAHAN-ALAT'!$I$14</f>
        <v>140000</v>
      </c>
      <c r="G3343" s="248">
        <f>F3343*E3343</f>
        <v>840</v>
      </c>
    </row>
    <row r="3344" spans="1:8">
      <c r="A3344" s="294"/>
      <c r="B3344" s="410"/>
      <c r="C3344" s="247"/>
      <c r="D3344" s="247"/>
      <c r="E3344" s="1146" t="s">
        <v>685</v>
      </c>
      <c r="F3344" s="1146"/>
      <c r="G3344" s="248">
        <f>SUM(G3340:G3343)</f>
        <v>32640</v>
      </c>
    </row>
    <row r="3345" spans="1:7">
      <c r="A3345" s="294" t="s">
        <v>686</v>
      </c>
      <c r="B3345" s="410" t="s">
        <v>687</v>
      </c>
      <c r="C3345" s="247"/>
      <c r="D3345" s="247"/>
      <c r="E3345" s="372"/>
      <c r="F3345" s="360"/>
      <c r="G3345" s="248"/>
    </row>
    <row r="3346" spans="1:7">
      <c r="A3346" s="294"/>
      <c r="B3346" s="410" t="s">
        <v>1159</v>
      </c>
      <c r="C3346" s="247"/>
      <c r="D3346" s="247" t="s">
        <v>2647</v>
      </c>
      <c r="E3346" s="372">
        <v>1.05</v>
      </c>
      <c r="F3346" s="360">
        <f>'UPAD-BAHAN-ALAT'!$I$265</f>
        <v>52000</v>
      </c>
      <c r="G3346" s="248">
        <f>F3346*E3346</f>
        <v>54600</v>
      </c>
    </row>
    <row r="3347" spans="1:7">
      <c r="A3347" s="294"/>
      <c r="B3347" s="410" t="s">
        <v>1158</v>
      </c>
      <c r="C3347" s="247"/>
      <c r="D3347" s="247" t="s">
        <v>690</v>
      </c>
      <c r="E3347" s="372">
        <v>0.35</v>
      </c>
      <c r="F3347" s="360">
        <f>'UPAD-BAHAN-ALAT'!$I$98</f>
        <v>33000</v>
      </c>
      <c r="G3347" s="248">
        <f>F3347*E3347</f>
        <v>11550</v>
      </c>
    </row>
    <row r="3348" spans="1:7">
      <c r="A3348" s="294"/>
      <c r="B3348" s="295"/>
      <c r="C3348" s="296"/>
      <c r="D3348" s="296"/>
      <c r="E3348" s="1146" t="s">
        <v>702</v>
      </c>
      <c r="F3348" s="1146"/>
      <c r="G3348" s="248">
        <f>SUM(G3346:G3347)</f>
        <v>66150</v>
      </c>
    </row>
    <row r="3349" spans="1:7" s="265" customFormat="1">
      <c r="A3349" s="294" t="s">
        <v>703</v>
      </c>
      <c r="B3349" s="1147" t="s">
        <v>3910</v>
      </c>
      <c r="C3349" s="1147"/>
      <c r="D3349" s="1147"/>
      <c r="E3349" s="1147"/>
      <c r="F3349" s="1147"/>
      <c r="G3349" s="255">
        <f>G3344+G3348</f>
        <v>98790</v>
      </c>
    </row>
    <row r="3350" spans="1:7" s="265" customFormat="1">
      <c r="A3350" s="294" t="s">
        <v>706</v>
      </c>
      <c r="B3350" s="1148" t="s">
        <v>876</v>
      </c>
      <c r="C3350" s="1148"/>
      <c r="D3350" s="1148"/>
      <c r="E3350" s="1147" t="s">
        <v>4030</v>
      </c>
      <c r="F3350" s="1147"/>
      <c r="G3350" s="255">
        <f>G3349*0.15</f>
        <v>14818.5</v>
      </c>
    </row>
    <row r="3351" spans="1:7" s="265" customFormat="1">
      <c r="A3351" s="294" t="s">
        <v>708</v>
      </c>
      <c r="B3351" s="1149" t="s">
        <v>3911</v>
      </c>
      <c r="C3351" s="1149"/>
      <c r="D3351" s="1149"/>
      <c r="E3351" s="1149"/>
      <c r="F3351" s="1149"/>
      <c r="G3351" s="255">
        <f>ROUND(SUM(G3349:G3350),2)</f>
        <v>113608.5</v>
      </c>
    </row>
    <row r="3353" spans="1:7">
      <c r="A3353" s="286" t="s">
        <v>4210</v>
      </c>
      <c r="B3353" s="265" t="s">
        <v>2798</v>
      </c>
    </row>
    <row r="3354" spans="1:7" s="292" customFormat="1" ht="24.95" customHeight="1">
      <c r="A3354" s="290" t="s">
        <v>1003</v>
      </c>
      <c r="B3354" s="290" t="s">
        <v>1004</v>
      </c>
      <c r="C3354" s="290" t="s">
        <v>1005</v>
      </c>
      <c r="D3354" s="290" t="s">
        <v>1006</v>
      </c>
      <c r="E3354" s="373" t="s">
        <v>1007</v>
      </c>
      <c r="F3354" s="363" t="s">
        <v>2637</v>
      </c>
      <c r="G3354" s="291" t="s">
        <v>2638</v>
      </c>
    </row>
    <row r="3355" spans="1:7">
      <c r="A3355" s="294" t="s">
        <v>671</v>
      </c>
      <c r="B3355" s="410" t="s">
        <v>672</v>
      </c>
      <c r="C3355" s="247"/>
      <c r="D3355" s="247"/>
      <c r="E3355" s="372"/>
      <c r="F3355" s="360"/>
      <c r="G3355" s="248"/>
    </row>
    <row r="3356" spans="1:7">
      <c r="A3356" s="294"/>
      <c r="B3356" s="410" t="s">
        <v>673</v>
      </c>
      <c r="C3356" s="247" t="s">
        <v>674</v>
      </c>
      <c r="D3356" s="247" t="s">
        <v>675</v>
      </c>
      <c r="E3356" s="372">
        <v>0.7</v>
      </c>
      <c r="F3356" s="360">
        <f>'UPAD-BAHAN-ALAT'!$I$12</f>
        <v>110000</v>
      </c>
      <c r="G3356" s="248">
        <f>F3356*E3356</f>
        <v>77000</v>
      </c>
    </row>
    <row r="3357" spans="1:7">
      <c r="A3357" s="294"/>
      <c r="B3357" s="410" t="s">
        <v>677</v>
      </c>
      <c r="C3357" s="247" t="s">
        <v>678</v>
      </c>
      <c r="D3357" s="247" t="s">
        <v>675</v>
      </c>
      <c r="E3357" s="372">
        <v>0.35</v>
      </c>
      <c r="F3357" s="360">
        <f>'UPAD-BAHAN-ALAT'!$I$13</f>
        <v>140000</v>
      </c>
      <c r="G3357" s="248">
        <f>F3357*E3357</f>
        <v>49000</v>
      </c>
    </row>
    <row r="3358" spans="1:7">
      <c r="A3358" s="294"/>
      <c r="B3358" s="410" t="s">
        <v>751</v>
      </c>
      <c r="C3358" s="247" t="s">
        <v>681</v>
      </c>
      <c r="D3358" s="247" t="s">
        <v>675</v>
      </c>
      <c r="E3358" s="372">
        <v>3.5000000000000003E-2</v>
      </c>
      <c r="F3358" s="360">
        <f>'UPAD-BAHAN-ALAT'!$I$15</f>
        <v>150000</v>
      </c>
      <c r="G3358" s="248">
        <f>F3358*E3358</f>
        <v>5250.0000000000009</v>
      </c>
    </row>
    <row r="3359" spans="1:7">
      <c r="A3359" s="294"/>
      <c r="B3359" s="410" t="s">
        <v>683</v>
      </c>
      <c r="C3359" s="247" t="s">
        <v>684</v>
      </c>
      <c r="D3359" s="247" t="s">
        <v>675</v>
      </c>
      <c r="E3359" s="372">
        <v>3.5000000000000003E-2</v>
      </c>
      <c r="F3359" s="360">
        <f>'UPAD-BAHAN-ALAT'!$I$14</f>
        <v>140000</v>
      </c>
      <c r="G3359" s="248">
        <f>F3359*E3359</f>
        <v>4900.0000000000009</v>
      </c>
    </row>
    <row r="3360" spans="1:7">
      <c r="A3360" s="294"/>
      <c r="B3360" s="410"/>
      <c r="C3360" s="247"/>
      <c r="D3360" s="247"/>
      <c r="E3360" s="1146" t="s">
        <v>685</v>
      </c>
      <c r="F3360" s="1146"/>
      <c r="G3360" s="248">
        <f>SUM(G3356:G3359)</f>
        <v>136150</v>
      </c>
    </row>
    <row r="3361" spans="1:8">
      <c r="A3361" s="294" t="s">
        <v>686</v>
      </c>
      <c r="B3361" s="410" t="s">
        <v>687</v>
      </c>
      <c r="C3361" s="247"/>
      <c r="D3361" s="247"/>
      <c r="E3361" s="372"/>
      <c r="F3361" s="360"/>
      <c r="G3361" s="248"/>
    </row>
    <row r="3362" spans="1:8">
      <c r="A3362" s="294"/>
      <c r="B3362" s="410" t="s">
        <v>1160</v>
      </c>
      <c r="C3362" s="247"/>
      <c r="D3362" s="247" t="s">
        <v>2647</v>
      </c>
      <c r="E3362" s="372">
        <v>1.05</v>
      </c>
      <c r="F3362" s="360">
        <f>'UPAD-BAHAN-ALAT'!$I$268</f>
        <v>306000</v>
      </c>
      <c r="G3362" s="248">
        <f>F3362*E3362</f>
        <v>321300</v>
      </c>
    </row>
    <row r="3363" spans="1:8">
      <c r="A3363" s="294"/>
      <c r="B3363" s="410" t="s">
        <v>1158</v>
      </c>
      <c r="C3363" s="247"/>
      <c r="D3363" s="247" t="s">
        <v>690</v>
      </c>
      <c r="E3363" s="372">
        <v>0.6</v>
      </c>
      <c r="F3363" s="360">
        <f>'UPAD-BAHAN-ALAT'!$I$98</f>
        <v>33000</v>
      </c>
      <c r="G3363" s="248">
        <f>F3363*E3363</f>
        <v>19800</v>
      </c>
    </row>
    <row r="3364" spans="1:8">
      <c r="A3364" s="294"/>
      <c r="B3364" s="295"/>
      <c r="C3364" s="296"/>
      <c r="D3364" s="296"/>
      <c r="E3364" s="1146" t="s">
        <v>702</v>
      </c>
      <c r="F3364" s="1146"/>
      <c r="G3364" s="248">
        <f>SUM(G3362:G3363)</f>
        <v>341100</v>
      </c>
    </row>
    <row r="3365" spans="1:8" s="265" customFormat="1">
      <c r="A3365" s="294" t="s">
        <v>703</v>
      </c>
      <c r="B3365" s="1147" t="s">
        <v>3910</v>
      </c>
      <c r="C3365" s="1147"/>
      <c r="D3365" s="1147"/>
      <c r="E3365" s="1147"/>
      <c r="F3365" s="1147"/>
      <c r="G3365" s="255">
        <f>G3360+G3364</f>
        <v>477250</v>
      </c>
    </row>
    <row r="3366" spans="1:8" s="265" customFormat="1">
      <c r="A3366" s="294" t="s">
        <v>706</v>
      </c>
      <c r="B3366" s="1148" t="s">
        <v>876</v>
      </c>
      <c r="C3366" s="1148"/>
      <c r="D3366" s="1148"/>
      <c r="E3366" s="1147" t="s">
        <v>4030</v>
      </c>
      <c r="F3366" s="1147"/>
      <c r="G3366" s="255">
        <f>G3365*0.15</f>
        <v>71587.5</v>
      </c>
    </row>
    <row r="3367" spans="1:8" s="265" customFormat="1">
      <c r="A3367" s="294" t="s">
        <v>708</v>
      </c>
      <c r="B3367" s="1149" t="s">
        <v>3911</v>
      </c>
      <c r="C3367" s="1149"/>
      <c r="D3367" s="1149"/>
      <c r="E3367" s="1149"/>
      <c r="F3367" s="1149"/>
      <c r="G3367" s="255">
        <f>ROUND(SUM(G3365:G3366),2)</f>
        <v>548837.5</v>
      </c>
      <c r="H3367" s="255">
        <f>SUM(G3365:G3366)</f>
        <v>548837.5</v>
      </c>
    </row>
    <row r="3368" spans="1:8">
      <c r="A3368" s="268"/>
      <c r="B3368" s="269"/>
      <c r="C3368" s="268"/>
      <c r="D3368" s="268"/>
      <c r="E3368" s="380"/>
      <c r="F3368" s="365"/>
      <c r="G3368" s="270"/>
    </row>
    <row r="3369" spans="1:8">
      <c r="A3369" s="284" t="s">
        <v>4211</v>
      </c>
      <c r="B3369" s="250" t="s">
        <v>2797</v>
      </c>
      <c r="C3369" s="252"/>
      <c r="D3369" s="252"/>
      <c r="E3369" s="374"/>
      <c r="F3369" s="361"/>
      <c r="G3369" s="253"/>
    </row>
    <row r="3370" spans="1:8" s="292" customFormat="1" ht="24.95" customHeight="1">
      <c r="A3370" s="290" t="s">
        <v>1003</v>
      </c>
      <c r="B3370" s="290" t="s">
        <v>1004</v>
      </c>
      <c r="C3370" s="290" t="s">
        <v>1005</v>
      </c>
      <c r="D3370" s="290" t="s">
        <v>1006</v>
      </c>
      <c r="E3370" s="373" t="s">
        <v>1007</v>
      </c>
      <c r="F3370" s="363" t="s">
        <v>2637</v>
      </c>
      <c r="G3370" s="291" t="s">
        <v>2638</v>
      </c>
    </row>
    <row r="3371" spans="1:8">
      <c r="A3371" s="294" t="s">
        <v>671</v>
      </c>
      <c r="B3371" s="410" t="s">
        <v>672</v>
      </c>
      <c r="C3371" s="247"/>
      <c r="D3371" s="247"/>
      <c r="E3371" s="372"/>
      <c r="F3371" s="360"/>
      <c r="G3371" s="248"/>
    </row>
    <row r="3372" spans="1:8">
      <c r="A3372" s="294"/>
      <c r="B3372" s="410" t="s">
        <v>673</v>
      </c>
      <c r="C3372" s="247" t="s">
        <v>674</v>
      </c>
      <c r="D3372" s="247" t="s">
        <v>675</v>
      </c>
      <c r="E3372" s="372">
        <v>0.7</v>
      </c>
      <c r="F3372" s="360">
        <f>'UPAD-BAHAN-ALAT'!$I$12</f>
        <v>110000</v>
      </c>
      <c r="G3372" s="248">
        <f>F3372*E3372</f>
        <v>77000</v>
      </c>
    </row>
    <row r="3373" spans="1:8">
      <c r="A3373" s="294"/>
      <c r="B3373" s="410" t="s">
        <v>677</v>
      </c>
      <c r="C3373" s="247" t="s">
        <v>678</v>
      </c>
      <c r="D3373" s="247" t="s">
        <v>675</v>
      </c>
      <c r="E3373" s="372">
        <v>0.35</v>
      </c>
      <c r="F3373" s="360">
        <f>'UPAD-BAHAN-ALAT'!$I$13</f>
        <v>140000</v>
      </c>
      <c r="G3373" s="248">
        <f>F3373*E3373</f>
        <v>49000</v>
      </c>
    </row>
    <row r="3374" spans="1:8">
      <c r="A3374" s="294"/>
      <c r="B3374" s="410" t="s">
        <v>751</v>
      </c>
      <c r="C3374" s="247" t="s">
        <v>681</v>
      </c>
      <c r="D3374" s="247" t="s">
        <v>675</v>
      </c>
      <c r="E3374" s="372">
        <v>3.5000000000000003E-2</v>
      </c>
      <c r="F3374" s="360">
        <f>'UPAD-BAHAN-ALAT'!$I$15</f>
        <v>150000</v>
      </c>
      <c r="G3374" s="248">
        <f>F3374*E3374</f>
        <v>5250.0000000000009</v>
      </c>
    </row>
    <row r="3375" spans="1:8">
      <c r="A3375" s="294"/>
      <c r="B3375" s="410" t="s">
        <v>683</v>
      </c>
      <c r="C3375" s="247" t="s">
        <v>684</v>
      </c>
      <c r="D3375" s="247" t="s">
        <v>675</v>
      </c>
      <c r="E3375" s="372">
        <v>3.5000000000000003E-2</v>
      </c>
      <c r="F3375" s="360">
        <f>'UPAD-BAHAN-ALAT'!$I$14</f>
        <v>140000</v>
      </c>
      <c r="G3375" s="248">
        <f>F3375*E3375</f>
        <v>4900.0000000000009</v>
      </c>
    </row>
    <row r="3376" spans="1:8">
      <c r="A3376" s="294"/>
      <c r="B3376" s="410"/>
      <c r="C3376" s="247"/>
      <c r="D3376" s="247"/>
      <c r="E3376" s="1146" t="s">
        <v>685</v>
      </c>
      <c r="F3376" s="1146"/>
      <c r="G3376" s="248">
        <f>SUM(G3372:G3375)</f>
        <v>136150</v>
      </c>
    </row>
    <row r="3377" spans="1:8">
      <c r="A3377" s="294" t="s">
        <v>686</v>
      </c>
      <c r="B3377" s="410" t="s">
        <v>687</v>
      </c>
      <c r="C3377" s="247"/>
      <c r="D3377" s="247"/>
      <c r="E3377" s="372"/>
      <c r="F3377" s="360"/>
      <c r="G3377" s="248"/>
    </row>
    <row r="3378" spans="1:8">
      <c r="A3378" s="294"/>
      <c r="B3378" s="297" t="s">
        <v>1160</v>
      </c>
      <c r="C3378" s="247"/>
      <c r="D3378" s="247" t="s">
        <v>2647</v>
      </c>
      <c r="E3378" s="372">
        <v>1.05</v>
      </c>
      <c r="F3378" s="360">
        <f>'UPAD-BAHAN-ALAT'!$I$269</f>
        <v>178500</v>
      </c>
      <c r="G3378" s="248">
        <f>F3378*E3378</f>
        <v>187425</v>
      </c>
    </row>
    <row r="3379" spans="1:8">
      <c r="A3379" s="294"/>
      <c r="B3379" s="410" t="s">
        <v>1158</v>
      </c>
      <c r="C3379" s="247"/>
      <c r="D3379" s="247" t="s">
        <v>690</v>
      </c>
      <c r="E3379" s="372">
        <v>0.6</v>
      </c>
      <c r="F3379" s="360">
        <f>'UPAD-BAHAN-ALAT'!$I$98</f>
        <v>33000</v>
      </c>
      <c r="G3379" s="248">
        <f>F3379*E3379</f>
        <v>19800</v>
      </c>
    </row>
    <row r="3380" spans="1:8">
      <c r="A3380" s="294"/>
      <c r="B3380" s="295"/>
      <c r="C3380" s="296"/>
      <c r="D3380" s="296"/>
      <c r="E3380" s="1146" t="s">
        <v>702</v>
      </c>
      <c r="F3380" s="1146"/>
      <c r="G3380" s="248">
        <f>SUM(G3378:G3379)</f>
        <v>207225</v>
      </c>
    </row>
    <row r="3381" spans="1:8" s="265" customFormat="1">
      <c r="A3381" s="294" t="s">
        <v>703</v>
      </c>
      <c r="B3381" s="1147" t="s">
        <v>3910</v>
      </c>
      <c r="C3381" s="1147"/>
      <c r="D3381" s="1147"/>
      <c r="E3381" s="1147"/>
      <c r="F3381" s="1147"/>
      <c r="G3381" s="255">
        <f>G3376+G3380</f>
        <v>343375</v>
      </c>
    </row>
    <row r="3382" spans="1:8" s="265" customFormat="1">
      <c r="A3382" s="294" t="s">
        <v>706</v>
      </c>
      <c r="B3382" s="1148" t="s">
        <v>876</v>
      </c>
      <c r="C3382" s="1148"/>
      <c r="D3382" s="1148"/>
      <c r="E3382" s="1147" t="s">
        <v>4030</v>
      </c>
      <c r="F3382" s="1147"/>
      <c r="G3382" s="255">
        <f>G3381*0.15</f>
        <v>51506.25</v>
      </c>
    </row>
    <row r="3383" spans="1:8" s="265" customFormat="1">
      <c r="A3383" s="294" t="s">
        <v>708</v>
      </c>
      <c r="B3383" s="1149" t="s">
        <v>3911</v>
      </c>
      <c r="C3383" s="1149"/>
      <c r="D3383" s="1149"/>
      <c r="E3383" s="1149"/>
      <c r="F3383" s="1149"/>
      <c r="G3383" s="255">
        <f>ROUND(SUM(G3381:G3382),2)</f>
        <v>394881.25</v>
      </c>
      <c r="H3383" s="255">
        <f>SUM(G3381:G3382)</f>
        <v>394881.25</v>
      </c>
    </row>
    <row r="3385" spans="1:8">
      <c r="A3385" s="286" t="s">
        <v>4212</v>
      </c>
      <c r="B3385" s="265" t="s">
        <v>2796</v>
      </c>
    </row>
    <row r="3386" spans="1:8" s="292" customFormat="1" ht="24.95" customHeight="1">
      <c r="A3386" s="290" t="s">
        <v>1003</v>
      </c>
      <c r="B3386" s="290" t="s">
        <v>1004</v>
      </c>
      <c r="C3386" s="290" t="s">
        <v>1005</v>
      </c>
      <c r="D3386" s="290" t="s">
        <v>1006</v>
      </c>
      <c r="E3386" s="373" t="s">
        <v>1007</v>
      </c>
      <c r="F3386" s="363" t="s">
        <v>2637</v>
      </c>
      <c r="G3386" s="291" t="s">
        <v>2638</v>
      </c>
    </row>
    <row r="3387" spans="1:8">
      <c r="A3387" s="294" t="s">
        <v>671</v>
      </c>
      <c r="B3387" s="410" t="s">
        <v>672</v>
      </c>
      <c r="C3387" s="247"/>
      <c r="D3387" s="247"/>
      <c r="E3387" s="372"/>
      <c r="F3387" s="360"/>
      <c r="G3387" s="248"/>
    </row>
    <row r="3388" spans="1:8">
      <c r="A3388" s="294"/>
      <c r="B3388" s="410" t="s">
        <v>673</v>
      </c>
      <c r="C3388" s="247" t="s">
        <v>674</v>
      </c>
      <c r="D3388" s="247" t="s">
        <v>675</v>
      </c>
      <c r="E3388" s="372">
        <v>0.9</v>
      </c>
      <c r="F3388" s="360">
        <f>'UPAD-BAHAN-ALAT'!$I$12</f>
        <v>110000</v>
      </c>
      <c r="G3388" s="248">
        <f>F3388*E3388</f>
        <v>99000</v>
      </c>
    </row>
    <row r="3389" spans="1:8">
      <c r="A3389" s="294"/>
      <c r="B3389" s="410" t="s">
        <v>816</v>
      </c>
      <c r="C3389" s="247" t="s">
        <v>678</v>
      </c>
      <c r="D3389" s="247" t="s">
        <v>675</v>
      </c>
      <c r="E3389" s="372">
        <v>0.45</v>
      </c>
      <c r="F3389" s="360">
        <f>'UPAD-BAHAN-ALAT'!$I$13</f>
        <v>140000</v>
      </c>
      <c r="G3389" s="248">
        <f>F3389*E3389</f>
        <v>63000</v>
      </c>
    </row>
    <row r="3390" spans="1:8">
      <c r="A3390" s="294"/>
      <c r="B3390" s="410" t="s">
        <v>751</v>
      </c>
      <c r="C3390" s="247" t="s">
        <v>681</v>
      </c>
      <c r="D3390" s="247" t="s">
        <v>675</v>
      </c>
      <c r="E3390" s="372">
        <v>4.4999999999999998E-2</v>
      </c>
      <c r="F3390" s="360">
        <f>'UPAD-BAHAN-ALAT'!$I$15</f>
        <v>150000</v>
      </c>
      <c r="G3390" s="248">
        <f>F3390*E3390</f>
        <v>6750</v>
      </c>
    </row>
    <row r="3391" spans="1:8">
      <c r="A3391" s="294"/>
      <c r="B3391" s="410" t="s">
        <v>683</v>
      </c>
      <c r="C3391" s="247" t="s">
        <v>684</v>
      </c>
      <c r="D3391" s="247" t="s">
        <v>675</v>
      </c>
      <c r="E3391" s="372">
        <v>4.4999999999999998E-2</v>
      </c>
      <c r="F3391" s="360">
        <f>'UPAD-BAHAN-ALAT'!$I$14</f>
        <v>140000</v>
      </c>
      <c r="G3391" s="248">
        <f>F3391*E3391</f>
        <v>6300</v>
      </c>
    </row>
    <row r="3392" spans="1:8">
      <c r="A3392" s="294"/>
      <c r="B3392" s="410"/>
      <c r="C3392" s="247"/>
      <c r="D3392" s="247"/>
      <c r="E3392" s="1146" t="s">
        <v>685</v>
      </c>
      <c r="F3392" s="1146"/>
      <c r="G3392" s="248">
        <f>SUM(G3388:G3391)</f>
        <v>175050</v>
      </c>
    </row>
    <row r="3393" spans="1:9">
      <c r="A3393" s="294" t="s">
        <v>686</v>
      </c>
      <c r="B3393" s="410" t="s">
        <v>687</v>
      </c>
      <c r="C3393" s="247"/>
      <c r="D3393" s="247"/>
      <c r="E3393" s="372"/>
      <c r="F3393" s="360"/>
      <c r="G3393" s="248"/>
    </row>
    <row r="3394" spans="1:9">
      <c r="A3394" s="294"/>
      <c r="B3394" s="410" t="s">
        <v>3986</v>
      </c>
      <c r="C3394" s="247"/>
      <c r="D3394" s="247" t="s">
        <v>743</v>
      </c>
      <c r="E3394" s="372">
        <v>26.25</v>
      </c>
      <c r="F3394" s="360">
        <f>'UPAD-BAHAN-ALAT'!$I$249</f>
        <v>2250</v>
      </c>
      <c r="G3394" s="248">
        <f>F3394*E3394</f>
        <v>59062.5</v>
      </c>
      <c r="H3394" s="249">
        <f>(1/(0.2*0.2))*1.05</f>
        <v>26.249999999999996</v>
      </c>
    </row>
    <row r="3395" spans="1:9">
      <c r="A3395" s="294"/>
      <c r="B3395" s="410" t="s">
        <v>818</v>
      </c>
      <c r="C3395" s="247"/>
      <c r="D3395" s="247" t="s">
        <v>690</v>
      </c>
      <c r="E3395" s="372">
        <v>9.3000000000000007</v>
      </c>
      <c r="F3395" s="360">
        <f>'UPAD-BAHAN-ALAT'!$I$77</f>
        <v>1625</v>
      </c>
      <c r="G3395" s="248">
        <f>F3395*E3395</f>
        <v>15112.500000000002</v>
      </c>
    </row>
    <row r="3396" spans="1:9">
      <c r="A3396" s="294"/>
      <c r="B3396" s="410" t="s">
        <v>808</v>
      </c>
      <c r="C3396" s="247"/>
      <c r="D3396" s="247" t="s">
        <v>881</v>
      </c>
      <c r="E3396" s="372">
        <v>1.7999999999999999E-2</v>
      </c>
      <c r="F3396" s="360">
        <f>'UPAD-BAHAN-ALAT'!$I$71</f>
        <v>176000</v>
      </c>
      <c r="G3396" s="248">
        <f>F3396*E3396</f>
        <v>3167.9999999999995</v>
      </c>
    </row>
    <row r="3397" spans="1:9">
      <c r="A3397" s="294"/>
      <c r="B3397" s="410" t="s">
        <v>1100</v>
      </c>
      <c r="C3397" s="247"/>
      <c r="D3397" s="247" t="s">
        <v>690</v>
      </c>
      <c r="E3397" s="372">
        <v>1.94</v>
      </c>
      <c r="F3397" s="360">
        <f>'UPAD-BAHAN-ALAT'!$I$75</f>
        <v>3437.5</v>
      </c>
      <c r="G3397" s="248">
        <f>F3397*E3397</f>
        <v>6668.75</v>
      </c>
    </row>
    <row r="3398" spans="1:9">
      <c r="A3398" s="294"/>
      <c r="B3398" s="295"/>
      <c r="C3398" s="296"/>
      <c r="D3398" s="296"/>
      <c r="E3398" s="1146" t="s">
        <v>702</v>
      </c>
      <c r="F3398" s="1146"/>
      <c r="G3398" s="248">
        <f>SUM(G3394:G3397)</f>
        <v>84011.75</v>
      </c>
    </row>
    <row r="3399" spans="1:9" s="265" customFormat="1">
      <c r="A3399" s="294" t="s">
        <v>703</v>
      </c>
      <c r="B3399" s="1147" t="s">
        <v>3910</v>
      </c>
      <c r="C3399" s="1147"/>
      <c r="D3399" s="1147"/>
      <c r="E3399" s="1147"/>
      <c r="F3399" s="1147"/>
      <c r="G3399" s="255">
        <f>G3392+G3398</f>
        <v>259061.75</v>
      </c>
    </row>
    <row r="3400" spans="1:9" s="265" customFormat="1">
      <c r="A3400" s="294" t="s">
        <v>706</v>
      </c>
      <c r="B3400" s="1148" t="s">
        <v>876</v>
      </c>
      <c r="C3400" s="1148"/>
      <c r="D3400" s="1148"/>
      <c r="E3400" s="1147" t="s">
        <v>4030</v>
      </c>
      <c r="F3400" s="1147"/>
      <c r="G3400" s="255">
        <f>G3399*0.15</f>
        <v>38859.262499999997</v>
      </c>
    </row>
    <row r="3401" spans="1:9" s="265" customFormat="1">
      <c r="A3401" s="294" t="s">
        <v>708</v>
      </c>
      <c r="B3401" s="1149" t="s">
        <v>3911</v>
      </c>
      <c r="C3401" s="1149"/>
      <c r="D3401" s="1149"/>
      <c r="E3401" s="1149"/>
      <c r="F3401" s="1149"/>
      <c r="G3401" s="255">
        <f>ROUND(SUM(G3399:G3400),2)</f>
        <v>297921.01</v>
      </c>
      <c r="H3401" s="255">
        <f>SUM(G3399:G3400)</f>
        <v>297921.01250000001</v>
      </c>
      <c r="I3401" s="300"/>
    </row>
    <row r="3402" spans="1:9">
      <c r="A3402" s="252"/>
      <c r="B3402" s="251"/>
      <c r="C3402" s="252"/>
      <c r="D3402" s="251"/>
      <c r="E3402" s="378"/>
      <c r="F3402" s="364"/>
      <c r="G3402" s="264"/>
      <c r="H3402" s="253"/>
      <c r="I3402" s="259"/>
    </row>
    <row r="3403" spans="1:9">
      <c r="A3403" s="286" t="s">
        <v>4521</v>
      </c>
      <c r="B3403" s="265" t="s">
        <v>3987</v>
      </c>
      <c r="I3403" s="259"/>
    </row>
    <row r="3404" spans="1:9" s="292" customFormat="1" ht="24.95" customHeight="1">
      <c r="A3404" s="290" t="s">
        <v>1003</v>
      </c>
      <c r="B3404" s="290" t="s">
        <v>1004</v>
      </c>
      <c r="C3404" s="290" t="s">
        <v>1005</v>
      </c>
      <c r="D3404" s="290" t="s">
        <v>1006</v>
      </c>
      <c r="E3404" s="373" t="s">
        <v>1007</v>
      </c>
      <c r="F3404" s="363" t="s">
        <v>2637</v>
      </c>
      <c r="G3404" s="291" t="s">
        <v>2638</v>
      </c>
      <c r="I3404" s="299"/>
    </row>
    <row r="3405" spans="1:9">
      <c r="A3405" s="294" t="s">
        <v>671</v>
      </c>
      <c r="B3405" s="410" t="s">
        <v>672</v>
      </c>
      <c r="C3405" s="247"/>
      <c r="D3405" s="247"/>
      <c r="E3405" s="372"/>
      <c r="F3405" s="360"/>
      <c r="G3405" s="248"/>
      <c r="I3405" s="259"/>
    </row>
    <row r="3406" spans="1:9">
      <c r="A3406" s="294"/>
      <c r="B3406" s="410" t="s">
        <v>673</v>
      </c>
      <c r="C3406" s="247" t="s">
        <v>674</v>
      </c>
      <c r="D3406" s="247" t="s">
        <v>675</v>
      </c>
      <c r="E3406" s="372">
        <v>0.9</v>
      </c>
      <c r="F3406" s="360">
        <f>'UPAD-BAHAN-ALAT'!$I$12</f>
        <v>110000</v>
      </c>
      <c r="G3406" s="248">
        <f>F3406*E3406</f>
        <v>99000</v>
      </c>
      <c r="I3406" s="259"/>
    </row>
    <row r="3407" spans="1:9">
      <c r="A3407" s="294"/>
      <c r="B3407" s="410" t="s">
        <v>816</v>
      </c>
      <c r="C3407" s="247" t="s">
        <v>678</v>
      </c>
      <c r="D3407" s="247" t="s">
        <v>675</v>
      </c>
      <c r="E3407" s="372">
        <v>0.45</v>
      </c>
      <c r="F3407" s="360">
        <f>'UPAD-BAHAN-ALAT'!$I$13</f>
        <v>140000</v>
      </c>
      <c r="G3407" s="248">
        <f>F3407*E3407</f>
        <v>63000</v>
      </c>
      <c r="I3407" s="259"/>
    </row>
    <row r="3408" spans="1:9">
      <c r="A3408" s="294"/>
      <c r="B3408" s="410" t="s">
        <v>751</v>
      </c>
      <c r="C3408" s="247" t="s">
        <v>681</v>
      </c>
      <c r="D3408" s="247" t="s">
        <v>675</v>
      </c>
      <c r="E3408" s="372">
        <v>4.4999999999999998E-2</v>
      </c>
      <c r="F3408" s="360">
        <f>'UPAD-BAHAN-ALAT'!$I$15</f>
        <v>150000</v>
      </c>
      <c r="G3408" s="248">
        <f>F3408*E3408</f>
        <v>6750</v>
      </c>
      <c r="I3408" s="259"/>
    </row>
    <row r="3409" spans="1:9">
      <c r="A3409" s="294"/>
      <c r="B3409" s="410" t="s">
        <v>683</v>
      </c>
      <c r="C3409" s="247" t="s">
        <v>684</v>
      </c>
      <c r="D3409" s="247" t="s">
        <v>675</v>
      </c>
      <c r="E3409" s="372">
        <v>4.4999999999999998E-2</v>
      </c>
      <c r="F3409" s="360">
        <f>'UPAD-BAHAN-ALAT'!$I$14</f>
        <v>140000</v>
      </c>
      <c r="G3409" s="248">
        <f>F3409*E3409</f>
        <v>6300</v>
      </c>
      <c r="I3409" s="259"/>
    </row>
    <row r="3410" spans="1:9">
      <c r="A3410" s="294"/>
      <c r="B3410" s="410"/>
      <c r="C3410" s="247"/>
      <c r="D3410" s="247"/>
      <c r="E3410" s="1146" t="s">
        <v>685</v>
      </c>
      <c r="F3410" s="1146"/>
      <c r="G3410" s="248">
        <f>SUM(G3406:G3409)</f>
        <v>175050</v>
      </c>
      <c r="I3410" s="259"/>
    </row>
    <row r="3411" spans="1:9">
      <c r="A3411" s="294" t="s">
        <v>686</v>
      </c>
      <c r="B3411" s="410" t="s">
        <v>687</v>
      </c>
      <c r="C3411" s="247"/>
      <c r="D3411" s="247"/>
      <c r="E3411" s="372"/>
      <c r="F3411" s="360"/>
      <c r="G3411" s="248"/>
      <c r="I3411" s="259"/>
    </row>
    <row r="3412" spans="1:9">
      <c r="A3412" s="294"/>
      <c r="B3412" s="410" t="s">
        <v>3986</v>
      </c>
      <c r="C3412" s="247"/>
      <c r="D3412" s="247" t="s">
        <v>743</v>
      </c>
      <c r="E3412" s="372">
        <v>21</v>
      </c>
      <c r="F3412" s="360">
        <f>'UPAD-BAHAN-ALAT'!$I$250</f>
        <v>3500</v>
      </c>
      <c r="G3412" s="248">
        <f>F3412*E3412</f>
        <v>73500</v>
      </c>
      <c r="H3412" s="266">
        <f>(1/(0.2*0.25))*1.05</f>
        <v>21</v>
      </c>
      <c r="I3412" s="259"/>
    </row>
    <row r="3413" spans="1:9">
      <c r="A3413" s="294"/>
      <c r="B3413" s="410" t="s">
        <v>818</v>
      </c>
      <c r="C3413" s="247"/>
      <c r="D3413" s="247" t="s">
        <v>690</v>
      </c>
      <c r="E3413" s="372">
        <v>9.3000000000000007</v>
      </c>
      <c r="F3413" s="360">
        <f>'UPAD-BAHAN-ALAT'!$I$77</f>
        <v>1625</v>
      </c>
      <c r="G3413" s="248">
        <f>F3413*E3413</f>
        <v>15112.500000000002</v>
      </c>
      <c r="I3413" s="259"/>
    </row>
    <row r="3414" spans="1:9">
      <c r="A3414" s="294"/>
      <c r="B3414" s="410" t="s">
        <v>808</v>
      </c>
      <c r="C3414" s="247"/>
      <c r="D3414" s="247" t="s">
        <v>881</v>
      </c>
      <c r="E3414" s="372">
        <v>1.7999999999999999E-2</v>
      </c>
      <c r="F3414" s="360">
        <f>'UPAD-BAHAN-ALAT'!$I$71</f>
        <v>176000</v>
      </c>
      <c r="G3414" s="248">
        <f>F3414*E3414</f>
        <v>3167.9999999999995</v>
      </c>
      <c r="I3414" s="259"/>
    </row>
    <row r="3415" spans="1:9">
      <c r="A3415" s="294"/>
      <c r="B3415" s="410" t="s">
        <v>1100</v>
      </c>
      <c r="C3415" s="247"/>
      <c r="D3415" s="247" t="s">
        <v>690</v>
      </c>
      <c r="E3415" s="372">
        <v>1.94</v>
      </c>
      <c r="F3415" s="360">
        <f>'UPAD-BAHAN-ALAT'!$I$75</f>
        <v>3437.5</v>
      </c>
      <c r="G3415" s="248">
        <f>F3415*E3415</f>
        <v>6668.75</v>
      </c>
      <c r="I3415" s="259"/>
    </row>
    <row r="3416" spans="1:9">
      <c r="A3416" s="294"/>
      <c r="B3416" s="295"/>
      <c r="C3416" s="296"/>
      <c r="D3416" s="296"/>
      <c r="E3416" s="1146" t="s">
        <v>702</v>
      </c>
      <c r="F3416" s="1146"/>
      <c r="G3416" s="248">
        <f>SUM(G3412:G3415)</f>
        <v>98449.25</v>
      </c>
      <c r="I3416" s="259"/>
    </row>
    <row r="3417" spans="1:9" s="265" customFormat="1">
      <c r="A3417" s="294" t="s">
        <v>703</v>
      </c>
      <c r="B3417" s="1147" t="s">
        <v>3910</v>
      </c>
      <c r="C3417" s="1147"/>
      <c r="D3417" s="1147"/>
      <c r="E3417" s="1147"/>
      <c r="F3417" s="1147"/>
      <c r="G3417" s="255">
        <f>G3410+G3416</f>
        <v>273499.25</v>
      </c>
      <c r="I3417" s="300"/>
    </row>
    <row r="3418" spans="1:9" s="265" customFormat="1">
      <c r="A3418" s="294" t="s">
        <v>706</v>
      </c>
      <c r="B3418" s="1148" t="s">
        <v>876</v>
      </c>
      <c r="C3418" s="1148"/>
      <c r="D3418" s="1148"/>
      <c r="E3418" s="1147" t="s">
        <v>4030</v>
      </c>
      <c r="F3418" s="1147"/>
      <c r="G3418" s="255">
        <f>G3417*0.15</f>
        <v>41024.887499999997</v>
      </c>
      <c r="I3418" s="300"/>
    </row>
    <row r="3419" spans="1:9" s="265" customFormat="1">
      <c r="A3419" s="294" t="s">
        <v>708</v>
      </c>
      <c r="B3419" s="1149" t="s">
        <v>3911</v>
      </c>
      <c r="C3419" s="1149"/>
      <c r="D3419" s="1149"/>
      <c r="E3419" s="1149"/>
      <c r="F3419" s="1149"/>
      <c r="G3419" s="255">
        <f>ROUND(SUM(G3417:G3418),2)</f>
        <v>314524.14</v>
      </c>
      <c r="H3419" s="255">
        <f>SUM(G3417:G3418)</f>
        <v>314524.13750000001</v>
      </c>
      <c r="I3419" s="300"/>
    </row>
    <row r="3420" spans="1:9">
      <c r="A3420" s="252"/>
      <c r="B3420" s="251"/>
      <c r="C3420" s="252"/>
      <c r="D3420" s="251"/>
      <c r="E3420" s="378"/>
      <c r="F3420" s="364"/>
      <c r="G3420" s="264"/>
      <c r="H3420" s="253"/>
      <c r="I3420" s="259"/>
    </row>
    <row r="3421" spans="1:9">
      <c r="A3421" s="286" t="s">
        <v>4522</v>
      </c>
      <c r="B3421" s="265" t="s">
        <v>3543</v>
      </c>
    </row>
    <row r="3422" spans="1:9" s="292" customFormat="1" ht="24.95" customHeight="1">
      <c r="A3422" s="290" t="s">
        <v>1003</v>
      </c>
      <c r="B3422" s="290" t="s">
        <v>1004</v>
      </c>
      <c r="C3422" s="290" t="s">
        <v>1005</v>
      </c>
      <c r="D3422" s="290" t="s">
        <v>1006</v>
      </c>
      <c r="E3422" s="373" t="s">
        <v>1007</v>
      </c>
      <c r="F3422" s="363" t="s">
        <v>2637</v>
      </c>
      <c r="G3422" s="291" t="s">
        <v>2638</v>
      </c>
    </row>
    <row r="3423" spans="1:9">
      <c r="A3423" s="294" t="s">
        <v>671</v>
      </c>
      <c r="B3423" s="410" t="s">
        <v>672</v>
      </c>
      <c r="C3423" s="247"/>
      <c r="D3423" s="247"/>
      <c r="E3423" s="372"/>
      <c r="F3423" s="360"/>
      <c r="G3423" s="248"/>
    </row>
    <row r="3424" spans="1:9">
      <c r="A3424" s="294"/>
      <c r="B3424" s="410" t="s">
        <v>673</v>
      </c>
      <c r="C3424" s="247" t="s">
        <v>674</v>
      </c>
      <c r="D3424" s="247" t="s">
        <v>675</v>
      </c>
      <c r="E3424" s="372">
        <v>0.9</v>
      </c>
      <c r="F3424" s="360">
        <f>'UPAD-BAHAN-ALAT'!$I$12</f>
        <v>110000</v>
      </c>
      <c r="G3424" s="248">
        <f>F3424*E3424</f>
        <v>99000</v>
      </c>
    </row>
    <row r="3425" spans="1:8">
      <c r="A3425" s="294"/>
      <c r="B3425" s="410" t="s">
        <v>816</v>
      </c>
      <c r="C3425" s="247" t="s">
        <v>678</v>
      </c>
      <c r="D3425" s="247" t="s">
        <v>675</v>
      </c>
      <c r="E3425" s="372">
        <v>0.45</v>
      </c>
      <c r="F3425" s="360">
        <f>'UPAD-BAHAN-ALAT'!$I$13</f>
        <v>140000</v>
      </c>
      <c r="G3425" s="248">
        <f>F3425*E3425</f>
        <v>63000</v>
      </c>
    </row>
    <row r="3426" spans="1:8">
      <c r="A3426" s="294"/>
      <c r="B3426" s="410" t="s">
        <v>751</v>
      </c>
      <c r="C3426" s="247" t="s">
        <v>681</v>
      </c>
      <c r="D3426" s="247" t="s">
        <v>675</v>
      </c>
      <c r="E3426" s="372">
        <v>4.4999999999999998E-2</v>
      </c>
      <c r="F3426" s="360">
        <f>'UPAD-BAHAN-ALAT'!$I$15</f>
        <v>150000</v>
      </c>
      <c r="G3426" s="248">
        <f>F3426*E3426</f>
        <v>6750</v>
      </c>
    </row>
    <row r="3427" spans="1:8">
      <c r="A3427" s="294"/>
      <c r="B3427" s="410" t="s">
        <v>683</v>
      </c>
      <c r="C3427" s="247" t="s">
        <v>684</v>
      </c>
      <c r="D3427" s="247" t="s">
        <v>675</v>
      </c>
      <c r="E3427" s="372">
        <v>4.4999999999999998E-2</v>
      </c>
      <c r="F3427" s="360">
        <f>'UPAD-BAHAN-ALAT'!$I$14</f>
        <v>140000</v>
      </c>
      <c r="G3427" s="248">
        <f>F3427*E3427</f>
        <v>6300</v>
      </c>
    </row>
    <row r="3428" spans="1:8">
      <c r="A3428" s="294"/>
      <c r="B3428" s="410"/>
      <c r="C3428" s="247"/>
      <c r="D3428" s="247"/>
      <c r="E3428" s="1146" t="s">
        <v>685</v>
      </c>
      <c r="F3428" s="1146"/>
      <c r="G3428" s="248">
        <f>SUM(G3424:G3427)</f>
        <v>175050</v>
      </c>
    </row>
    <row r="3429" spans="1:8">
      <c r="A3429" s="294" t="s">
        <v>686</v>
      </c>
      <c r="B3429" s="410" t="s">
        <v>687</v>
      </c>
      <c r="C3429" s="247"/>
      <c r="D3429" s="247"/>
      <c r="E3429" s="372"/>
      <c r="F3429" s="360"/>
      <c r="G3429" s="248"/>
    </row>
    <row r="3430" spans="1:8">
      <c r="A3430" s="294"/>
      <c r="B3430" s="410" t="s">
        <v>3986</v>
      </c>
      <c r="C3430" s="247"/>
      <c r="D3430" s="247" t="s">
        <v>743</v>
      </c>
      <c r="E3430" s="372">
        <v>13.125</v>
      </c>
      <c r="F3430" s="360">
        <f>'UPAD-BAHAN-ALAT'!$I$251</f>
        <v>6000</v>
      </c>
      <c r="G3430" s="248">
        <f>F3430*E3430</f>
        <v>78750</v>
      </c>
      <c r="H3430" s="249">
        <f>(1/(0.2*0.4))*1.05</f>
        <v>13.124999999999998</v>
      </c>
    </row>
    <row r="3431" spans="1:8">
      <c r="A3431" s="294"/>
      <c r="B3431" s="410" t="s">
        <v>818</v>
      </c>
      <c r="C3431" s="247"/>
      <c r="D3431" s="247" t="s">
        <v>690</v>
      </c>
      <c r="E3431" s="372">
        <v>9.3000000000000007</v>
      </c>
      <c r="F3431" s="360">
        <f>'UPAD-BAHAN-ALAT'!$I$77</f>
        <v>1625</v>
      </c>
      <c r="G3431" s="248">
        <f>F3431*E3431</f>
        <v>15112.500000000002</v>
      </c>
    </row>
    <row r="3432" spans="1:8">
      <c r="A3432" s="294"/>
      <c r="B3432" s="410" t="s">
        <v>808</v>
      </c>
      <c r="C3432" s="247"/>
      <c r="D3432" s="247" t="s">
        <v>881</v>
      </c>
      <c r="E3432" s="372">
        <v>1.7999999999999999E-2</v>
      </c>
      <c r="F3432" s="360">
        <f>'UPAD-BAHAN-ALAT'!$I$71</f>
        <v>176000</v>
      </c>
      <c r="G3432" s="248">
        <f>F3432*E3432</f>
        <v>3167.9999999999995</v>
      </c>
    </row>
    <row r="3433" spans="1:8">
      <c r="A3433" s="294"/>
      <c r="B3433" s="410" t="s">
        <v>1100</v>
      </c>
      <c r="C3433" s="247"/>
      <c r="D3433" s="247" t="s">
        <v>690</v>
      </c>
      <c r="E3433" s="372">
        <v>1.94</v>
      </c>
      <c r="F3433" s="360">
        <f>'UPAD-BAHAN-ALAT'!$I$75</f>
        <v>3437.5</v>
      </c>
      <c r="G3433" s="248">
        <f>F3433*E3433</f>
        <v>6668.75</v>
      </c>
    </row>
    <row r="3434" spans="1:8">
      <c r="A3434" s="294"/>
      <c r="B3434" s="295"/>
      <c r="C3434" s="296"/>
      <c r="D3434" s="296"/>
      <c r="E3434" s="1146" t="s">
        <v>702</v>
      </c>
      <c r="F3434" s="1146"/>
      <c r="G3434" s="248">
        <f>SUM(G3430:G3433)</f>
        <v>103699.25</v>
      </c>
    </row>
    <row r="3435" spans="1:8" s="265" customFormat="1">
      <c r="A3435" s="294" t="s">
        <v>703</v>
      </c>
      <c r="B3435" s="1147" t="s">
        <v>3910</v>
      </c>
      <c r="C3435" s="1147"/>
      <c r="D3435" s="1147"/>
      <c r="E3435" s="1147"/>
      <c r="F3435" s="1147"/>
      <c r="G3435" s="255">
        <f>G3428+G3434</f>
        <v>278749.25</v>
      </c>
    </row>
    <row r="3436" spans="1:8" s="265" customFormat="1">
      <c r="A3436" s="294" t="s">
        <v>706</v>
      </c>
      <c r="B3436" s="1148" t="s">
        <v>876</v>
      </c>
      <c r="C3436" s="1148"/>
      <c r="D3436" s="1148"/>
      <c r="E3436" s="1147" t="s">
        <v>4030</v>
      </c>
      <c r="F3436" s="1147"/>
      <c r="G3436" s="255">
        <f>G3435*0.15</f>
        <v>41812.387499999997</v>
      </c>
    </row>
    <row r="3437" spans="1:8" s="265" customFormat="1">
      <c r="A3437" s="294" t="s">
        <v>708</v>
      </c>
      <c r="B3437" s="1149" t="s">
        <v>3911</v>
      </c>
      <c r="C3437" s="1149"/>
      <c r="D3437" s="1149"/>
      <c r="E3437" s="1149"/>
      <c r="F3437" s="1149"/>
      <c r="G3437" s="255">
        <f>ROUND(SUM(G3435:G3436),2)</f>
        <v>320561.64</v>
      </c>
      <c r="H3437" s="255">
        <f>SUM(G3435:G3436)</f>
        <v>320561.63750000001</v>
      </c>
    </row>
    <row r="3438" spans="1:8">
      <c r="A3438" s="268"/>
      <c r="B3438" s="269"/>
      <c r="C3438" s="268"/>
      <c r="D3438" s="268"/>
      <c r="E3438" s="380"/>
      <c r="F3438" s="365"/>
      <c r="G3438" s="270"/>
    </row>
    <row r="3439" spans="1:8">
      <c r="A3439" s="286" t="s">
        <v>4213</v>
      </c>
      <c r="B3439" s="265" t="s">
        <v>3994</v>
      </c>
    </row>
    <row r="3440" spans="1:8" s="292" customFormat="1" ht="24.95" customHeight="1">
      <c r="A3440" s="290" t="s">
        <v>1003</v>
      </c>
      <c r="B3440" s="290" t="s">
        <v>1004</v>
      </c>
      <c r="C3440" s="290" t="s">
        <v>1005</v>
      </c>
      <c r="D3440" s="290" t="s">
        <v>1006</v>
      </c>
      <c r="E3440" s="373" t="s">
        <v>1007</v>
      </c>
      <c r="F3440" s="363" t="s">
        <v>2637</v>
      </c>
      <c r="G3440" s="291" t="s">
        <v>2638</v>
      </c>
    </row>
    <row r="3441" spans="1:8">
      <c r="A3441" s="294" t="s">
        <v>671</v>
      </c>
      <c r="B3441" s="410" t="s">
        <v>672</v>
      </c>
      <c r="C3441" s="247"/>
      <c r="D3441" s="247"/>
      <c r="E3441" s="372"/>
      <c r="F3441" s="360"/>
      <c r="G3441" s="248"/>
    </row>
    <row r="3442" spans="1:8">
      <c r="A3442" s="294"/>
      <c r="B3442" s="410" t="s">
        <v>673</v>
      </c>
      <c r="C3442" s="247" t="s">
        <v>674</v>
      </c>
      <c r="D3442" s="247" t="s">
        <v>675</v>
      </c>
      <c r="E3442" s="372">
        <v>0.9</v>
      </c>
      <c r="F3442" s="360">
        <f>'UPAD-BAHAN-ALAT'!$I$12</f>
        <v>110000</v>
      </c>
      <c r="G3442" s="248">
        <f>F3442*E3442</f>
        <v>99000</v>
      </c>
    </row>
    <row r="3443" spans="1:8">
      <c r="A3443" s="294"/>
      <c r="B3443" s="410" t="s">
        <v>816</v>
      </c>
      <c r="C3443" s="247" t="s">
        <v>678</v>
      </c>
      <c r="D3443" s="247" t="s">
        <v>675</v>
      </c>
      <c r="E3443" s="372">
        <v>0.45</v>
      </c>
      <c r="F3443" s="360">
        <f>'UPAD-BAHAN-ALAT'!$I$13</f>
        <v>140000</v>
      </c>
      <c r="G3443" s="248">
        <f>F3443*E3443</f>
        <v>63000</v>
      </c>
    </row>
    <row r="3444" spans="1:8">
      <c r="A3444" s="294"/>
      <c r="B3444" s="410" t="s">
        <v>751</v>
      </c>
      <c r="C3444" s="247" t="s">
        <v>681</v>
      </c>
      <c r="D3444" s="247" t="s">
        <v>675</v>
      </c>
      <c r="E3444" s="372">
        <v>4.4999999999999998E-2</v>
      </c>
      <c r="F3444" s="360">
        <f>'UPAD-BAHAN-ALAT'!$I$15</f>
        <v>150000</v>
      </c>
      <c r="G3444" s="248">
        <f>F3444*E3444</f>
        <v>6750</v>
      </c>
    </row>
    <row r="3445" spans="1:8">
      <c r="A3445" s="294"/>
      <c r="B3445" s="410" t="s">
        <v>683</v>
      </c>
      <c r="C3445" s="247" t="s">
        <v>684</v>
      </c>
      <c r="D3445" s="247" t="s">
        <v>675</v>
      </c>
      <c r="E3445" s="372">
        <v>4.4999999999999998E-2</v>
      </c>
      <c r="F3445" s="360">
        <f>'UPAD-BAHAN-ALAT'!$I$14</f>
        <v>140000</v>
      </c>
      <c r="G3445" s="248">
        <f>F3445*E3445</f>
        <v>6300</v>
      </c>
    </row>
    <row r="3446" spans="1:8">
      <c r="A3446" s="294"/>
      <c r="B3446" s="410"/>
      <c r="C3446" s="247"/>
      <c r="D3446" s="247"/>
      <c r="E3446" s="1146" t="s">
        <v>685</v>
      </c>
      <c r="F3446" s="1146"/>
      <c r="G3446" s="248">
        <f>SUM(G3442:G3445)</f>
        <v>175050</v>
      </c>
    </row>
    <row r="3447" spans="1:8">
      <c r="A3447" s="294" t="s">
        <v>686</v>
      </c>
      <c r="B3447" s="410" t="s">
        <v>687</v>
      </c>
      <c r="C3447" s="247"/>
      <c r="D3447" s="247"/>
      <c r="E3447" s="372"/>
      <c r="F3447" s="360"/>
      <c r="G3447" s="248"/>
    </row>
    <row r="3448" spans="1:8">
      <c r="A3448" s="294"/>
      <c r="B3448" s="410" t="s">
        <v>3986</v>
      </c>
      <c r="C3448" s="247"/>
      <c r="D3448" s="247" t="s">
        <v>743</v>
      </c>
      <c r="E3448" s="372">
        <v>10.5</v>
      </c>
      <c r="F3448" s="360">
        <f>'UPAD-BAHAN-ALAT'!$I$257</f>
        <v>8755</v>
      </c>
      <c r="G3448" s="248">
        <f>F3448*E3448</f>
        <v>91927.5</v>
      </c>
      <c r="H3448" s="249">
        <f>(1/(0.25*0.4))*1.05</f>
        <v>10.5</v>
      </c>
    </row>
    <row r="3449" spans="1:8">
      <c r="A3449" s="294"/>
      <c r="B3449" s="410" t="s">
        <v>818</v>
      </c>
      <c r="C3449" s="247"/>
      <c r="D3449" s="247" t="s">
        <v>690</v>
      </c>
      <c r="E3449" s="372">
        <v>9.3000000000000007</v>
      </c>
      <c r="F3449" s="360">
        <f>'UPAD-BAHAN-ALAT'!$I$77</f>
        <v>1625</v>
      </c>
      <c r="G3449" s="248">
        <f>F3449*E3449</f>
        <v>15112.500000000002</v>
      </c>
    </row>
    <row r="3450" spans="1:8">
      <c r="A3450" s="294"/>
      <c r="B3450" s="410" t="s">
        <v>808</v>
      </c>
      <c r="C3450" s="247"/>
      <c r="D3450" s="247" t="s">
        <v>881</v>
      </c>
      <c r="E3450" s="372">
        <v>1.7999999999999999E-2</v>
      </c>
      <c r="F3450" s="360">
        <f>'UPAD-BAHAN-ALAT'!$I$71</f>
        <v>176000</v>
      </c>
      <c r="G3450" s="248">
        <f>F3450*E3450</f>
        <v>3167.9999999999995</v>
      </c>
    </row>
    <row r="3451" spans="1:8">
      <c r="A3451" s="294"/>
      <c r="B3451" s="410" t="s">
        <v>1100</v>
      </c>
      <c r="C3451" s="247"/>
      <c r="D3451" s="247" t="s">
        <v>690</v>
      </c>
      <c r="E3451" s="372">
        <v>1.94</v>
      </c>
      <c r="F3451" s="360">
        <f>'UPAD-BAHAN-ALAT'!$I$75</f>
        <v>3437.5</v>
      </c>
      <c r="G3451" s="248">
        <f>F3451*E3451</f>
        <v>6668.75</v>
      </c>
    </row>
    <row r="3452" spans="1:8">
      <c r="A3452" s="294"/>
      <c r="B3452" s="295"/>
      <c r="C3452" s="296"/>
      <c r="D3452" s="296"/>
      <c r="E3452" s="1146" t="s">
        <v>702</v>
      </c>
      <c r="F3452" s="1146"/>
      <c r="G3452" s="248">
        <f>SUM(G3448:G3451)</f>
        <v>116876.75</v>
      </c>
    </row>
    <row r="3453" spans="1:8" s="265" customFormat="1">
      <c r="A3453" s="294" t="s">
        <v>703</v>
      </c>
      <c r="B3453" s="1147" t="s">
        <v>3910</v>
      </c>
      <c r="C3453" s="1147"/>
      <c r="D3453" s="1147"/>
      <c r="E3453" s="1147"/>
      <c r="F3453" s="1147"/>
      <c r="G3453" s="255">
        <f>G3446+G3452</f>
        <v>291926.75</v>
      </c>
    </row>
    <row r="3454" spans="1:8" s="265" customFormat="1">
      <c r="A3454" s="294" t="s">
        <v>706</v>
      </c>
      <c r="B3454" s="1148" t="s">
        <v>876</v>
      </c>
      <c r="C3454" s="1148"/>
      <c r="D3454" s="1148"/>
      <c r="E3454" s="1147" t="s">
        <v>4030</v>
      </c>
      <c r="F3454" s="1147"/>
      <c r="G3454" s="255">
        <f>G3453*0.15</f>
        <v>43789.012499999997</v>
      </c>
    </row>
    <row r="3455" spans="1:8" s="265" customFormat="1">
      <c r="A3455" s="294" t="s">
        <v>708</v>
      </c>
      <c r="B3455" s="1149" t="s">
        <v>3911</v>
      </c>
      <c r="C3455" s="1149"/>
      <c r="D3455" s="1149"/>
      <c r="E3455" s="1149"/>
      <c r="F3455" s="1149"/>
      <c r="G3455" s="255">
        <f>ROUND(SUM(G3453:G3454),2)</f>
        <v>335715.76</v>
      </c>
      <c r="H3455" s="255">
        <f>SUM(G3453:G3454)</f>
        <v>335715.76250000001</v>
      </c>
    </row>
    <row r="3456" spans="1:8">
      <c r="A3456" s="252"/>
      <c r="B3456" s="251"/>
      <c r="C3456" s="252"/>
      <c r="D3456" s="252"/>
      <c r="E3456" s="374"/>
      <c r="F3456" s="361"/>
      <c r="G3456" s="253"/>
    </row>
    <row r="3457" spans="1:7">
      <c r="A3457" s="286" t="s">
        <v>4214</v>
      </c>
      <c r="B3457" s="265" t="s">
        <v>4523</v>
      </c>
    </row>
    <row r="3458" spans="1:7" ht="24.95" customHeight="1">
      <c r="A3458" s="290" t="s">
        <v>1003</v>
      </c>
      <c r="B3458" s="290" t="s">
        <v>1004</v>
      </c>
      <c r="C3458" s="290" t="s">
        <v>1005</v>
      </c>
      <c r="D3458" s="290" t="s">
        <v>1006</v>
      </c>
      <c r="E3458" s="373" t="s">
        <v>1007</v>
      </c>
      <c r="F3458" s="363" t="s">
        <v>2637</v>
      </c>
      <c r="G3458" s="291" t="s">
        <v>2638</v>
      </c>
    </row>
    <row r="3459" spans="1:7">
      <c r="A3459" s="294" t="s">
        <v>671</v>
      </c>
      <c r="B3459" s="410" t="s">
        <v>672</v>
      </c>
      <c r="C3459" s="247"/>
      <c r="D3459" s="247"/>
      <c r="E3459" s="372"/>
      <c r="F3459" s="360"/>
      <c r="G3459" s="248"/>
    </row>
    <row r="3460" spans="1:7">
      <c r="A3460" s="294"/>
      <c r="B3460" s="410" t="s">
        <v>673</v>
      </c>
      <c r="C3460" s="247" t="s">
        <v>674</v>
      </c>
      <c r="D3460" s="247" t="s">
        <v>675</v>
      </c>
      <c r="E3460" s="372">
        <v>0.9</v>
      </c>
      <c r="F3460" s="360">
        <f>'UPAD-BAHAN-ALAT'!$I$12</f>
        <v>110000</v>
      </c>
      <c r="G3460" s="248">
        <f>F3460*E3460</f>
        <v>99000</v>
      </c>
    </row>
    <row r="3461" spans="1:7">
      <c r="A3461" s="294"/>
      <c r="B3461" s="410" t="s">
        <v>816</v>
      </c>
      <c r="C3461" s="247" t="s">
        <v>678</v>
      </c>
      <c r="D3461" s="247" t="s">
        <v>675</v>
      </c>
      <c r="E3461" s="372">
        <v>0.45</v>
      </c>
      <c r="F3461" s="360">
        <f>'UPAD-BAHAN-ALAT'!$I$13</f>
        <v>140000</v>
      </c>
      <c r="G3461" s="248">
        <f>F3461*E3461</f>
        <v>63000</v>
      </c>
    </row>
    <row r="3462" spans="1:7">
      <c r="A3462" s="294"/>
      <c r="B3462" s="410" t="s">
        <v>751</v>
      </c>
      <c r="C3462" s="247" t="s">
        <v>681</v>
      </c>
      <c r="D3462" s="247" t="s">
        <v>675</v>
      </c>
      <c r="E3462" s="372">
        <v>4.4999999999999998E-2</v>
      </c>
      <c r="F3462" s="360">
        <f>'UPAD-BAHAN-ALAT'!$I$15</f>
        <v>150000</v>
      </c>
      <c r="G3462" s="248">
        <f>F3462*E3462</f>
        <v>6750</v>
      </c>
    </row>
    <row r="3463" spans="1:7">
      <c r="A3463" s="294"/>
      <c r="B3463" s="410" t="s">
        <v>683</v>
      </c>
      <c r="C3463" s="247" t="s">
        <v>684</v>
      </c>
      <c r="D3463" s="247" t="s">
        <v>675</v>
      </c>
      <c r="E3463" s="372">
        <v>4.4999999999999998E-2</v>
      </c>
      <c r="F3463" s="360">
        <f>'UPAD-BAHAN-ALAT'!$I$14</f>
        <v>140000</v>
      </c>
      <c r="G3463" s="248">
        <f>F3463*E3463</f>
        <v>6300</v>
      </c>
    </row>
    <row r="3464" spans="1:7">
      <c r="A3464" s="294"/>
      <c r="B3464" s="410"/>
      <c r="C3464" s="247"/>
      <c r="D3464" s="247"/>
      <c r="E3464" s="1146" t="s">
        <v>685</v>
      </c>
      <c r="F3464" s="1146"/>
      <c r="G3464" s="248">
        <f>SUM(G3460:G3463)</f>
        <v>175050</v>
      </c>
    </row>
    <row r="3465" spans="1:7">
      <c r="A3465" s="294" t="s">
        <v>686</v>
      </c>
      <c r="B3465" s="410" t="s">
        <v>687</v>
      </c>
      <c r="C3465" s="247"/>
      <c r="D3465" s="247"/>
      <c r="E3465" s="372"/>
      <c r="F3465" s="360"/>
      <c r="G3465" s="248"/>
    </row>
    <row r="3466" spans="1:7">
      <c r="A3466" s="294"/>
      <c r="B3466" s="410" t="s">
        <v>3986</v>
      </c>
      <c r="C3466" s="247"/>
      <c r="D3466" s="247" t="s">
        <v>743</v>
      </c>
      <c r="E3466" s="372">
        <v>5.8330000000000002</v>
      </c>
      <c r="F3466" s="360">
        <f>'UPAD-BAHAN-ALAT'!$I$253</f>
        <v>23700</v>
      </c>
      <c r="G3466" s="248">
        <f>F3466*E3466</f>
        <v>138242.1</v>
      </c>
    </row>
    <row r="3467" spans="1:7">
      <c r="A3467" s="294"/>
      <c r="B3467" s="410" t="s">
        <v>818</v>
      </c>
      <c r="C3467" s="247"/>
      <c r="D3467" s="247" t="s">
        <v>690</v>
      </c>
      <c r="E3467" s="372">
        <v>9.3000000000000007</v>
      </c>
      <c r="F3467" s="360">
        <f>'UPAD-BAHAN-ALAT'!$I$77</f>
        <v>1625</v>
      </c>
      <c r="G3467" s="248">
        <f>F3467*E3467</f>
        <v>15112.500000000002</v>
      </c>
    </row>
    <row r="3468" spans="1:7">
      <c r="A3468" s="294"/>
      <c r="B3468" s="410" t="s">
        <v>808</v>
      </c>
      <c r="C3468" s="247"/>
      <c r="D3468" s="247" t="s">
        <v>881</v>
      </c>
      <c r="E3468" s="372">
        <v>1.7999999999999999E-2</v>
      </c>
      <c r="F3468" s="360">
        <f>'UPAD-BAHAN-ALAT'!$I$71</f>
        <v>176000</v>
      </c>
      <c r="G3468" s="248">
        <f>F3468*E3468</f>
        <v>3167.9999999999995</v>
      </c>
    </row>
    <row r="3469" spans="1:7">
      <c r="A3469" s="294"/>
      <c r="B3469" s="410" t="s">
        <v>1100</v>
      </c>
      <c r="C3469" s="247"/>
      <c r="D3469" s="247" t="s">
        <v>690</v>
      </c>
      <c r="E3469" s="372">
        <v>1.94</v>
      </c>
      <c r="F3469" s="360">
        <f>'UPAD-BAHAN-ALAT'!$I$75</f>
        <v>3437.5</v>
      </c>
      <c r="G3469" s="248">
        <f>F3469*E3469</f>
        <v>6668.75</v>
      </c>
    </row>
    <row r="3470" spans="1:7">
      <c r="A3470" s="294"/>
      <c r="B3470" s="295"/>
      <c r="C3470" s="296"/>
      <c r="D3470" s="296"/>
      <c r="E3470" s="1146" t="s">
        <v>702</v>
      </c>
      <c r="F3470" s="1146"/>
      <c r="G3470" s="248">
        <f>SUM(G3466:G3469)</f>
        <v>163191.35</v>
      </c>
    </row>
    <row r="3471" spans="1:7">
      <c r="A3471" s="294" t="s">
        <v>703</v>
      </c>
      <c r="B3471" s="1147" t="s">
        <v>3910</v>
      </c>
      <c r="C3471" s="1147"/>
      <c r="D3471" s="1147"/>
      <c r="E3471" s="1147"/>
      <c r="F3471" s="1147"/>
      <c r="G3471" s="255">
        <f>G3464+G3470</f>
        <v>338241.35</v>
      </c>
    </row>
    <row r="3472" spans="1:7">
      <c r="A3472" s="294" t="s">
        <v>706</v>
      </c>
      <c r="B3472" s="1148" t="s">
        <v>876</v>
      </c>
      <c r="C3472" s="1148"/>
      <c r="D3472" s="1148"/>
      <c r="E3472" s="1147" t="s">
        <v>4030</v>
      </c>
      <c r="F3472" s="1147"/>
      <c r="G3472" s="255">
        <f>G3471*0.15</f>
        <v>50736.202499999992</v>
      </c>
    </row>
    <row r="3473" spans="1:7">
      <c r="A3473" s="294" t="s">
        <v>708</v>
      </c>
      <c r="B3473" s="1149" t="s">
        <v>3911</v>
      </c>
      <c r="C3473" s="1149"/>
      <c r="D3473" s="1149"/>
      <c r="E3473" s="1149"/>
      <c r="F3473" s="1149"/>
      <c r="G3473" s="255">
        <f>ROUND(SUM(G3471:G3472),2)</f>
        <v>388977.55</v>
      </c>
    </row>
    <row r="3474" spans="1:7">
      <c r="A3474" s="252"/>
      <c r="B3474" s="251"/>
      <c r="C3474" s="252"/>
      <c r="D3474" s="252"/>
      <c r="E3474" s="374"/>
      <c r="F3474" s="361"/>
      <c r="G3474" s="253"/>
    </row>
    <row r="3475" spans="1:7">
      <c r="A3475" s="286" t="s">
        <v>4215</v>
      </c>
      <c r="B3475" s="265" t="s">
        <v>4524</v>
      </c>
    </row>
    <row r="3476" spans="1:7" ht="24.95" customHeight="1">
      <c r="A3476" s="290" t="s">
        <v>1003</v>
      </c>
      <c r="B3476" s="290" t="s">
        <v>1004</v>
      </c>
      <c r="C3476" s="290" t="s">
        <v>1005</v>
      </c>
      <c r="D3476" s="290" t="s">
        <v>1006</v>
      </c>
      <c r="E3476" s="373" t="s">
        <v>1007</v>
      </c>
      <c r="F3476" s="363" t="s">
        <v>2637</v>
      </c>
      <c r="G3476" s="291" t="s">
        <v>2638</v>
      </c>
    </row>
    <row r="3477" spans="1:7">
      <c r="A3477" s="294" t="s">
        <v>671</v>
      </c>
      <c r="B3477" s="410" t="s">
        <v>672</v>
      </c>
      <c r="C3477" s="247"/>
      <c r="D3477" s="247"/>
      <c r="E3477" s="372"/>
      <c r="F3477" s="360"/>
      <c r="G3477" s="248"/>
    </row>
    <row r="3478" spans="1:7">
      <c r="A3478" s="294"/>
      <c r="B3478" s="410" t="s">
        <v>673</v>
      </c>
      <c r="C3478" s="247" t="s">
        <v>674</v>
      </c>
      <c r="D3478" s="247" t="s">
        <v>675</v>
      </c>
      <c r="E3478" s="372">
        <v>0.9</v>
      </c>
      <c r="F3478" s="360">
        <f>'UPAD-BAHAN-ALAT'!$I$12</f>
        <v>110000</v>
      </c>
      <c r="G3478" s="248">
        <f>F3478*E3478</f>
        <v>99000</v>
      </c>
    </row>
    <row r="3479" spans="1:7">
      <c r="A3479" s="294"/>
      <c r="B3479" s="410" t="s">
        <v>816</v>
      </c>
      <c r="C3479" s="247" t="s">
        <v>678</v>
      </c>
      <c r="D3479" s="247" t="s">
        <v>675</v>
      </c>
      <c r="E3479" s="372">
        <v>0.45</v>
      </c>
      <c r="F3479" s="360">
        <f>'UPAD-BAHAN-ALAT'!$I$13</f>
        <v>140000</v>
      </c>
      <c r="G3479" s="248">
        <f>F3479*E3479</f>
        <v>63000</v>
      </c>
    </row>
    <row r="3480" spans="1:7">
      <c r="A3480" s="294"/>
      <c r="B3480" s="410" t="s">
        <v>751</v>
      </c>
      <c r="C3480" s="247" t="s">
        <v>681</v>
      </c>
      <c r="D3480" s="247" t="s">
        <v>675</v>
      </c>
      <c r="E3480" s="372">
        <v>4.4999999999999998E-2</v>
      </c>
      <c r="F3480" s="360">
        <f>'UPAD-BAHAN-ALAT'!$I$15</f>
        <v>150000</v>
      </c>
      <c r="G3480" s="248">
        <f>F3480*E3480</f>
        <v>6750</v>
      </c>
    </row>
    <row r="3481" spans="1:7">
      <c r="A3481" s="294"/>
      <c r="B3481" s="410" t="s">
        <v>683</v>
      </c>
      <c r="C3481" s="247" t="s">
        <v>684</v>
      </c>
      <c r="D3481" s="247" t="s">
        <v>675</v>
      </c>
      <c r="E3481" s="372">
        <v>4.4999999999999998E-2</v>
      </c>
      <c r="F3481" s="360">
        <f>'UPAD-BAHAN-ALAT'!$I$14</f>
        <v>140000</v>
      </c>
      <c r="G3481" s="248">
        <f>F3481*E3481</f>
        <v>6300</v>
      </c>
    </row>
    <row r="3482" spans="1:7">
      <c r="A3482" s="294"/>
      <c r="B3482" s="410"/>
      <c r="C3482" s="247"/>
      <c r="D3482" s="247"/>
      <c r="E3482" s="1146" t="s">
        <v>685</v>
      </c>
      <c r="F3482" s="1146"/>
      <c r="G3482" s="248">
        <f>SUM(G3478:G3481)</f>
        <v>175050</v>
      </c>
    </row>
    <row r="3483" spans="1:7">
      <c r="A3483" s="294" t="s">
        <v>686</v>
      </c>
      <c r="B3483" s="410" t="s">
        <v>687</v>
      </c>
      <c r="C3483" s="247"/>
      <c r="D3483" s="247"/>
      <c r="E3483" s="372"/>
      <c r="F3483" s="360"/>
      <c r="G3483" s="248"/>
    </row>
    <row r="3484" spans="1:7">
      <c r="A3484" s="294"/>
      <c r="B3484" s="410" t="s">
        <v>3986</v>
      </c>
      <c r="C3484" s="247"/>
      <c r="D3484" s="247" t="s">
        <v>743</v>
      </c>
      <c r="E3484" s="372">
        <v>2.9167000000000001</v>
      </c>
      <c r="F3484" s="360">
        <f>'UPAD-BAHAN-ALAT'!$I$258</f>
        <v>56100</v>
      </c>
      <c r="G3484" s="248">
        <f>F3484*E3484</f>
        <v>163626.87</v>
      </c>
    </row>
    <row r="3485" spans="1:7">
      <c r="A3485" s="294"/>
      <c r="B3485" s="410" t="s">
        <v>818</v>
      </c>
      <c r="C3485" s="247"/>
      <c r="D3485" s="247" t="s">
        <v>690</v>
      </c>
      <c r="E3485" s="372">
        <v>9.3000000000000007</v>
      </c>
      <c r="F3485" s="360">
        <f>'UPAD-BAHAN-ALAT'!$I$77</f>
        <v>1625</v>
      </c>
      <c r="G3485" s="248">
        <f>F3485*E3485</f>
        <v>15112.500000000002</v>
      </c>
    </row>
    <row r="3486" spans="1:7">
      <c r="A3486" s="294"/>
      <c r="B3486" s="410" t="s">
        <v>808</v>
      </c>
      <c r="C3486" s="247"/>
      <c r="D3486" s="247" t="s">
        <v>881</v>
      </c>
      <c r="E3486" s="372">
        <v>1.7999999999999999E-2</v>
      </c>
      <c r="F3486" s="360">
        <f>'UPAD-BAHAN-ALAT'!$I$71</f>
        <v>176000</v>
      </c>
      <c r="G3486" s="248">
        <f>F3486*E3486</f>
        <v>3167.9999999999995</v>
      </c>
    </row>
    <row r="3487" spans="1:7">
      <c r="A3487" s="294"/>
      <c r="B3487" s="410" t="s">
        <v>1100</v>
      </c>
      <c r="C3487" s="247"/>
      <c r="D3487" s="247" t="s">
        <v>690</v>
      </c>
      <c r="E3487" s="372">
        <v>1.94</v>
      </c>
      <c r="F3487" s="360">
        <f>'UPAD-BAHAN-ALAT'!$I$75</f>
        <v>3437.5</v>
      </c>
      <c r="G3487" s="248">
        <f>F3487*E3487</f>
        <v>6668.75</v>
      </c>
    </row>
    <row r="3488" spans="1:7">
      <c r="A3488" s="294"/>
      <c r="B3488" s="295"/>
      <c r="C3488" s="296"/>
      <c r="D3488" s="296"/>
      <c r="E3488" s="1146" t="s">
        <v>702</v>
      </c>
      <c r="F3488" s="1146"/>
      <c r="G3488" s="248">
        <f>SUM(G3484:G3487)</f>
        <v>188576.12</v>
      </c>
    </row>
    <row r="3489" spans="1:7">
      <c r="A3489" s="294" t="s">
        <v>703</v>
      </c>
      <c r="B3489" s="1147" t="s">
        <v>3910</v>
      </c>
      <c r="C3489" s="1147"/>
      <c r="D3489" s="1147"/>
      <c r="E3489" s="1147"/>
      <c r="F3489" s="1147"/>
      <c r="G3489" s="255">
        <f>G3482+G3488</f>
        <v>363626.12</v>
      </c>
    </row>
    <row r="3490" spans="1:7">
      <c r="A3490" s="294" t="s">
        <v>706</v>
      </c>
      <c r="B3490" s="1148" t="s">
        <v>876</v>
      </c>
      <c r="C3490" s="1148"/>
      <c r="D3490" s="1148"/>
      <c r="E3490" s="1147" t="s">
        <v>4030</v>
      </c>
      <c r="F3490" s="1147"/>
      <c r="G3490" s="255">
        <f>G3489*0.15</f>
        <v>54543.917999999998</v>
      </c>
    </row>
    <row r="3491" spans="1:7">
      <c r="A3491" s="294" t="s">
        <v>708</v>
      </c>
      <c r="B3491" s="1149" t="s">
        <v>3911</v>
      </c>
      <c r="C3491" s="1149"/>
      <c r="D3491" s="1149"/>
      <c r="E3491" s="1149"/>
      <c r="F3491" s="1149"/>
      <c r="G3491" s="255">
        <f>ROUND(SUM(G3489:G3490),2)</f>
        <v>418170.04</v>
      </c>
    </row>
    <row r="3492" spans="1:7">
      <c r="A3492" s="252"/>
      <c r="B3492" s="251"/>
      <c r="C3492" s="252"/>
      <c r="D3492" s="252"/>
      <c r="E3492" s="374"/>
      <c r="F3492" s="361"/>
      <c r="G3492" s="253"/>
    </row>
    <row r="3493" spans="1:7">
      <c r="A3493" s="285" t="s">
        <v>4216</v>
      </c>
      <c r="B3493" s="250" t="s">
        <v>2795</v>
      </c>
      <c r="C3493" s="252"/>
      <c r="D3493" s="252"/>
      <c r="E3493" s="374"/>
      <c r="F3493" s="361"/>
      <c r="G3493" s="253"/>
    </row>
    <row r="3494" spans="1:7" s="292" customFormat="1" ht="24.95" customHeight="1">
      <c r="A3494" s="290" t="s">
        <v>1003</v>
      </c>
      <c r="B3494" s="290" t="s">
        <v>1004</v>
      </c>
      <c r="C3494" s="290" t="s">
        <v>1005</v>
      </c>
      <c r="D3494" s="290" t="s">
        <v>1006</v>
      </c>
      <c r="E3494" s="373" t="s">
        <v>1007</v>
      </c>
      <c r="F3494" s="363" t="s">
        <v>2637</v>
      </c>
      <c r="G3494" s="291" t="s">
        <v>2638</v>
      </c>
    </row>
    <row r="3495" spans="1:7">
      <c r="A3495" s="294" t="s">
        <v>671</v>
      </c>
      <c r="B3495" s="410" t="s">
        <v>672</v>
      </c>
      <c r="C3495" s="247"/>
      <c r="D3495" s="247"/>
      <c r="E3495" s="372"/>
      <c r="F3495" s="360"/>
      <c r="G3495" s="248"/>
    </row>
    <row r="3496" spans="1:7">
      <c r="A3496" s="294"/>
      <c r="B3496" s="410" t="s">
        <v>673</v>
      </c>
      <c r="C3496" s="247" t="s">
        <v>674</v>
      </c>
      <c r="D3496" s="247" t="s">
        <v>675</v>
      </c>
      <c r="E3496" s="372">
        <v>1.3</v>
      </c>
      <c r="F3496" s="360">
        <f>'UPAD-BAHAN-ALAT'!$I$12</f>
        <v>110000</v>
      </c>
      <c r="G3496" s="248">
        <f>F3496*E3496</f>
        <v>143000</v>
      </c>
    </row>
    <row r="3497" spans="1:7">
      <c r="A3497" s="294"/>
      <c r="B3497" s="410" t="s">
        <v>816</v>
      </c>
      <c r="C3497" s="247" t="s">
        <v>678</v>
      </c>
      <c r="D3497" s="247" t="s">
        <v>675</v>
      </c>
      <c r="E3497" s="372">
        <v>0.65</v>
      </c>
      <c r="F3497" s="360">
        <f>'UPAD-BAHAN-ALAT'!$I$13</f>
        <v>140000</v>
      </c>
      <c r="G3497" s="248">
        <f>F3497*E3497</f>
        <v>91000</v>
      </c>
    </row>
    <row r="3498" spans="1:7">
      <c r="A3498" s="294"/>
      <c r="B3498" s="410" t="s">
        <v>751</v>
      </c>
      <c r="C3498" s="247" t="s">
        <v>681</v>
      </c>
      <c r="D3498" s="247" t="s">
        <v>675</v>
      </c>
      <c r="E3498" s="372">
        <v>6.5000000000000002E-2</v>
      </c>
      <c r="F3498" s="360">
        <f>'UPAD-BAHAN-ALAT'!$I$15</f>
        <v>150000</v>
      </c>
      <c r="G3498" s="248">
        <f>F3498*E3498</f>
        <v>9750</v>
      </c>
    </row>
    <row r="3499" spans="1:7">
      <c r="A3499" s="294"/>
      <c r="B3499" s="410" t="s">
        <v>683</v>
      </c>
      <c r="C3499" s="247" t="s">
        <v>684</v>
      </c>
      <c r="D3499" s="247" t="s">
        <v>675</v>
      </c>
      <c r="E3499" s="372">
        <v>6.5000000000000002E-2</v>
      </c>
      <c r="F3499" s="360">
        <f>'UPAD-BAHAN-ALAT'!$I$14</f>
        <v>140000</v>
      </c>
      <c r="G3499" s="248">
        <f>F3499*E3499</f>
        <v>9100</v>
      </c>
    </row>
    <row r="3500" spans="1:7">
      <c r="A3500" s="294"/>
      <c r="B3500" s="410"/>
      <c r="C3500" s="247"/>
      <c r="D3500" s="247"/>
      <c r="E3500" s="1146" t="s">
        <v>685</v>
      </c>
      <c r="F3500" s="1146"/>
      <c r="G3500" s="248">
        <f>SUM(G3496:G3499)</f>
        <v>252850</v>
      </c>
    </row>
    <row r="3501" spans="1:7">
      <c r="A3501" s="294" t="s">
        <v>686</v>
      </c>
      <c r="B3501" s="410" t="s">
        <v>687</v>
      </c>
      <c r="C3501" s="247"/>
      <c r="D3501" s="247"/>
      <c r="E3501" s="372"/>
      <c r="F3501" s="360"/>
      <c r="G3501" s="248"/>
    </row>
    <row r="3502" spans="1:7">
      <c r="A3502" s="294"/>
      <c r="B3502" s="410" t="s">
        <v>1151</v>
      </c>
      <c r="C3502" s="247"/>
      <c r="D3502" s="247" t="s">
        <v>743</v>
      </c>
      <c r="E3502" s="372">
        <v>1.06</v>
      </c>
      <c r="F3502" s="360">
        <f>'UPAD-BAHAN-ALAT'!$I$278</f>
        <v>850000</v>
      </c>
      <c r="G3502" s="248">
        <f>F3502*E3502</f>
        <v>901000</v>
      </c>
    </row>
    <row r="3503" spans="1:7">
      <c r="A3503" s="294"/>
      <c r="B3503" s="410" t="s">
        <v>818</v>
      </c>
      <c r="C3503" s="247"/>
      <c r="D3503" s="247" t="s">
        <v>690</v>
      </c>
      <c r="E3503" s="372">
        <v>12.44</v>
      </c>
      <c r="F3503" s="360">
        <f>'UPAD-BAHAN-ALAT'!$I$77</f>
        <v>1625</v>
      </c>
      <c r="G3503" s="248">
        <f>F3503*E3503</f>
        <v>20215</v>
      </c>
    </row>
    <row r="3504" spans="1:7">
      <c r="A3504" s="294"/>
      <c r="B3504" s="410" t="s">
        <v>808</v>
      </c>
      <c r="C3504" s="247"/>
      <c r="D3504" s="247" t="s">
        <v>881</v>
      </c>
      <c r="E3504" s="372">
        <v>2.5000000000000001E-2</v>
      </c>
      <c r="F3504" s="360">
        <f>'UPAD-BAHAN-ALAT'!$I$71</f>
        <v>176000</v>
      </c>
      <c r="G3504" s="248">
        <f>F3504*E3504</f>
        <v>4400</v>
      </c>
    </row>
    <row r="3505" spans="1:8">
      <c r="A3505" s="294"/>
      <c r="B3505" s="410" t="s">
        <v>1100</v>
      </c>
      <c r="C3505" s="247"/>
      <c r="D3505" s="247" t="s">
        <v>690</v>
      </c>
      <c r="E3505" s="372">
        <v>0.65</v>
      </c>
      <c r="F3505" s="360">
        <f>'UPAD-BAHAN-ALAT'!$I$75</f>
        <v>3437.5</v>
      </c>
      <c r="G3505" s="248">
        <f>F3505*E3505</f>
        <v>2234.375</v>
      </c>
    </row>
    <row r="3506" spans="1:8">
      <c r="A3506" s="294"/>
      <c r="B3506" s="410" t="s">
        <v>1172</v>
      </c>
      <c r="C3506" s="247"/>
      <c r="D3506" s="247" t="s">
        <v>743</v>
      </c>
      <c r="E3506" s="372">
        <v>3.03</v>
      </c>
      <c r="F3506" s="360">
        <f>'UPAD-BAHAN-ALAT'!$I$139</f>
        <v>21000</v>
      </c>
      <c r="G3506" s="248">
        <f>F3506*E3506</f>
        <v>63629.999999999993</v>
      </c>
    </row>
    <row r="3507" spans="1:8">
      <c r="A3507" s="294"/>
      <c r="B3507" s="410"/>
      <c r="C3507" s="247"/>
      <c r="D3507" s="247"/>
      <c r="E3507" s="1144" t="s">
        <v>702</v>
      </c>
      <c r="F3507" s="1144"/>
      <c r="G3507" s="248">
        <f>SUM(G3502:G3506)</f>
        <v>991479.375</v>
      </c>
    </row>
    <row r="3508" spans="1:8">
      <c r="A3508" s="294" t="s">
        <v>703</v>
      </c>
      <c r="B3508" s="410" t="s">
        <v>704</v>
      </c>
      <c r="C3508" s="247"/>
      <c r="D3508" s="247"/>
      <c r="E3508" s="410"/>
      <c r="F3508" s="410"/>
      <c r="G3508" s="248"/>
    </row>
    <row r="3509" spans="1:8">
      <c r="A3509" s="294"/>
      <c r="B3509" s="410" t="s">
        <v>4572</v>
      </c>
      <c r="C3509" s="247"/>
      <c r="D3509" s="247" t="s">
        <v>2647</v>
      </c>
      <c r="E3509" s="387">
        <v>1</v>
      </c>
      <c r="F3509" s="409">
        <f>'UPAD-BAHAN-ALAT'!$I$281</f>
        <v>80000</v>
      </c>
      <c r="G3509" s="248">
        <f>F3509*E3509</f>
        <v>80000</v>
      </c>
    </row>
    <row r="3510" spans="1:8">
      <c r="A3510" s="294"/>
      <c r="B3510" s="410"/>
      <c r="C3510" s="247"/>
      <c r="D3510" s="247"/>
      <c r="E3510" s="1144" t="s">
        <v>4604</v>
      </c>
      <c r="F3510" s="1144"/>
      <c r="G3510" s="248">
        <f>SUM(G3509)</f>
        <v>80000</v>
      </c>
    </row>
    <row r="3511" spans="1:8" s="265" customFormat="1">
      <c r="A3511" s="294" t="s">
        <v>706</v>
      </c>
      <c r="B3511" s="1147" t="s">
        <v>707</v>
      </c>
      <c r="C3511" s="1147"/>
      <c r="D3511" s="1147"/>
      <c r="E3511" s="1147"/>
      <c r="F3511" s="1147"/>
      <c r="G3511" s="255">
        <f>G3500+G3507+G3510</f>
        <v>1324329.375</v>
      </c>
    </row>
    <row r="3512" spans="1:8" s="265" customFormat="1">
      <c r="A3512" s="294" t="s">
        <v>708</v>
      </c>
      <c r="B3512" s="1148" t="s">
        <v>876</v>
      </c>
      <c r="C3512" s="1148"/>
      <c r="D3512" s="1148"/>
      <c r="E3512" s="1147" t="s">
        <v>710</v>
      </c>
      <c r="F3512" s="1147"/>
      <c r="G3512" s="255">
        <f>G3511*0.15</f>
        <v>198649.40625</v>
      </c>
    </row>
    <row r="3513" spans="1:8" s="265" customFormat="1">
      <c r="A3513" s="294" t="s">
        <v>711</v>
      </c>
      <c r="B3513" s="1149" t="s">
        <v>712</v>
      </c>
      <c r="C3513" s="1149"/>
      <c r="D3513" s="1149"/>
      <c r="E3513" s="1149"/>
      <c r="F3513" s="1149"/>
      <c r="G3513" s="255">
        <f>ROUND(SUM(G3511:G3512),2)</f>
        <v>1522978.78</v>
      </c>
      <c r="H3513" s="255">
        <f>SUM(G3511:G3512)</f>
        <v>1522978.78125</v>
      </c>
    </row>
    <row r="3515" spans="1:8">
      <c r="A3515" s="286" t="s">
        <v>4217</v>
      </c>
      <c r="B3515" s="265" t="s">
        <v>2794</v>
      </c>
    </row>
    <row r="3516" spans="1:8" s="292" customFormat="1" ht="24.95" customHeight="1">
      <c r="A3516" s="290" t="s">
        <v>1003</v>
      </c>
      <c r="B3516" s="290" t="s">
        <v>1004</v>
      </c>
      <c r="C3516" s="290" t="s">
        <v>1005</v>
      </c>
      <c r="D3516" s="290" t="s">
        <v>1006</v>
      </c>
      <c r="E3516" s="373" t="s">
        <v>1007</v>
      </c>
      <c r="F3516" s="363" t="s">
        <v>2637</v>
      </c>
      <c r="G3516" s="291" t="s">
        <v>2638</v>
      </c>
    </row>
    <row r="3517" spans="1:8">
      <c r="A3517" s="294" t="s">
        <v>671</v>
      </c>
      <c r="B3517" s="410" t="s">
        <v>672</v>
      </c>
      <c r="C3517" s="247"/>
      <c r="D3517" s="247"/>
      <c r="E3517" s="372"/>
      <c r="F3517" s="360"/>
      <c r="G3517" s="248"/>
    </row>
    <row r="3518" spans="1:8">
      <c r="A3518" s="294"/>
      <c r="B3518" s="410" t="s">
        <v>673</v>
      </c>
      <c r="C3518" s="247" t="s">
        <v>674</v>
      </c>
      <c r="D3518" s="247" t="s">
        <v>675</v>
      </c>
      <c r="E3518" s="372">
        <v>1</v>
      </c>
      <c r="F3518" s="360">
        <f>'UPAD-BAHAN-ALAT'!$I$12</f>
        <v>110000</v>
      </c>
      <c r="G3518" s="248">
        <f>F3518*E3518</f>
        <v>110000</v>
      </c>
    </row>
    <row r="3519" spans="1:8">
      <c r="A3519" s="294"/>
      <c r="B3519" s="410" t="s">
        <v>816</v>
      </c>
      <c r="C3519" s="247" t="s">
        <v>678</v>
      </c>
      <c r="D3519" s="247" t="s">
        <v>675</v>
      </c>
      <c r="E3519" s="372">
        <v>0.5</v>
      </c>
      <c r="F3519" s="360">
        <f>'UPAD-BAHAN-ALAT'!$I$13</f>
        <v>140000</v>
      </c>
      <c r="G3519" s="248">
        <f>F3519*E3519</f>
        <v>70000</v>
      </c>
    </row>
    <row r="3520" spans="1:8">
      <c r="A3520" s="294"/>
      <c r="B3520" s="410" t="s">
        <v>751</v>
      </c>
      <c r="C3520" s="247" t="s">
        <v>681</v>
      </c>
      <c r="D3520" s="247" t="s">
        <v>675</v>
      </c>
      <c r="E3520" s="372">
        <v>0.05</v>
      </c>
      <c r="F3520" s="360">
        <f>'UPAD-BAHAN-ALAT'!$I$15</f>
        <v>150000</v>
      </c>
      <c r="G3520" s="248">
        <f>F3520*E3520</f>
        <v>7500</v>
      </c>
    </row>
    <row r="3521" spans="1:9">
      <c r="A3521" s="294"/>
      <c r="B3521" s="410" t="s">
        <v>683</v>
      </c>
      <c r="C3521" s="247" t="s">
        <v>684</v>
      </c>
      <c r="D3521" s="247" t="s">
        <v>675</v>
      </c>
      <c r="E3521" s="372">
        <v>0.05</v>
      </c>
      <c r="F3521" s="360">
        <f>'UPAD-BAHAN-ALAT'!$I$14</f>
        <v>140000</v>
      </c>
      <c r="G3521" s="248">
        <f>F3521*E3521</f>
        <v>7000</v>
      </c>
    </row>
    <row r="3522" spans="1:9">
      <c r="A3522" s="294"/>
      <c r="B3522" s="410"/>
      <c r="C3522" s="247"/>
      <c r="D3522" s="247"/>
      <c r="E3522" s="1146" t="s">
        <v>685</v>
      </c>
      <c r="F3522" s="1146"/>
      <c r="G3522" s="248">
        <f>SUM(G3518:G3521)</f>
        <v>194500</v>
      </c>
    </row>
    <row r="3523" spans="1:9">
      <c r="A3523" s="294" t="s">
        <v>686</v>
      </c>
      <c r="B3523" s="410" t="s">
        <v>687</v>
      </c>
      <c r="C3523" s="247"/>
      <c r="D3523" s="247"/>
      <c r="E3523" s="372"/>
      <c r="F3523" s="360"/>
      <c r="G3523" s="248"/>
    </row>
    <row r="3524" spans="1:9">
      <c r="A3524" s="294"/>
      <c r="B3524" s="410" t="s">
        <v>1174</v>
      </c>
      <c r="C3524" s="247"/>
      <c r="D3524" s="247" t="s">
        <v>743</v>
      </c>
      <c r="E3524" s="372">
        <v>63</v>
      </c>
      <c r="F3524" s="360">
        <f>'UPAD-BAHAN-ALAT'!$I$279</f>
        <v>850</v>
      </c>
      <c r="G3524" s="248">
        <f>F3524*E3524</f>
        <v>53550</v>
      </c>
    </row>
    <row r="3525" spans="1:9">
      <c r="A3525" s="294"/>
      <c r="B3525" s="410" t="s">
        <v>818</v>
      </c>
      <c r="C3525" s="247"/>
      <c r="D3525" s="247" t="s">
        <v>690</v>
      </c>
      <c r="E3525" s="372">
        <v>12.44</v>
      </c>
      <c r="F3525" s="360">
        <f>'UPAD-BAHAN-ALAT'!$I$77</f>
        <v>1625</v>
      </c>
      <c r="G3525" s="248">
        <f>F3525*E3525</f>
        <v>20215</v>
      </c>
    </row>
    <row r="3526" spans="1:9">
      <c r="A3526" s="294"/>
      <c r="B3526" s="410" t="s">
        <v>808</v>
      </c>
      <c r="C3526" s="247"/>
      <c r="D3526" s="247" t="s">
        <v>881</v>
      </c>
      <c r="E3526" s="372">
        <v>2.5000000000000001E-2</v>
      </c>
      <c r="F3526" s="360">
        <f>'UPAD-BAHAN-ALAT'!$I$71</f>
        <v>176000</v>
      </c>
      <c r="G3526" s="248">
        <f>F3526*E3526</f>
        <v>4400</v>
      </c>
    </row>
    <row r="3527" spans="1:9">
      <c r="A3527" s="294"/>
      <c r="B3527" s="410" t="s">
        <v>1100</v>
      </c>
      <c r="C3527" s="247"/>
      <c r="D3527" s="247" t="s">
        <v>690</v>
      </c>
      <c r="E3527" s="372">
        <v>2.75</v>
      </c>
      <c r="F3527" s="360">
        <f>'UPAD-BAHAN-ALAT'!$I$75</f>
        <v>3437.5</v>
      </c>
      <c r="G3527" s="248">
        <f>F3527*E3527</f>
        <v>9453.125</v>
      </c>
    </row>
    <row r="3528" spans="1:9">
      <c r="A3528" s="294"/>
      <c r="B3528" s="295"/>
      <c r="C3528" s="296"/>
      <c r="D3528" s="296"/>
      <c r="E3528" s="1146" t="s">
        <v>702</v>
      </c>
      <c r="F3528" s="1146"/>
      <c r="G3528" s="248">
        <f>SUM(G3524:G3527)</f>
        <v>87618.125</v>
      </c>
    </row>
    <row r="3529" spans="1:9" s="265" customFormat="1">
      <c r="A3529" s="294" t="s">
        <v>703</v>
      </c>
      <c r="B3529" s="1147" t="s">
        <v>3910</v>
      </c>
      <c r="C3529" s="1147"/>
      <c r="D3529" s="1147"/>
      <c r="E3529" s="1147"/>
      <c r="F3529" s="1147"/>
      <c r="G3529" s="255">
        <f>G3522+G3528</f>
        <v>282118.125</v>
      </c>
    </row>
    <row r="3530" spans="1:9" s="265" customFormat="1">
      <c r="A3530" s="294" t="s">
        <v>706</v>
      </c>
      <c r="B3530" s="1148" t="s">
        <v>876</v>
      </c>
      <c r="C3530" s="1148"/>
      <c r="D3530" s="1148"/>
      <c r="E3530" s="1147" t="s">
        <v>4030</v>
      </c>
      <c r="F3530" s="1147"/>
      <c r="G3530" s="255">
        <f>G3529*0.15</f>
        <v>42317.71875</v>
      </c>
    </row>
    <row r="3531" spans="1:9" s="265" customFormat="1">
      <c r="A3531" s="294" t="s">
        <v>708</v>
      </c>
      <c r="B3531" s="1149" t="s">
        <v>3911</v>
      </c>
      <c r="C3531" s="1149"/>
      <c r="D3531" s="1149"/>
      <c r="E3531" s="1149"/>
      <c r="F3531" s="1149"/>
      <c r="G3531" s="255">
        <f>ROUND(SUM(G3529:G3530),2)</f>
        <v>324435.84000000003</v>
      </c>
      <c r="H3531" s="255">
        <f>247707.13+37156.07</f>
        <v>284863.2</v>
      </c>
      <c r="I3531" s="300">
        <f>SUM(G3529:G3530)</f>
        <v>324435.84375</v>
      </c>
    </row>
    <row r="3532" spans="1:9">
      <c r="A3532" s="268"/>
      <c r="B3532" s="269"/>
      <c r="C3532" s="268"/>
      <c r="D3532" s="268"/>
      <c r="E3532" s="380"/>
      <c r="F3532" s="365"/>
      <c r="G3532" s="270"/>
    </row>
    <row r="3533" spans="1:9">
      <c r="A3533" s="285" t="s">
        <v>4218</v>
      </c>
      <c r="B3533" s="250" t="s">
        <v>2793</v>
      </c>
      <c r="C3533" s="252"/>
      <c r="D3533" s="252"/>
      <c r="E3533" s="374"/>
      <c r="F3533" s="361"/>
      <c r="G3533" s="253"/>
    </row>
    <row r="3534" spans="1:9" s="292" customFormat="1" ht="24.95" customHeight="1">
      <c r="A3534" s="290" t="s">
        <v>1003</v>
      </c>
      <c r="B3534" s="290" t="s">
        <v>1004</v>
      </c>
      <c r="C3534" s="290" t="s">
        <v>1005</v>
      </c>
      <c r="D3534" s="290" t="s">
        <v>1006</v>
      </c>
      <c r="E3534" s="373" t="s">
        <v>1007</v>
      </c>
      <c r="F3534" s="363" t="s">
        <v>2637</v>
      </c>
      <c r="G3534" s="291" t="s">
        <v>2638</v>
      </c>
    </row>
    <row r="3535" spans="1:9">
      <c r="A3535" s="294" t="s">
        <v>671</v>
      </c>
      <c r="B3535" s="410" t="s">
        <v>672</v>
      </c>
      <c r="C3535" s="247"/>
      <c r="D3535" s="247"/>
      <c r="E3535" s="372"/>
      <c r="F3535" s="360"/>
      <c r="G3535" s="248"/>
    </row>
    <row r="3536" spans="1:9">
      <c r="A3536" s="294"/>
      <c r="B3536" s="410" t="s">
        <v>673</v>
      </c>
      <c r="C3536" s="247" t="s">
        <v>674</v>
      </c>
      <c r="D3536" s="247" t="s">
        <v>675</v>
      </c>
      <c r="E3536" s="372">
        <v>0.7</v>
      </c>
      <c r="F3536" s="360">
        <f>'UPAD-BAHAN-ALAT'!$I$12</f>
        <v>110000</v>
      </c>
      <c r="G3536" s="248">
        <f>F3536*E3536</f>
        <v>77000</v>
      </c>
    </row>
    <row r="3537" spans="1:8">
      <c r="A3537" s="294"/>
      <c r="B3537" s="410" t="s">
        <v>816</v>
      </c>
      <c r="C3537" s="247" t="s">
        <v>678</v>
      </c>
      <c r="D3537" s="247" t="s">
        <v>675</v>
      </c>
      <c r="E3537" s="372">
        <v>0.35</v>
      </c>
      <c r="F3537" s="360">
        <f>'UPAD-BAHAN-ALAT'!$I$13</f>
        <v>140000</v>
      </c>
      <c r="G3537" s="248">
        <f>F3537*E3537</f>
        <v>49000</v>
      </c>
    </row>
    <row r="3538" spans="1:8">
      <c r="A3538" s="294"/>
      <c r="B3538" s="410" t="s">
        <v>751</v>
      </c>
      <c r="C3538" s="247" t="s">
        <v>681</v>
      </c>
      <c r="D3538" s="247" t="s">
        <v>675</v>
      </c>
      <c r="E3538" s="372">
        <v>3.5000000000000003E-2</v>
      </c>
      <c r="F3538" s="360">
        <f>'UPAD-BAHAN-ALAT'!$I$15</f>
        <v>150000</v>
      </c>
      <c r="G3538" s="248">
        <f>F3538*E3538</f>
        <v>5250.0000000000009</v>
      </c>
    </row>
    <row r="3539" spans="1:8">
      <c r="A3539" s="294"/>
      <c r="B3539" s="410" t="s">
        <v>683</v>
      </c>
      <c r="C3539" s="247" t="s">
        <v>684</v>
      </c>
      <c r="D3539" s="247" t="s">
        <v>675</v>
      </c>
      <c r="E3539" s="372">
        <v>3.5000000000000003E-2</v>
      </c>
      <c r="F3539" s="360">
        <f>'UPAD-BAHAN-ALAT'!$I$14</f>
        <v>140000</v>
      </c>
      <c r="G3539" s="248">
        <f>F3539*E3539</f>
        <v>4900.0000000000009</v>
      </c>
    </row>
    <row r="3540" spans="1:8">
      <c r="A3540" s="294"/>
      <c r="B3540" s="410"/>
      <c r="C3540" s="247"/>
      <c r="D3540" s="247"/>
      <c r="E3540" s="1146" t="s">
        <v>685</v>
      </c>
      <c r="F3540" s="1146"/>
      <c r="G3540" s="248">
        <f>SUM(G3536:G3539)</f>
        <v>136150</v>
      </c>
    </row>
    <row r="3541" spans="1:8">
      <c r="A3541" s="294" t="s">
        <v>686</v>
      </c>
      <c r="B3541" s="410" t="s">
        <v>687</v>
      </c>
      <c r="C3541" s="247"/>
      <c r="D3541" s="247"/>
      <c r="E3541" s="372"/>
      <c r="F3541" s="360"/>
      <c r="G3541" s="248"/>
    </row>
    <row r="3542" spans="1:8">
      <c r="A3542" s="294"/>
      <c r="B3542" s="410" t="s">
        <v>1176</v>
      </c>
      <c r="C3542" s="247"/>
      <c r="D3542" s="247" t="s">
        <v>743</v>
      </c>
      <c r="E3542" s="372">
        <v>1.1000000000000001</v>
      </c>
      <c r="F3542" s="360">
        <f>'UPAD-BAHAN-ALAT'!$I$59</f>
        <v>187000</v>
      </c>
      <c r="G3542" s="248">
        <f>F3542*E3542</f>
        <v>205700.00000000003</v>
      </c>
    </row>
    <row r="3543" spans="1:8">
      <c r="A3543" s="294"/>
      <c r="B3543" s="410" t="s">
        <v>818</v>
      </c>
      <c r="C3543" s="247"/>
      <c r="D3543" s="247" t="s">
        <v>690</v>
      </c>
      <c r="E3543" s="372">
        <v>11.75</v>
      </c>
      <c r="F3543" s="360">
        <f>'UPAD-BAHAN-ALAT'!$I$77</f>
        <v>1625</v>
      </c>
      <c r="G3543" s="248">
        <f>F3543*E3543</f>
        <v>19093.75</v>
      </c>
    </row>
    <row r="3544" spans="1:8">
      <c r="A3544" s="294"/>
      <c r="B3544" s="410" t="s">
        <v>808</v>
      </c>
      <c r="C3544" s="247"/>
      <c r="D3544" s="247" t="s">
        <v>881</v>
      </c>
      <c r="E3544" s="372">
        <v>3.5000000000000003E-2</v>
      </c>
      <c r="F3544" s="360">
        <f>'UPAD-BAHAN-ALAT'!$I$71</f>
        <v>176000</v>
      </c>
      <c r="G3544" s="248">
        <f>F3544*E3544</f>
        <v>6160.0000000000009</v>
      </c>
    </row>
    <row r="3545" spans="1:8">
      <c r="A3545" s="294"/>
      <c r="B3545" s="410"/>
      <c r="C3545" s="247"/>
      <c r="D3545" s="247"/>
      <c r="E3545" s="1155" t="s">
        <v>702</v>
      </c>
      <c r="F3545" s="1155"/>
      <c r="G3545" s="248">
        <f>SUM(G3542:G3544)</f>
        <v>230953.75000000003</v>
      </c>
    </row>
    <row r="3546" spans="1:8" s="265" customFormat="1">
      <c r="A3546" s="294" t="s">
        <v>703</v>
      </c>
      <c r="B3546" s="1151" t="s">
        <v>3910</v>
      </c>
      <c r="C3546" s="1151"/>
      <c r="D3546" s="1151"/>
      <c r="E3546" s="1151"/>
      <c r="F3546" s="1151"/>
      <c r="G3546" s="255">
        <f>G3540+G3545</f>
        <v>367103.75</v>
      </c>
    </row>
    <row r="3547" spans="1:8" s="265" customFormat="1">
      <c r="A3547" s="294" t="s">
        <v>706</v>
      </c>
      <c r="B3547" s="1148" t="s">
        <v>876</v>
      </c>
      <c r="C3547" s="1148"/>
      <c r="D3547" s="1148"/>
      <c r="E3547" s="1147" t="s">
        <v>4030</v>
      </c>
      <c r="F3547" s="1147"/>
      <c r="G3547" s="255">
        <f>G3546*0.15</f>
        <v>55065.5625</v>
      </c>
    </row>
    <row r="3548" spans="1:8" s="265" customFormat="1">
      <c r="A3548" s="294" t="s">
        <v>708</v>
      </c>
      <c r="B3548" s="1149" t="s">
        <v>3911</v>
      </c>
      <c r="C3548" s="1149"/>
      <c r="D3548" s="1149"/>
      <c r="E3548" s="1149"/>
      <c r="F3548" s="1149"/>
      <c r="G3548" s="255">
        <f>ROUND(SUM(G3546:G3547),2)</f>
        <v>422169.31</v>
      </c>
      <c r="H3548" s="255">
        <f>SUM(G3546:G3547)</f>
        <v>422169.3125</v>
      </c>
    </row>
    <row r="3550" spans="1:8">
      <c r="A3550" s="286" t="s">
        <v>4219</v>
      </c>
      <c r="B3550" s="265" t="s">
        <v>2792</v>
      </c>
    </row>
    <row r="3551" spans="1:8" s="292" customFormat="1" ht="24.95" customHeight="1">
      <c r="A3551" s="290" t="s">
        <v>1003</v>
      </c>
      <c r="B3551" s="290" t="s">
        <v>1004</v>
      </c>
      <c r="C3551" s="290" t="s">
        <v>1005</v>
      </c>
      <c r="D3551" s="290" t="s">
        <v>1006</v>
      </c>
      <c r="E3551" s="373" t="s">
        <v>1007</v>
      </c>
      <c r="F3551" s="363" t="s">
        <v>2637</v>
      </c>
      <c r="G3551" s="291" t="s">
        <v>2638</v>
      </c>
    </row>
    <row r="3552" spans="1:8">
      <c r="A3552" s="294" t="s">
        <v>671</v>
      </c>
      <c r="B3552" s="410" t="s">
        <v>672</v>
      </c>
      <c r="C3552" s="247"/>
      <c r="D3552" s="247"/>
      <c r="E3552" s="372"/>
      <c r="F3552" s="360"/>
      <c r="G3552" s="248"/>
    </row>
    <row r="3553" spans="1:8">
      <c r="A3553" s="294"/>
      <c r="B3553" s="410" t="s">
        <v>673</v>
      </c>
      <c r="C3553" s="247" t="s">
        <v>674</v>
      </c>
      <c r="D3553" s="247" t="s">
        <v>675</v>
      </c>
      <c r="E3553" s="372">
        <v>0.7</v>
      </c>
      <c r="F3553" s="360">
        <f>'UPAD-BAHAN-ALAT'!$I$12</f>
        <v>110000</v>
      </c>
      <c r="G3553" s="248">
        <f>F3553*E3553</f>
        <v>77000</v>
      </c>
    </row>
    <row r="3554" spans="1:8">
      <c r="A3554" s="294"/>
      <c r="B3554" s="410" t="s">
        <v>816</v>
      </c>
      <c r="C3554" s="247" t="s">
        <v>678</v>
      </c>
      <c r="D3554" s="247" t="s">
        <v>675</v>
      </c>
      <c r="E3554" s="372">
        <v>0.35</v>
      </c>
      <c r="F3554" s="360">
        <f>'UPAD-BAHAN-ALAT'!$I$13</f>
        <v>140000</v>
      </c>
      <c r="G3554" s="248">
        <f>F3554*E3554</f>
        <v>49000</v>
      </c>
    </row>
    <row r="3555" spans="1:8">
      <c r="A3555" s="294"/>
      <c r="B3555" s="410" t="s">
        <v>751</v>
      </c>
      <c r="C3555" s="247" t="s">
        <v>681</v>
      </c>
      <c r="D3555" s="247" t="s">
        <v>675</v>
      </c>
      <c r="E3555" s="372">
        <v>3.5000000000000003E-2</v>
      </c>
      <c r="F3555" s="360">
        <f>'UPAD-BAHAN-ALAT'!$I$15</f>
        <v>150000</v>
      </c>
      <c r="G3555" s="248">
        <f>F3555*E3555</f>
        <v>5250.0000000000009</v>
      </c>
    </row>
    <row r="3556" spans="1:8">
      <c r="A3556" s="294"/>
      <c r="B3556" s="410" t="s">
        <v>683</v>
      </c>
      <c r="C3556" s="247" t="s">
        <v>684</v>
      </c>
      <c r="D3556" s="247" t="s">
        <v>675</v>
      </c>
      <c r="E3556" s="372">
        <v>3.5000000000000003E-2</v>
      </c>
      <c r="F3556" s="360">
        <f>'UPAD-BAHAN-ALAT'!$I$14</f>
        <v>140000</v>
      </c>
      <c r="G3556" s="248">
        <f>F3556*E3556</f>
        <v>4900.0000000000009</v>
      </c>
    </row>
    <row r="3557" spans="1:8">
      <c r="A3557" s="294"/>
      <c r="B3557" s="410"/>
      <c r="C3557" s="247"/>
      <c r="D3557" s="247"/>
      <c r="E3557" s="1146" t="s">
        <v>685</v>
      </c>
      <c r="F3557" s="1146"/>
      <c r="G3557" s="248">
        <f>SUM(G3553:G3556)</f>
        <v>136150</v>
      </c>
    </row>
    <row r="3558" spans="1:8">
      <c r="A3558" s="294" t="s">
        <v>686</v>
      </c>
      <c r="B3558" s="410" t="s">
        <v>687</v>
      </c>
      <c r="C3558" s="247"/>
      <c r="D3558" s="247"/>
      <c r="E3558" s="372"/>
      <c r="F3558" s="360"/>
      <c r="G3558" s="248"/>
    </row>
    <row r="3559" spans="1:8">
      <c r="A3559" s="294"/>
      <c r="B3559" s="410" t="s">
        <v>1178</v>
      </c>
      <c r="C3559" s="247"/>
      <c r="D3559" s="247" t="s">
        <v>743</v>
      </c>
      <c r="E3559" s="372">
        <v>1.1000000000000001</v>
      </c>
      <c r="F3559" s="360">
        <f>'UPAD-BAHAN-ALAT'!$I$60</f>
        <v>189000</v>
      </c>
      <c r="G3559" s="248">
        <f>F3559*E3559</f>
        <v>207900.00000000003</v>
      </c>
    </row>
    <row r="3560" spans="1:8">
      <c r="A3560" s="294"/>
      <c r="B3560" s="410" t="s">
        <v>818</v>
      </c>
      <c r="C3560" s="247"/>
      <c r="D3560" s="247" t="s">
        <v>690</v>
      </c>
      <c r="E3560" s="372">
        <v>11.75</v>
      </c>
      <c r="F3560" s="360">
        <f>'UPAD-BAHAN-ALAT'!$I$77</f>
        <v>1625</v>
      </c>
      <c r="G3560" s="248">
        <f>F3560*E3560</f>
        <v>19093.75</v>
      </c>
    </row>
    <row r="3561" spans="1:8">
      <c r="A3561" s="294"/>
      <c r="B3561" s="410" t="s">
        <v>808</v>
      </c>
      <c r="C3561" s="247"/>
      <c r="D3561" s="247" t="s">
        <v>881</v>
      </c>
      <c r="E3561" s="372">
        <v>3.5000000000000003E-2</v>
      </c>
      <c r="F3561" s="360">
        <f>'UPAD-BAHAN-ALAT'!$I$71</f>
        <v>176000</v>
      </c>
      <c r="G3561" s="248">
        <f>F3561*E3561</f>
        <v>6160.0000000000009</v>
      </c>
    </row>
    <row r="3562" spans="1:8">
      <c r="A3562" s="294"/>
      <c r="B3562" s="410"/>
      <c r="C3562" s="247"/>
      <c r="D3562" s="247"/>
      <c r="E3562" s="1155" t="s">
        <v>702</v>
      </c>
      <c r="F3562" s="1155"/>
      <c r="G3562" s="248">
        <f>SUM(G3559:G3561)</f>
        <v>233153.75000000003</v>
      </c>
    </row>
    <row r="3563" spans="1:8" s="265" customFormat="1">
      <c r="A3563" s="294" t="s">
        <v>703</v>
      </c>
      <c r="B3563" s="1151" t="s">
        <v>3910</v>
      </c>
      <c r="C3563" s="1151"/>
      <c r="D3563" s="1151"/>
      <c r="E3563" s="1151"/>
      <c r="F3563" s="1151"/>
      <c r="G3563" s="255">
        <f>G3557+G3562</f>
        <v>369303.75</v>
      </c>
    </row>
    <row r="3564" spans="1:8" s="265" customFormat="1">
      <c r="A3564" s="294" t="s">
        <v>706</v>
      </c>
      <c r="B3564" s="1148" t="s">
        <v>876</v>
      </c>
      <c r="C3564" s="1148"/>
      <c r="D3564" s="1148"/>
      <c r="E3564" s="1147" t="s">
        <v>4030</v>
      </c>
      <c r="F3564" s="1147"/>
      <c r="G3564" s="255">
        <f>G3563*0.15</f>
        <v>55395.5625</v>
      </c>
    </row>
    <row r="3565" spans="1:8" s="265" customFormat="1">
      <c r="A3565" s="294" t="s">
        <v>708</v>
      </c>
      <c r="B3565" s="1149" t="s">
        <v>3911</v>
      </c>
      <c r="C3565" s="1149"/>
      <c r="D3565" s="1149"/>
      <c r="E3565" s="1149"/>
      <c r="F3565" s="1149"/>
      <c r="G3565" s="255">
        <f>ROUND(SUM(G3563:G3564),2)</f>
        <v>424699.31</v>
      </c>
      <c r="H3565" s="255">
        <f>SUM(G3563:G3564)</f>
        <v>424699.3125</v>
      </c>
    </row>
    <row r="3566" spans="1:8">
      <c r="A3566" s="268"/>
      <c r="B3566" s="269"/>
      <c r="C3566" s="268"/>
      <c r="D3566" s="268"/>
      <c r="E3566" s="380"/>
      <c r="F3566" s="365"/>
      <c r="G3566" s="270"/>
    </row>
    <row r="3567" spans="1:8">
      <c r="A3567" s="285" t="s">
        <v>4220</v>
      </c>
      <c r="B3567" s="250" t="s">
        <v>2791</v>
      </c>
      <c r="C3567" s="252"/>
      <c r="D3567" s="252"/>
      <c r="E3567" s="374"/>
      <c r="F3567" s="361"/>
      <c r="G3567" s="253"/>
    </row>
    <row r="3568" spans="1:8" s="292" customFormat="1" ht="24.95" customHeight="1">
      <c r="A3568" s="290" t="s">
        <v>1003</v>
      </c>
      <c r="B3568" s="290" t="s">
        <v>1004</v>
      </c>
      <c r="C3568" s="290" t="s">
        <v>1005</v>
      </c>
      <c r="D3568" s="290" t="s">
        <v>1006</v>
      </c>
      <c r="E3568" s="373" t="s">
        <v>1007</v>
      </c>
      <c r="F3568" s="363" t="s">
        <v>2637</v>
      </c>
      <c r="G3568" s="291" t="s">
        <v>2638</v>
      </c>
    </row>
    <row r="3569" spans="1:8">
      <c r="A3569" s="294" t="s">
        <v>671</v>
      </c>
      <c r="B3569" s="410" t="s">
        <v>672</v>
      </c>
      <c r="C3569" s="247"/>
      <c r="D3569" s="247"/>
      <c r="E3569" s="372"/>
      <c r="F3569" s="360"/>
      <c r="G3569" s="248"/>
    </row>
    <row r="3570" spans="1:8">
      <c r="A3570" s="294"/>
      <c r="B3570" s="410" t="s">
        <v>673</v>
      </c>
      <c r="C3570" s="247" t="s">
        <v>674</v>
      </c>
      <c r="D3570" s="247" t="s">
        <v>675</v>
      </c>
      <c r="E3570" s="372">
        <v>0.15</v>
      </c>
      <c r="F3570" s="360">
        <f>'UPAD-BAHAN-ALAT'!$I$12</f>
        <v>110000</v>
      </c>
      <c r="G3570" s="248">
        <f>F3570*E3570</f>
        <v>16500</v>
      </c>
    </row>
    <row r="3571" spans="1:8">
      <c r="A3571" s="294"/>
      <c r="B3571" s="410" t="s">
        <v>816</v>
      </c>
      <c r="C3571" s="247" t="s">
        <v>678</v>
      </c>
      <c r="D3571" s="247" t="s">
        <v>675</v>
      </c>
      <c r="E3571" s="372">
        <v>0.15</v>
      </c>
      <c r="F3571" s="360">
        <f>'UPAD-BAHAN-ALAT'!$I$13</f>
        <v>140000</v>
      </c>
      <c r="G3571" s="248">
        <f>F3571*E3571</f>
        <v>21000</v>
      </c>
    </row>
    <row r="3572" spans="1:8">
      <c r="A3572" s="294"/>
      <c r="B3572" s="410" t="s">
        <v>751</v>
      </c>
      <c r="C3572" s="247" t="s">
        <v>681</v>
      </c>
      <c r="D3572" s="247" t="s">
        <v>675</v>
      </c>
      <c r="E3572" s="372">
        <v>1.4999999999999999E-2</v>
      </c>
      <c r="F3572" s="360">
        <f>'UPAD-BAHAN-ALAT'!$I$15</f>
        <v>150000</v>
      </c>
      <c r="G3572" s="248">
        <f>F3572*E3572</f>
        <v>2250</v>
      </c>
    </row>
    <row r="3573" spans="1:8">
      <c r="A3573" s="294"/>
      <c r="B3573" s="410" t="s">
        <v>683</v>
      </c>
      <c r="C3573" s="247" t="s">
        <v>684</v>
      </c>
      <c r="D3573" s="247" t="s">
        <v>675</v>
      </c>
      <c r="E3573" s="372">
        <v>8.0000000000000002E-3</v>
      </c>
      <c r="F3573" s="360">
        <f>'UPAD-BAHAN-ALAT'!$I$14</f>
        <v>140000</v>
      </c>
      <c r="G3573" s="248">
        <f>F3573*E3573</f>
        <v>1120</v>
      </c>
    </row>
    <row r="3574" spans="1:8">
      <c r="A3574" s="294"/>
      <c r="B3574" s="410"/>
      <c r="C3574" s="247"/>
      <c r="D3574" s="247"/>
      <c r="E3574" s="1146" t="s">
        <v>685</v>
      </c>
      <c r="F3574" s="1146"/>
      <c r="G3574" s="248">
        <f>SUM(G3570:G3573)</f>
        <v>40870</v>
      </c>
    </row>
    <row r="3575" spans="1:8">
      <c r="A3575" s="294" t="s">
        <v>686</v>
      </c>
      <c r="B3575" s="410" t="s">
        <v>687</v>
      </c>
      <c r="C3575" s="247"/>
      <c r="D3575" s="247"/>
      <c r="E3575" s="372"/>
      <c r="F3575" s="360"/>
      <c r="G3575" s="248"/>
    </row>
    <row r="3576" spans="1:8">
      <c r="A3576" s="294"/>
      <c r="B3576" s="410" t="s">
        <v>1179</v>
      </c>
      <c r="C3576" s="247"/>
      <c r="D3576" s="247" t="s">
        <v>743</v>
      </c>
      <c r="E3576" s="372">
        <v>11.87</v>
      </c>
      <c r="F3576" s="360">
        <f>'UPAD-BAHAN-ALAT'!$I$280</f>
        <v>18000</v>
      </c>
      <c r="G3576" s="248">
        <f>F3576*E3576</f>
        <v>213660</v>
      </c>
    </row>
    <row r="3577" spans="1:8">
      <c r="A3577" s="294"/>
      <c r="B3577" s="410" t="s">
        <v>1158</v>
      </c>
      <c r="C3577" s="247"/>
      <c r="D3577" s="247" t="s">
        <v>690</v>
      </c>
      <c r="E3577" s="372">
        <v>0.35</v>
      </c>
      <c r="F3577" s="360">
        <f>'UPAD-BAHAN-ALAT'!$I$98</f>
        <v>33000</v>
      </c>
      <c r="G3577" s="248">
        <f>F3577*E3577</f>
        <v>11550</v>
      </c>
    </row>
    <row r="3578" spans="1:8">
      <c r="A3578" s="294"/>
      <c r="B3578" s="295"/>
      <c r="C3578" s="296"/>
      <c r="D3578" s="296"/>
      <c r="E3578" s="1146" t="s">
        <v>702</v>
      </c>
      <c r="F3578" s="1146"/>
      <c r="G3578" s="248">
        <f>SUM(G3576:G3577)</f>
        <v>225210</v>
      </c>
    </row>
    <row r="3579" spans="1:8" s="265" customFormat="1">
      <c r="A3579" s="294" t="s">
        <v>703</v>
      </c>
      <c r="B3579" s="1147" t="s">
        <v>3910</v>
      </c>
      <c r="C3579" s="1147"/>
      <c r="D3579" s="1147"/>
      <c r="E3579" s="1147"/>
      <c r="F3579" s="1147"/>
      <c r="G3579" s="255">
        <f>G3574+G3578</f>
        <v>266080</v>
      </c>
    </row>
    <row r="3580" spans="1:8" s="265" customFormat="1">
      <c r="A3580" s="294" t="s">
        <v>706</v>
      </c>
      <c r="B3580" s="1148" t="s">
        <v>876</v>
      </c>
      <c r="C3580" s="1148"/>
      <c r="D3580" s="1148"/>
      <c r="E3580" s="1147" t="s">
        <v>4030</v>
      </c>
      <c r="F3580" s="1147"/>
      <c r="G3580" s="255">
        <f>G3579*0.15</f>
        <v>39912</v>
      </c>
    </row>
    <row r="3581" spans="1:8" s="265" customFormat="1">
      <c r="A3581" s="294" t="s">
        <v>708</v>
      </c>
      <c r="B3581" s="1149" t="s">
        <v>3911</v>
      </c>
      <c r="C3581" s="1149"/>
      <c r="D3581" s="1149"/>
      <c r="E3581" s="1149"/>
      <c r="F3581" s="1149"/>
      <c r="G3581" s="255">
        <f>ROUND(SUM(G3579:G3580),2)</f>
        <v>305992</v>
      </c>
      <c r="H3581" s="255">
        <f>SUM(G3579:G3580)</f>
        <v>305992</v>
      </c>
    </row>
    <row r="3583" spans="1:8">
      <c r="A3583" s="286" t="s">
        <v>4221</v>
      </c>
      <c r="B3583" s="265" t="s">
        <v>4525</v>
      </c>
    </row>
    <row r="3584" spans="1:8" s="292" customFormat="1" ht="24.95" customHeight="1">
      <c r="A3584" s="290" t="s">
        <v>1003</v>
      </c>
      <c r="B3584" s="290" t="s">
        <v>1004</v>
      </c>
      <c r="C3584" s="290" t="s">
        <v>1005</v>
      </c>
      <c r="D3584" s="290" t="s">
        <v>1006</v>
      </c>
      <c r="E3584" s="373" t="s">
        <v>1007</v>
      </c>
      <c r="F3584" s="363" t="s">
        <v>2637</v>
      </c>
      <c r="G3584" s="291" t="s">
        <v>2638</v>
      </c>
    </row>
    <row r="3585" spans="1:8">
      <c r="A3585" s="294" t="s">
        <v>671</v>
      </c>
      <c r="B3585" s="410" t="s">
        <v>672</v>
      </c>
      <c r="C3585" s="247"/>
      <c r="D3585" s="247"/>
      <c r="E3585" s="372"/>
      <c r="F3585" s="360"/>
      <c r="G3585" s="248"/>
    </row>
    <row r="3586" spans="1:8">
      <c r="A3586" s="294"/>
      <c r="B3586" s="410" t="s">
        <v>673</v>
      </c>
      <c r="C3586" s="247" t="s">
        <v>674</v>
      </c>
      <c r="D3586" s="247" t="s">
        <v>675</v>
      </c>
      <c r="E3586" s="372">
        <v>0.35</v>
      </c>
      <c r="F3586" s="360">
        <f>'UPAD-BAHAN-ALAT'!$I$12</f>
        <v>110000</v>
      </c>
      <c r="G3586" s="248">
        <f>F3586*E3586</f>
        <v>38500</v>
      </c>
    </row>
    <row r="3587" spans="1:8">
      <c r="A3587" s="294"/>
      <c r="B3587" s="410" t="s">
        <v>816</v>
      </c>
      <c r="C3587" s="247" t="s">
        <v>678</v>
      </c>
      <c r="D3587" s="247" t="s">
        <v>675</v>
      </c>
      <c r="E3587" s="372">
        <v>0.17499999999999999</v>
      </c>
      <c r="F3587" s="360">
        <f>'UPAD-BAHAN-ALAT'!$I$13</f>
        <v>140000</v>
      </c>
      <c r="G3587" s="248">
        <f>F3587*E3587</f>
        <v>24500</v>
      </c>
    </row>
    <row r="3588" spans="1:8">
      <c r="A3588" s="294"/>
      <c r="B3588" s="410" t="s">
        <v>751</v>
      </c>
      <c r="C3588" s="247" t="s">
        <v>681</v>
      </c>
      <c r="D3588" s="247" t="s">
        <v>675</v>
      </c>
      <c r="E3588" s="372">
        <v>1.7000000000000001E-2</v>
      </c>
      <c r="F3588" s="360">
        <f>'UPAD-BAHAN-ALAT'!$I$15</f>
        <v>150000</v>
      </c>
      <c r="G3588" s="248">
        <f>F3588*E3588</f>
        <v>2550</v>
      </c>
    </row>
    <row r="3589" spans="1:8">
      <c r="A3589" s="294"/>
      <c r="B3589" s="410" t="s">
        <v>683</v>
      </c>
      <c r="C3589" s="247" t="s">
        <v>684</v>
      </c>
      <c r="D3589" s="247" t="s">
        <v>675</v>
      </c>
      <c r="E3589" s="372">
        <v>2E-3</v>
      </c>
      <c r="F3589" s="360">
        <f>'UPAD-BAHAN-ALAT'!$I$14</f>
        <v>140000</v>
      </c>
      <c r="G3589" s="248">
        <f>F3589*E3589</f>
        <v>280</v>
      </c>
    </row>
    <row r="3590" spans="1:8">
      <c r="A3590" s="294"/>
      <c r="B3590" s="410"/>
      <c r="C3590" s="247"/>
      <c r="D3590" s="247"/>
      <c r="E3590" s="1146" t="s">
        <v>685</v>
      </c>
      <c r="F3590" s="1146"/>
      <c r="G3590" s="248">
        <f>SUM(G3586:G3589)</f>
        <v>65830</v>
      </c>
    </row>
    <row r="3591" spans="1:8">
      <c r="A3591" s="294" t="s">
        <v>686</v>
      </c>
      <c r="B3591" s="410" t="s">
        <v>687</v>
      </c>
      <c r="C3591" s="247"/>
      <c r="D3591" s="247"/>
      <c r="E3591" s="372"/>
      <c r="F3591" s="360"/>
      <c r="G3591" s="248"/>
    </row>
    <row r="3592" spans="1:8">
      <c r="A3592" s="294"/>
      <c r="B3592" s="410" t="s">
        <v>1181</v>
      </c>
      <c r="C3592" s="247"/>
      <c r="D3592" s="247" t="s">
        <v>853</v>
      </c>
      <c r="E3592" s="372">
        <v>2.2000000000000002</v>
      </c>
      <c r="F3592" s="360">
        <f>'UPAD-BAHAN-ALAT'!$I$276</f>
        <v>20000</v>
      </c>
      <c r="G3592" s="248">
        <f>F3592*E3592</f>
        <v>44000</v>
      </c>
    </row>
    <row r="3593" spans="1:8">
      <c r="A3593" s="294"/>
      <c r="B3593" s="410" t="s">
        <v>1158</v>
      </c>
      <c r="C3593" s="247"/>
      <c r="D3593" s="247" t="s">
        <v>690</v>
      </c>
      <c r="E3593" s="372">
        <v>0.25</v>
      </c>
      <c r="F3593" s="360">
        <f>'UPAD-BAHAN-ALAT'!$I$98</f>
        <v>33000</v>
      </c>
      <c r="G3593" s="248">
        <f>F3593*E3593</f>
        <v>8250</v>
      </c>
    </row>
    <row r="3594" spans="1:8">
      <c r="A3594" s="294"/>
      <c r="B3594" s="295"/>
      <c r="C3594" s="296"/>
      <c r="D3594" s="296"/>
      <c r="E3594" s="1146" t="s">
        <v>702</v>
      </c>
      <c r="F3594" s="1146"/>
      <c r="G3594" s="248">
        <f>SUM(G3592:G3593)</f>
        <v>52250</v>
      </c>
    </row>
    <row r="3595" spans="1:8" s="265" customFormat="1">
      <c r="A3595" s="294" t="s">
        <v>703</v>
      </c>
      <c r="B3595" s="1147" t="s">
        <v>3910</v>
      </c>
      <c r="C3595" s="1147"/>
      <c r="D3595" s="1147"/>
      <c r="E3595" s="1147"/>
      <c r="F3595" s="1147"/>
      <c r="G3595" s="255">
        <f>G3590+G3594</f>
        <v>118080</v>
      </c>
    </row>
    <row r="3596" spans="1:8" s="265" customFormat="1">
      <c r="A3596" s="294" t="s">
        <v>706</v>
      </c>
      <c r="B3596" s="1148" t="s">
        <v>876</v>
      </c>
      <c r="C3596" s="1148"/>
      <c r="D3596" s="1148"/>
      <c r="E3596" s="1147" t="s">
        <v>4030</v>
      </c>
      <c r="F3596" s="1147"/>
      <c r="G3596" s="255">
        <f>G3595*0.15</f>
        <v>17712</v>
      </c>
    </row>
    <row r="3597" spans="1:8" s="265" customFormat="1">
      <c r="A3597" s="294" t="s">
        <v>708</v>
      </c>
      <c r="B3597" s="1149" t="s">
        <v>3911</v>
      </c>
      <c r="C3597" s="1149"/>
      <c r="D3597" s="1149"/>
      <c r="E3597" s="1149"/>
      <c r="F3597" s="1149"/>
      <c r="G3597" s="255">
        <f>ROUND(SUM(G3595:G3596),2)</f>
        <v>135792</v>
      </c>
      <c r="H3597" s="255">
        <f>SUM(G3595:G3596)</f>
        <v>135792</v>
      </c>
    </row>
    <row r="3598" spans="1:8">
      <c r="A3598" s="268"/>
      <c r="B3598" s="269"/>
      <c r="C3598" s="268"/>
      <c r="D3598" s="268"/>
      <c r="E3598" s="380"/>
      <c r="F3598" s="365"/>
      <c r="G3598" s="270"/>
    </row>
    <row r="3599" spans="1:8">
      <c r="A3599" s="286" t="s">
        <v>4526</v>
      </c>
      <c r="B3599" s="265" t="s">
        <v>4527</v>
      </c>
    </row>
    <row r="3600" spans="1:8" ht="24.95" customHeight="1">
      <c r="A3600" s="290" t="s">
        <v>1003</v>
      </c>
      <c r="B3600" s="290" t="s">
        <v>1004</v>
      </c>
      <c r="C3600" s="290" t="s">
        <v>1005</v>
      </c>
      <c r="D3600" s="290" t="s">
        <v>1006</v>
      </c>
      <c r="E3600" s="373" t="s">
        <v>1007</v>
      </c>
      <c r="F3600" s="363" t="s">
        <v>2637</v>
      </c>
      <c r="G3600" s="291" t="s">
        <v>2638</v>
      </c>
    </row>
    <row r="3601" spans="1:7">
      <c r="A3601" s="294" t="s">
        <v>671</v>
      </c>
      <c r="B3601" s="410" t="s">
        <v>672</v>
      </c>
      <c r="C3601" s="247"/>
      <c r="D3601" s="247"/>
      <c r="E3601" s="372"/>
      <c r="F3601" s="360"/>
      <c r="G3601" s="248"/>
    </row>
    <row r="3602" spans="1:7">
      <c r="A3602" s="294"/>
      <c r="B3602" s="410" t="s">
        <v>673</v>
      </c>
      <c r="C3602" s="247" t="s">
        <v>674</v>
      </c>
      <c r="D3602" s="247" t="s">
        <v>675</v>
      </c>
      <c r="E3602" s="372">
        <v>0.35</v>
      </c>
      <c r="F3602" s="360">
        <f>'UPAD-BAHAN-ALAT'!$I$12</f>
        <v>110000</v>
      </c>
      <c r="G3602" s="248">
        <f>F3602*E3602</f>
        <v>38500</v>
      </c>
    </row>
    <row r="3603" spans="1:7">
      <c r="A3603" s="294"/>
      <c r="B3603" s="410" t="s">
        <v>816</v>
      </c>
      <c r="C3603" s="247" t="s">
        <v>678</v>
      </c>
      <c r="D3603" s="247" t="s">
        <v>675</v>
      </c>
      <c r="E3603" s="372">
        <v>0.17499999999999999</v>
      </c>
      <c r="F3603" s="360">
        <f>'UPAD-BAHAN-ALAT'!$I$13</f>
        <v>140000</v>
      </c>
      <c r="G3603" s="248">
        <f>F3603*E3603</f>
        <v>24500</v>
      </c>
    </row>
    <row r="3604" spans="1:7">
      <c r="A3604" s="294"/>
      <c r="B3604" s="410" t="s">
        <v>751</v>
      </c>
      <c r="C3604" s="247" t="s">
        <v>681</v>
      </c>
      <c r="D3604" s="247" t="s">
        <v>675</v>
      </c>
      <c r="E3604" s="372">
        <v>1.7000000000000001E-2</v>
      </c>
      <c r="F3604" s="360">
        <f>'UPAD-BAHAN-ALAT'!$I$15</f>
        <v>150000</v>
      </c>
      <c r="G3604" s="248">
        <f>F3604*E3604</f>
        <v>2550</v>
      </c>
    </row>
    <row r="3605" spans="1:7">
      <c r="A3605" s="294"/>
      <c r="B3605" s="410" t="s">
        <v>683</v>
      </c>
      <c r="C3605" s="247" t="s">
        <v>684</v>
      </c>
      <c r="D3605" s="247" t="s">
        <v>675</v>
      </c>
      <c r="E3605" s="372">
        <v>2E-3</v>
      </c>
      <c r="F3605" s="360">
        <f>'UPAD-BAHAN-ALAT'!$I$14</f>
        <v>140000</v>
      </c>
      <c r="G3605" s="248">
        <f>F3605*E3605</f>
        <v>280</v>
      </c>
    </row>
    <row r="3606" spans="1:7">
      <c r="A3606" s="294"/>
      <c r="B3606" s="410"/>
      <c r="C3606" s="247"/>
      <c r="D3606" s="247"/>
      <c r="E3606" s="1146" t="s">
        <v>685</v>
      </c>
      <c r="F3606" s="1146"/>
      <c r="G3606" s="248">
        <f>SUM(G3602:G3605)</f>
        <v>65830</v>
      </c>
    </row>
    <row r="3607" spans="1:7">
      <c r="A3607" s="294" t="s">
        <v>686</v>
      </c>
      <c r="B3607" s="410" t="s">
        <v>687</v>
      </c>
      <c r="C3607" s="247"/>
      <c r="D3607" s="247"/>
      <c r="E3607" s="372"/>
      <c r="F3607" s="360"/>
      <c r="G3607" s="248"/>
    </row>
    <row r="3608" spans="1:7">
      <c r="A3608" s="294"/>
      <c r="B3608" s="410" t="s">
        <v>1181</v>
      </c>
      <c r="C3608" s="247"/>
      <c r="D3608" s="247" t="s">
        <v>853</v>
      </c>
      <c r="E3608" s="372">
        <v>2.2000000000000002</v>
      </c>
      <c r="F3608" s="360">
        <f>'UPAD-BAHAN-ALAT'!$I$277</f>
        <v>25000</v>
      </c>
      <c r="G3608" s="248">
        <f>F3608*E3608</f>
        <v>55000.000000000007</v>
      </c>
    </row>
    <row r="3609" spans="1:7">
      <c r="A3609" s="294"/>
      <c r="B3609" s="410" t="s">
        <v>1158</v>
      </c>
      <c r="C3609" s="247"/>
      <c r="D3609" s="247" t="s">
        <v>690</v>
      </c>
      <c r="E3609" s="372">
        <v>0.25</v>
      </c>
      <c r="F3609" s="360">
        <f>'UPAD-BAHAN-ALAT'!$I$98</f>
        <v>33000</v>
      </c>
      <c r="G3609" s="248">
        <f>F3609*E3609</f>
        <v>8250</v>
      </c>
    </row>
    <row r="3610" spans="1:7">
      <c r="A3610" s="294"/>
      <c r="B3610" s="295"/>
      <c r="C3610" s="296"/>
      <c r="D3610" s="296"/>
      <c r="E3610" s="1146" t="s">
        <v>702</v>
      </c>
      <c r="F3610" s="1146"/>
      <c r="G3610" s="248">
        <f>SUM(G3608:G3609)</f>
        <v>63250.000000000007</v>
      </c>
    </row>
    <row r="3611" spans="1:7">
      <c r="A3611" s="294" t="s">
        <v>703</v>
      </c>
      <c r="B3611" s="1147" t="s">
        <v>3910</v>
      </c>
      <c r="C3611" s="1147"/>
      <c r="D3611" s="1147"/>
      <c r="E3611" s="1147"/>
      <c r="F3611" s="1147"/>
      <c r="G3611" s="255">
        <f>G3606+G3610</f>
        <v>129080</v>
      </c>
    </row>
    <row r="3612" spans="1:7">
      <c r="A3612" s="294" t="s">
        <v>706</v>
      </c>
      <c r="B3612" s="1148" t="s">
        <v>876</v>
      </c>
      <c r="C3612" s="1148"/>
      <c r="D3612" s="1148"/>
      <c r="E3612" s="1147" t="s">
        <v>4030</v>
      </c>
      <c r="F3612" s="1147"/>
      <c r="G3612" s="255">
        <f>G3611*0.15</f>
        <v>19362</v>
      </c>
    </row>
    <row r="3613" spans="1:7">
      <c r="A3613" s="294" t="s">
        <v>708</v>
      </c>
      <c r="B3613" s="1149" t="s">
        <v>3911</v>
      </c>
      <c r="C3613" s="1149"/>
      <c r="D3613" s="1149"/>
      <c r="E3613" s="1149"/>
      <c r="F3613" s="1149"/>
      <c r="G3613" s="255">
        <f>ROUND(SUM(G3611:G3612),2)</f>
        <v>148442</v>
      </c>
    </row>
    <row r="3614" spans="1:7">
      <c r="A3614" s="252"/>
      <c r="B3614" s="251"/>
      <c r="C3614" s="252"/>
      <c r="D3614" s="252"/>
      <c r="E3614" s="374"/>
      <c r="F3614" s="361"/>
      <c r="G3614" s="253"/>
    </row>
    <row r="3615" spans="1:7">
      <c r="A3615" s="284" t="s">
        <v>4222</v>
      </c>
      <c r="B3615" s="250" t="s">
        <v>2790</v>
      </c>
      <c r="C3615" s="252"/>
      <c r="D3615" s="252"/>
      <c r="E3615" s="374"/>
      <c r="F3615" s="361"/>
      <c r="G3615" s="253"/>
    </row>
    <row r="3616" spans="1:7" s="292" customFormat="1" ht="24.95" customHeight="1">
      <c r="A3616" s="290" t="s">
        <v>1003</v>
      </c>
      <c r="B3616" s="290" t="s">
        <v>1004</v>
      </c>
      <c r="C3616" s="290" t="s">
        <v>1005</v>
      </c>
      <c r="D3616" s="290" t="s">
        <v>1006</v>
      </c>
      <c r="E3616" s="373" t="s">
        <v>1007</v>
      </c>
      <c r="F3616" s="363" t="s">
        <v>2637</v>
      </c>
      <c r="G3616" s="291" t="s">
        <v>2638</v>
      </c>
    </row>
    <row r="3617" spans="1:8">
      <c r="A3617" s="294" t="s">
        <v>671</v>
      </c>
      <c r="B3617" s="410" t="s">
        <v>672</v>
      </c>
      <c r="C3617" s="247"/>
      <c r="D3617" s="247"/>
      <c r="E3617" s="372"/>
      <c r="F3617" s="360"/>
      <c r="G3617" s="248"/>
    </row>
    <row r="3618" spans="1:8">
      <c r="A3618" s="294"/>
      <c r="B3618" s="410" t="s">
        <v>673</v>
      </c>
      <c r="C3618" s="247" t="s">
        <v>674</v>
      </c>
      <c r="D3618" s="247" t="s">
        <v>675</v>
      </c>
      <c r="E3618" s="372">
        <v>0.12</v>
      </c>
      <c r="F3618" s="360">
        <f>'UPAD-BAHAN-ALAT'!$I$12</f>
        <v>110000</v>
      </c>
      <c r="G3618" s="248">
        <f>F3618*E3618</f>
        <v>13200</v>
      </c>
    </row>
    <row r="3619" spans="1:8">
      <c r="A3619" s="294"/>
      <c r="B3619" s="410" t="s">
        <v>816</v>
      </c>
      <c r="C3619" s="247" t="s">
        <v>678</v>
      </c>
      <c r="D3619" s="247" t="s">
        <v>675</v>
      </c>
      <c r="E3619" s="372">
        <v>0.12</v>
      </c>
      <c r="F3619" s="360">
        <f>'UPAD-BAHAN-ALAT'!$I$13</f>
        <v>140000</v>
      </c>
      <c r="G3619" s="248">
        <f>F3619*E3619</f>
        <v>16800</v>
      </c>
    </row>
    <row r="3620" spans="1:8">
      <c r="A3620" s="294"/>
      <c r="B3620" s="410" t="s">
        <v>751</v>
      </c>
      <c r="C3620" s="247" t="s">
        <v>681</v>
      </c>
      <c r="D3620" s="247" t="s">
        <v>675</v>
      </c>
      <c r="E3620" s="372">
        <v>1.2E-2</v>
      </c>
      <c r="F3620" s="360">
        <f>'UPAD-BAHAN-ALAT'!$I$15</f>
        <v>150000</v>
      </c>
      <c r="G3620" s="248">
        <f>F3620*E3620</f>
        <v>1800</v>
      </c>
    </row>
    <row r="3621" spans="1:8">
      <c r="A3621" s="294"/>
      <c r="B3621" s="410" t="s">
        <v>683</v>
      </c>
      <c r="C3621" s="247" t="s">
        <v>684</v>
      </c>
      <c r="D3621" s="247" t="s">
        <v>675</v>
      </c>
      <c r="E3621" s="372">
        <v>6.0000000000000001E-3</v>
      </c>
      <c r="F3621" s="360">
        <f>'UPAD-BAHAN-ALAT'!$I$14</f>
        <v>140000</v>
      </c>
      <c r="G3621" s="248">
        <f>F3621*E3621</f>
        <v>840</v>
      </c>
    </row>
    <row r="3622" spans="1:8">
      <c r="A3622" s="294"/>
      <c r="B3622" s="410"/>
      <c r="C3622" s="247"/>
      <c r="D3622" s="247"/>
      <c r="E3622" s="1146" t="s">
        <v>685</v>
      </c>
      <c r="F3622" s="1146"/>
      <c r="G3622" s="248">
        <f>SUM(G3618:G3621)</f>
        <v>32640</v>
      </c>
    </row>
    <row r="3623" spans="1:8">
      <c r="A3623" s="294" t="s">
        <v>686</v>
      </c>
      <c r="B3623" s="410" t="s">
        <v>687</v>
      </c>
      <c r="C3623" s="247"/>
      <c r="D3623" s="247"/>
      <c r="E3623" s="372"/>
      <c r="F3623" s="360"/>
      <c r="G3623" s="248"/>
    </row>
    <row r="3624" spans="1:8">
      <c r="A3624" s="294"/>
      <c r="B3624" s="410" t="s">
        <v>1182</v>
      </c>
      <c r="C3624" s="247"/>
      <c r="D3624" s="247" t="s">
        <v>690</v>
      </c>
      <c r="E3624" s="372">
        <v>5</v>
      </c>
      <c r="F3624" s="360">
        <f>'UPAD-BAHAN-ALAT'!I246</f>
        <v>3750</v>
      </c>
      <c r="G3624" s="248">
        <f>F3624*E3624</f>
        <v>18750</v>
      </c>
    </row>
    <row r="3625" spans="1:8">
      <c r="A3625" s="294"/>
      <c r="B3625" s="410"/>
      <c r="C3625" s="247"/>
      <c r="D3625" s="247"/>
      <c r="E3625" s="1144" t="s">
        <v>702</v>
      </c>
      <c r="F3625" s="1144"/>
      <c r="G3625" s="248">
        <f>SUM(G3624)</f>
        <v>18750</v>
      </c>
    </row>
    <row r="3626" spans="1:8">
      <c r="A3626" s="294" t="s">
        <v>703</v>
      </c>
      <c r="B3626" s="410" t="s">
        <v>704</v>
      </c>
      <c r="C3626" s="247"/>
      <c r="D3626" s="247"/>
      <c r="E3626" s="372"/>
      <c r="F3626" s="360"/>
      <c r="G3626" s="248"/>
    </row>
    <row r="3627" spans="1:8">
      <c r="A3627" s="294"/>
      <c r="B3627" s="410" t="s">
        <v>4673</v>
      </c>
      <c r="C3627" s="247"/>
      <c r="D3627" s="247" t="s">
        <v>2647</v>
      </c>
      <c r="E3627" s="372">
        <v>1</v>
      </c>
      <c r="F3627" s="360">
        <f>'UPAD-BAHAN-ALAT'!$I$285</f>
        <v>22500</v>
      </c>
      <c r="G3627" s="248">
        <f>F3627*E3627</f>
        <v>22500</v>
      </c>
    </row>
    <row r="3628" spans="1:8">
      <c r="A3628" s="294"/>
      <c r="B3628" s="410"/>
      <c r="C3628" s="247"/>
      <c r="D3628" s="247"/>
      <c r="E3628" s="1144" t="s">
        <v>4604</v>
      </c>
      <c r="F3628" s="1144"/>
      <c r="G3628" s="248">
        <f>G3627</f>
        <v>22500</v>
      </c>
    </row>
    <row r="3629" spans="1:8" s="265" customFormat="1">
      <c r="A3629" s="294" t="s">
        <v>706</v>
      </c>
      <c r="B3629" s="1147" t="s">
        <v>707</v>
      </c>
      <c r="C3629" s="1147"/>
      <c r="D3629" s="1147"/>
      <c r="E3629" s="1147"/>
      <c r="F3629" s="1147"/>
      <c r="G3629" s="255">
        <f>G3622+G3625+G3628</f>
        <v>73890</v>
      </c>
    </row>
    <row r="3630" spans="1:8" s="265" customFormat="1">
      <c r="A3630" s="294" t="s">
        <v>708</v>
      </c>
      <c r="B3630" s="1148" t="s">
        <v>876</v>
      </c>
      <c r="C3630" s="1148"/>
      <c r="D3630" s="1148"/>
      <c r="E3630" s="1147" t="s">
        <v>710</v>
      </c>
      <c r="F3630" s="1147"/>
      <c r="G3630" s="255">
        <f>G3629*0.15</f>
        <v>11083.5</v>
      </c>
    </row>
    <row r="3631" spans="1:8" s="265" customFormat="1">
      <c r="A3631" s="294" t="s">
        <v>711</v>
      </c>
      <c r="B3631" s="1149" t="s">
        <v>712</v>
      </c>
      <c r="C3631" s="1149"/>
      <c r="D3631" s="1149"/>
      <c r="E3631" s="1149"/>
      <c r="F3631" s="1149"/>
      <c r="G3631" s="255">
        <f>ROUND(SUM(G3629:G3630),2)</f>
        <v>84973.5</v>
      </c>
      <c r="H3631" s="255">
        <f>SUM(G3629:G3630)</f>
        <v>84973.5</v>
      </c>
    </row>
    <row r="3633" spans="1:8">
      <c r="A3633" s="286" t="s">
        <v>4223</v>
      </c>
      <c r="B3633" s="265" t="s">
        <v>2789</v>
      </c>
    </row>
    <row r="3634" spans="1:8" s="292" customFormat="1" ht="24.95" customHeight="1">
      <c r="A3634" s="290" t="s">
        <v>1003</v>
      </c>
      <c r="B3634" s="290" t="s">
        <v>1004</v>
      </c>
      <c r="C3634" s="290" t="s">
        <v>1005</v>
      </c>
      <c r="D3634" s="290" t="s">
        <v>1006</v>
      </c>
      <c r="E3634" s="373" t="s">
        <v>1007</v>
      </c>
      <c r="F3634" s="363" t="s">
        <v>2637</v>
      </c>
      <c r="G3634" s="291" t="s">
        <v>2638</v>
      </c>
    </row>
    <row r="3635" spans="1:8">
      <c r="A3635" s="294" t="s">
        <v>671</v>
      </c>
      <c r="B3635" s="410" t="s">
        <v>672</v>
      </c>
      <c r="C3635" s="247"/>
      <c r="D3635" s="247"/>
      <c r="E3635" s="372"/>
      <c r="F3635" s="360"/>
      <c r="G3635" s="248"/>
    </row>
    <row r="3636" spans="1:8">
      <c r="A3636" s="294"/>
      <c r="B3636" s="410" t="s">
        <v>673</v>
      </c>
      <c r="C3636" s="247" t="s">
        <v>674</v>
      </c>
      <c r="D3636" s="247" t="s">
        <v>675</v>
      </c>
      <c r="E3636" s="372">
        <v>0.08</v>
      </c>
      <c r="F3636" s="360">
        <f>'UPAD-BAHAN-ALAT'!$I$12</f>
        <v>110000</v>
      </c>
      <c r="G3636" s="248">
        <f>F3636*E3636</f>
        <v>8800</v>
      </c>
    </row>
    <row r="3637" spans="1:8">
      <c r="A3637" s="294"/>
      <c r="B3637" s="410" t="s">
        <v>816</v>
      </c>
      <c r="C3637" s="247" t="s">
        <v>678</v>
      </c>
      <c r="D3637" s="247" t="s">
        <v>675</v>
      </c>
      <c r="E3637" s="372">
        <v>0.08</v>
      </c>
      <c r="F3637" s="360">
        <f>'UPAD-BAHAN-ALAT'!$I$13</f>
        <v>140000</v>
      </c>
      <c r="G3637" s="248">
        <f>F3637*E3637</f>
        <v>11200</v>
      </c>
    </row>
    <row r="3638" spans="1:8">
      <c r="A3638" s="294"/>
      <c r="B3638" s="410" t="s">
        <v>751</v>
      </c>
      <c r="C3638" s="247" t="s">
        <v>681</v>
      </c>
      <c r="D3638" s="247" t="s">
        <v>675</v>
      </c>
      <c r="E3638" s="372">
        <v>8.0000000000000002E-3</v>
      </c>
      <c r="F3638" s="360">
        <f>'UPAD-BAHAN-ALAT'!$I$15</f>
        <v>150000</v>
      </c>
      <c r="G3638" s="248">
        <f>F3638*E3638</f>
        <v>1200</v>
      </c>
    </row>
    <row r="3639" spans="1:8">
      <c r="A3639" s="294"/>
      <c r="B3639" s="410" t="s">
        <v>683</v>
      </c>
      <c r="C3639" s="247" t="s">
        <v>684</v>
      </c>
      <c r="D3639" s="247" t="s">
        <v>675</v>
      </c>
      <c r="E3639" s="372">
        <v>4.0000000000000001E-3</v>
      </c>
      <c r="F3639" s="360">
        <f>'UPAD-BAHAN-ALAT'!$I$14</f>
        <v>140000</v>
      </c>
      <c r="G3639" s="248">
        <f>F3639*E3639</f>
        <v>560</v>
      </c>
    </row>
    <row r="3640" spans="1:8">
      <c r="A3640" s="294"/>
      <c r="B3640" s="410"/>
      <c r="C3640" s="247"/>
      <c r="D3640" s="247"/>
      <c r="E3640" s="1146" t="s">
        <v>685</v>
      </c>
      <c r="F3640" s="1146"/>
      <c r="G3640" s="248">
        <f>SUM(G3636:G3639)</f>
        <v>21760</v>
      </c>
    </row>
    <row r="3641" spans="1:8">
      <c r="A3641" s="294" t="s">
        <v>686</v>
      </c>
      <c r="B3641" s="410" t="s">
        <v>687</v>
      </c>
      <c r="C3641" s="247"/>
      <c r="D3641" s="247"/>
      <c r="E3641" s="372"/>
      <c r="F3641" s="360"/>
      <c r="G3641" s="248"/>
    </row>
    <row r="3642" spans="1:8">
      <c r="A3642" s="294"/>
      <c r="B3642" s="410" t="s">
        <v>1179</v>
      </c>
      <c r="C3642" s="247"/>
      <c r="D3642" s="247" t="s">
        <v>743</v>
      </c>
      <c r="E3642" s="372">
        <v>1.76</v>
      </c>
      <c r="F3642" s="360">
        <f>'UPAD-BAHAN-ALAT'!$I$280</f>
        <v>18000</v>
      </c>
      <c r="G3642" s="248">
        <f>F3642*E3642</f>
        <v>31680</v>
      </c>
    </row>
    <row r="3643" spans="1:8">
      <c r="A3643" s="294"/>
      <c r="B3643" s="410" t="s">
        <v>1158</v>
      </c>
      <c r="C3643" s="247"/>
      <c r="D3643" s="247" t="s">
        <v>690</v>
      </c>
      <c r="E3643" s="372">
        <v>0.08</v>
      </c>
      <c r="F3643" s="360">
        <f>'UPAD-BAHAN-ALAT'!$I$98</f>
        <v>33000</v>
      </c>
      <c r="G3643" s="248">
        <f>F3643*E3643</f>
        <v>2640</v>
      </c>
    </row>
    <row r="3644" spans="1:8">
      <c r="A3644" s="294"/>
      <c r="B3644" s="295"/>
      <c r="C3644" s="296"/>
      <c r="D3644" s="296"/>
      <c r="E3644" s="1146" t="s">
        <v>702</v>
      </c>
      <c r="F3644" s="1146"/>
      <c r="G3644" s="248">
        <f>SUM(G3642:G3643)</f>
        <v>34320</v>
      </c>
    </row>
    <row r="3645" spans="1:8" s="265" customFormat="1">
      <c r="A3645" s="294" t="s">
        <v>703</v>
      </c>
      <c r="B3645" s="1147" t="s">
        <v>3910</v>
      </c>
      <c r="C3645" s="1147"/>
      <c r="D3645" s="1147"/>
      <c r="E3645" s="1147"/>
      <c r="F3645" s="1147"/>
      <c r="G3645" s="255">
        <f>G3640+G3644</f>
        <v>56080</v>
      </c>
    </row>
    <row r="3646" spans="1:8" s="265" customFormat="1">
      <c r="A3646" s="294" t="s">
        <v>706</v>
      </c>
      <c r="B3646" s="1148" t="s">
        <v>876</v>
      </c>
      <c r="C3646" s="1148"/>
      <c r="D3646" s="1148"/>
      <c r="E3646" s="1147" t="s">
        <v>4030</v>
      </c>
      <c r="F3646" s="1147"/>
      <c r="G3646" s="255">
        <f>G3645*0.15</f>
        <v>8412</v>
      </c>
    </row>
    <row r="3647" spans="1:8" s="265" customFormat="1">
      <c r="A3647" s="294" t="s">
        <v>708</v>
      </c>
      <c r="B3647" s="1149" t="s">
        <v>3911</v>
      </c>
      <c r="C3647" s="1149"/>
      <c r="D3647" s="1149"/>
      <c r="E3647" s="1149"/>
      <c r="F3647" s="1149"/>
      <c r="G3647" s="255">
        <f>ROUND(SUM(G3645:G3646),2)</f>
        <v>64492</v>
      </c>
      <c r="H3647" s="255">
        <f>SUM(G3645:G3646)</f>
        <v>64492</v>
      </c>
    </row>
    <row r="3648" spans="1:8">
      <c r="A3648" s="268"/>
      <c r="B3648" s="269"/>
      <c r="C3648" s="268"/>
      <c r="D3648" s="268"/>
      <c r="E3648" s="380"/>
      <c r="F3648" s="365"/>
      <c r="G3648" s="270"/>
    </row>
    <row r="3649" spans="1:8">
      <c r="A3649" s="285" t="s">
        <v>4224</v>
      </c>
      <c r="B3649" s="250" t="s">
        <v>2788</v>
      </c>
      <c r="C3649" s="252"/>
      <c r="D3649" s="252"/>
      <c r="E3649" s="374"/>
      <c r="F3649" s="361"/>
      <c r="G3649" s="253"/>
    </row>
    <row r="3650" spans="1:8" s="292" customFormat="1" ht="24.95" customHeight="1">
      <c r="A3650" s="290" t="s">
        <v>1003</v>
      </c>
      <c r="B3650" s="290" t="s">
        <v>1004</v>
      </c>
      <c r="C3650" s="290" t="s">
        <v>1005</v>
      </c>
      <c r="D3650" s="290" t="s">
        <v>1006</v>
      </c>
      <c r="E3650" s="373" t="s">
        <v>1007</v>
      </c>
      <c r="F3650" s="363" t="s">
        <v>2637</v>
      </c>
      <c r="G3650" s="291" t="s">
        <v>2638</v>
      </c>
    </row>
    <row r="3651" spans="1:8">
      <c r="A3651" s="294" t="s">
        <v>671</v>
      </c>
      <c r="B3651" s="410" t="s">
        <v>672</v>
      </c>
      <c r="C3651" s="247"/>
      <c r="D3651" s="247"/>
      <c r="E3651" s="372"/>
      <c r="F3651" s="360"/>
      <c r="G3651" s="248"/>
    </row>
    <row r="3652" spans="1:8">
      <c r="A3652" s="294"/>
      <c r="B3652" s="410" t="s">
        <v>673</v>
      </c>
      <c r="C3652" s="247" t="s">
        <v>674</v>
      </c>
      <c r="D3652" s="247" t="s">
        <v>675</v>
      </c>
      <c r="E3652" s="372">
        <v>0.12</v>
      </c>
      <c r="F3652" s="360">
        <f>'UPAD-BAHAN-ALAT'!$I$12</f>
        <v>110000</v>
      </c>
      <c r="G3652" s="248">
        <f>F3652*E3652</f>
        <v>13200</v>
      </c>
    </row>
    <row r="3653" spans="1:8">
      <c r="A3653" s="294"/>
      <c r="B3653" s="410" t="s">
        <v>816</v>
      </c>
      <c r="C3653" s="247" t="s">
        <v>678</v>
      </c>
      <c r="D3653" s="247" t="s">
        <v>675</v>
      </c>
      <c r="E3653" s="372">
        <v>0.12</v>
      </c>
      <c r="F3653" s="360">
        <f>'UPAD-BAHAN-ALAT'!$I$13</f>
        <v>140000</v>
      </c>
      <c r="G3653" s="248">
        <f>F3653*E3653</f>
        <v>16800</v>
      </c>
    </row>
    <row r="3654" spans="1:8">
      <c r="A3654" s="294"/>
      <c r="B3654" s="410" t="s">
        <v>751</v>
      </c>
      <c r="C3654" s="247" t="s">
        <v>681</v>
      </c>
      <c r="D3654" s="247" t="s">
        <v>675</v>
      </c>
      <c r="E3654" s="372">
        <v>1.2E-2</v>
      </c>
      <c r="F3654" s="360">
        <f>'UPAD-BAHAN-ALAT'!$I$15</f>
        <v>150000</v>
      </c>
      <c r="G3654" s="248">
        <f>F3654*E3654</f>
        <v>1800</v>
      </c>
    </row>
    <row r="3655" spans="1:8">
      <c r="A3655" s="294"/>
      <c r="B3655" s="410" t="s">
        <v>683</v>
      </c>
      <c r="C3655" s="247" t="s">
        <v>684</v>
      </c>
      <c r="D3655" s="247" t="s">
        <v>675</v>
      </c>
      <c r="E3655" s="372">
        <v>6.0000000000000001E-3</v>
      </c>
      <c r="F3655" s="360">
        <f>'UPAD-BAHAN-ALAT'!$I$14</f>
        <v>140000</v>
      </c>
      <c r="G3655" s="248">
        <f>F3655*E3655</f>
        <v>840</v>
      </c>
    </row>
    <row r="3656" spans="1:8">
      <c r="A3656" s="294"/>
      <c r="B3656" s="410"/>
      <c r="C3656" s="247"/>
      <c r="D3656" s="247"/>
      <c r="E3656" s="1146" t="s">
        <v>685</v>
      </c>
      <c r="F3656" s="1146"/>
      <c r="G3656" s="248">
        <f>SUM(G3652:G3655)</f>
        <v>32640</v>
      </c>
    </row>
    <row r="3657" spans="1:8">
      <c r="A3657" s="294" t="s">
        <v>686</v>
      </c>
      <c r="B3657" s="410" t="s">
        <v>687</v>
      </c>
      <c r="C3657" s="247"/>
      <c r="D3657" s="247"/>
      <c r="E3657" s="372"/>
      <c r="F3657" s="360"/>
      <c r="G3657" s="248"/>
    </row>
    <row r="3658" spans="1:8">
      <c r="A3658" s="294"/>
      <c r="B3658" s="410" t="s">
        <v>1185</v>
      </c>
      <c r="C3658" s="247"/>
      <c r="D3658" s="247" t="s">
        <v>881</v>
      </c>
      <c r="E3658" s="372">
        <v>3.0000000000000001E-3</v>
      </c>
      <c r="F3658" s="360">
        <f>'UPAD-BAHAN-ALAT'!$I$94</f>
        <v>10500000</v>
      </c>
      <c r="G3658" s="248">
        <f>F3658*E3658</f>
        <v>31500</v>
      </c>
    </row>
    <row r="3659" spans="1:8">
      <c r="A3659" s="294"/>
      <c r="B3659" s="410" t="s">
        <v>1186</v>
      </c>
      <c r="C3659" s="247"/>
      <c r="D3659" s="247" t="s">
        <v>690</v>
      </c>
      <c r="E3659" s="372">
        <v>0.05</v>
      </c>
      <c r="F3659" s="360">
        <f>'UPAD-BAHAN-ALAT'!$I$140</f>
        <v>27500</v>
      </c>
      <c r="G3659" s="248">
        <f>F3659*E3659</f>
        <v>1375</v>
      </c>
    </row>
    <row r="3660" spans="1:8">
      <c r="A3660" s="294"/>
      <c r="B3660" s="295"/>
      <c r="C3660" s="296"/>
      <c r="D3660" s="296"/>
      <c r="E3660" s="1146" t="s">
        <v>702</v>
      </c>
      <c r="F3660" s="1146"/>
      <c r="G3660" s="248">
        <f>SUM(G3658:G3659)</f>
        <v>32875</v>
      </c>
    </row>
    <row r="3661" spans="1:8" s="265" customFormat="1">
      <c r="A3661" s="294" t="s">
        <v>703</v>
      </c>
      <c r="B3661" s="1147" t="s">
        <v>3910</v>
      </c>
      <c r="C3661" s="1147"/>
      <c r="D3661" s="1147"/>
      <c r="E3661" s="1147"/>
      <c r="F3661" s="1147"/>
      <c r="G3661" s="255">
        <f>G3656+G3660</f>
        <v>65515</v>
      </c>
    </row>
    <row r="3662" spans="1:8" s="265" customFormat="1">
      <c r="A3662" s="294" t="s">
        <v>706</v>
      </c>
      <c r="B3662" s="1148" t="s">
        <v>876</v>
      </c>
      <c r="C3662" s="1148"/>
      <c r="D3662" s="1148"/>
      <c r="E3662" s="1147" t="s">
        <v>4030</v>
      </c>
      <c r="F3662" s="1147"/>
      <c r="G3662" s="255">
        <f>G3661*0.15</f>
        <v>9827.25</v>
      </c>
    </row>
    <row r="3663" spans="1:8" s="265" customFormat="1">
      <c r="A3663" s="294" t="s">
        <v>708</v>
      </c>
      <c r="B3663" s="1149" t="s">
        <v>3911</v>
      </c>
      <c r="C3663" s="1149"/>
      <c r="D3663" s="1149"/>
      <c r="E3663" s="1149"/>
      <c r="F3663" s="1149"/>
      <c r="G3663" s="255">
        <f>ROUND(SUM(G3661:G3662),2)</f>
        <v>75342.25</v>
      </c>
      <c r="H3663" s="255">
        <f>SUM(G3661:G3662)</f>
        <v>75342.25</v>
      </c>
    </row>
    <row r="3664" spans="1:8">
      <c r="A3664" s="252"/>
      <c r="B3664" s="251"/>
      <c r="C3664" s="252"/>
      <c r="D3664" s="251"/>
      <c r="E3664" s="378"/>
      <c r="F3664" s="364"/>
      <c r="G3664" s="253"/>
    </row>
    <row r="3665" spans="1:8">
      <c r="A3665" s="285" t="s">
        <v>4225</v>
      </c>
      <c r="B3665" s="250" t="s">
        <v>4017</v>
      </c>
      <c r="C3665" s="252"/>
      <c r="D3665" s="252"/>
      <c r="E3665" s="374"/>
      <c r="F3665" s="361"/>
      <c r="G3665" s="253"/>
    </row>
    <row r="3666" spans="1:8" s="292" customFormat="1" ht="24.95" customHeight="1">
      <c r="A3666" s="290" t="s">
        <v>1003</v>
      </c>
      <c r="B3666" s="290" t="s">
        <v>1004</v>
      </c>
      <c r="C3666" s="290" t="s">
        <v>1005</v>
      </c>
      <c r="D3666" s="290" t="s">
        <v>1006</v>
      </c>
      <c r="E3666" s="373" t="s">
        <v>1007</v>
      </c>
      <c r="F3666" s="363" t="s">
        <v>2637</v>
      </c>
      <c r="G3666" s="291" t="s">
        <v>2638</v>
      </c>
    </row>
    <row r="3667" spans="1:8">
      <c r="A3667" s="294" t="s">
        <v>671</v>
      </c>
      <c r="B3667" s="410" t="s">
        <v>672</v>
      </c>
      <c r="C3667" s="247"/>
      <c r="D3667" s="247"/>
      <c r="E3667" s="372"/>
      <c r="F3667" s="360"/>
      <c r="G3667" s="248"/>
    </row>
    <row r="3668" spans="1:8">
      <c r="A3668" s="294"/>
      <c r="B3668" s="410" t="s">
        <v>673</v>
      </c>
      <c r="C3668" s="247" t="s">
        <v>674</v>
      </c>
      <c r="D3668" s="247" t="s">
        <v>675</v>
      </c>
      <c r="E3668" s="372">
        <v>0.25</v>
      </c>
      <c r="F3668" s="360">
        <f>'UPAD-BAHAN-ALAT'!$I$12</f>
        <v>110000</v>
      </c>
      <c r="G3668" s="248">
        <f>F3668*E3668</f>
        <v>27500</v>
      </c>
    </row>
    <row r="3669" spans="1:8">
      <c r="A3669" s="294"/>
      <c r="B3669" s="410" t="s">
        <v>816</v>
      </c>
      <c r="C3669" s="247" t="s">
        <v>678</v>
      </c>
      <c r="D3669" s="247" t="s">
        <v>675</v>
      </c>
      <c r="E3669" s="372">
        <v>0.35</v>
      </c>
      <c r="F3669" s="360">
        <f>'UPAD-BAHAN-ALAT'!$I$13</f>
        <v>140000</v>
      </c>
      <c r="G3669" s="248">
        <f>F3669*E3669</f>
        <v>49000</v>
      </c>
    </row>
    <row r="3670" spans="1:8">
      <c r="A3670" s="294"/>
      <c r="B3670" s="410" t="s">
        <v>751</v>
      </c>
      <c r="C3670" s="247" t="s">
        <v>681</v>
      </c>
      <c r="D3670" s="247" t="s">
        <v>675</v>
      </c>
      <c r="E3670" s="372">
        <v>0.05</v>
      </c>
      <c r="F3670" s="360">
        <f>'UPAD-BAHAN-ALAT'!$I$15</f>
        <v>150000</v>
      </c>
      <c r="G3670" s="248">
        <f>F3670*E3670</f>
        <v>7500</v>
      </c>
    </row>
    <row r="3671" spans="1:8">
      <c r="A3671" s="294"/>
      <c r="B3671" s="410" t="s">
        <v>683</v>
      </c>
      <c r="C3671" s="247" t="s">
        <v>684</v>
      </c>
      <c r="D3671" s="247" t="s">
        <v>675</v>
      </c>
      <c r="E3671" s="372">
        <v>1.2999999999999999E-3</v>
      </c>
      <c r="F3671" s="360">
        <f>'UPAD-BAHAN-ALAT'!$I$14</f>
        <v>140000</v>
      </c>
      <c r="G3671" s="248">
        <f>F3671*E3671</f>
        <v>182</v>
      </c>
    </row>
    <row r="3672" spans="1:8">
      <c r="A3672" s="294"/>
      <c r="B3672" s="410"/>
      <c r="C3672" s="247"/>
      <c r="D3672" s="247"/>
      <c r="E3672" s="1146" t="s">
        <v>685</v>
      </c>
      <c r="F3672" s="1146"/>
      <c r="G3672" s="248">
        <f>SUM(G3668:G3671)</f>
        <v>84182</v>
      </c>
    </row>
    <row r="3673" spans="1:8">
      <c r="A3673" s="294" t="s">
        <v>686</v>
      </c>
      <c r="B3673" s="410" t="s">
        <v>687</v>
      </c>
      <c r="C3673" s="247"/>
      <c r="D3673" s="247"/>
      <c r="E3673" s="372"/>
      <c r="F3673" s="360"/>
      <c r="G3673" s="248"/>
    </row>
    <row r="3674" spans="1:8">
      <c r="A3674" s="294"/>
      <c r="B3674" s="410" t="s">
        <v>3645</v>
      </c>
      <c r="C3674" s="247"/>
      <c r="D3674" s="247" t="s">
        <v>2647</v>
      </c>
      <c r="E3674" s="372">
        <v>1.01</v>
      </c>
      <c r="F3674" s="360">
        <f>'UPAD-BAHAN-ALAT'!$I$244*44</f>
        <v>70400</v>
      </c>
      <c r="G3674" s="248">
        <f>F3674*E3674</f>
        <v>71104</v>
      </c>
    </row>
    <row r="3675" spans="1:8">
      <c r="A3675" s="294"/>
      <c r="B3675" s="410" t="s">
        <v>691</v>
      </c>
      <c r="C3675" s="247"/>
      <c r="D3675" s="247" t="s">
        <v>2646</v>
      </c>
      <c r="E3675" s="372">
        <v>0.05</v>
      </c>
      <c r="F3675" s="360">
        <f>'UPAD-BAHAN-ALAT'!$I$71</f>
        <v>176000</v>
      </c>
      <c r="G3675" s="248">
        <f>F3675*E3675</f>
        <v>8800</v>
      </c>
    </row>
    <row r="3676" spans="1:8">
      <c r="A3676" s="294"/>
      <c r="B3676" s="295"/>
      <c r="C3676" s="296"/>
      <c r="D3676" s="296"/>
      <c r="E3676" s="1146" t="s">
        <v>702</v>
      </c>
      <c r="F3676" s="1146"/>
      <c r="G3676" s="248">
        <f>SUM(G3674:G3675)</f>
        <v>79904</v>
      </c>
    </row>
    <row r="3677" spans="1:8" s="265" customFormat="1">
      <c r="A3677" s="294" t="s">
        <v>703</v>
      </c>
      <c r="B3677" s="1147" t="s">
        <v>3910</v>
      </c>
      <c r="C3677" s="1147"/>
      <c r="D3677" s="1147"/>
      <c r="E3677" s="1147"/>
      <c r="F3677" s="1147"/>
      <c r="G3677" s="255">
        <f>G3672+G3676</f>
        <v>164086</v>
      </c>
    </row>
    <row r="3678" spans="1:8" s="265" customFormat="1">
      <c r="A3678" s="294" t="s">
        <v>706</v>
      </c>
      <c r="B3678" s="1148" t="s">
        <v>876</v>
      </c>
      <c r="C3678" s="1148"/>
      <c r="D3678" s="1148"/>
      <c r="E3678" s="1147" t="s">
        <v>4030</v>
      </c>
      <c r="F3678" s="1147"/>
      <c r="G3678" s="255">
        <f>G3677*0.15</f>
        <v>24612.899999999998</v>
      </c>
    </row>
    <row r="3679" spans="1:8" s="265" customFormat="1">
      <c r="A3679" s="294" t="s">
        <v>708</v>
      </c>
      <c r="B3679" s="1149" t="s">
        <v>3911</v>
      </c>
      <c r="C3679" s="1149"/>
      <c r="D3679" s="1149"/>
      <c r="E3679" s="1149"/>
      <c r="F3679" s="1149"/>
      <c r="G3679" s="255">
        <f>ROUND(SUM(G3677:G3678),2)</f>
        <v>188698.9</v>
      </c>
      <c r="H3679" s="255">
        <f>SUM(G3677:G3678)</f>
        <v>188698.9</v>
      </c>
    </row>
    <row r="3680" spans="1:8">
      <c r="A3680" s="252"/>
      <c r="B3680" s="251"/>
      <c r="C3680" s="252"/>
      <c r="D3680" s="251"/>
      <c r="E3680" s="378"/>
      <c r="F3680" s="364"/>
      <c r="G3680" s="253"/>
    </row>
    <row r="3681" spans="1:8">
      <c r="A3681" s="285" t="s">
        <v>4226</v>
      </c>
      <c r="B3681" s="250" t="s">
        <v>4018</v>
      </c>
      <c r="C3681" s="252"/>
      <c r="D3681" s="252"/>
      <c r="E3681" s="374"/>
      <c r="F3681" s="361"/>
      <c r="G3681" s="253"/>
    </row>
    <row r="3682" spans="1:8" s="292" customFormat="1" ht="24.95" customHeight="1">
      <c r="A3682" s="290" t="s">
        <v>1003</v>
      </c>
      <c r="B3682" s="290" t="s">
        <v>1004</v>
      </c>
      <c r="C3682" s="290" t="s">
        <v>1005</v>
      </c>
      <c r="D3682" s="290" t="s">
        <v>1006</v>
      </c>
      <c r="E3682" s="373" t="s">
        <v>1007</v>
      </c>
      <c r="F3682" s="363" t="s">
        <v>2637</v>
      </c>
      <c r="G3682" s="291" t="s">
        <v>2638</v>
      </c>
    </row>
    <row r="3683" spans="1:8">
      <c r="A3683" s="294" t="s">
        <v>671</v>
      </c>
      <c r="B3683" s="410" t="s">
        <v>672</v>
      </c>
      <c r="C3683" s="247"/>
      <c r="D3683" s="247"/>
      <c r="E3683" s="372"/>
      <c r="F3683" s="360"/>
      <c r="G3683" s="248"/>
    </row>
    <row r="3684" spans="1:8">
      <c r="A3684" s="294"/>
      <c r="B3684" s="410" t="s">
        <v>673</v>
      </c>
      <c r="C3684" s="247" t="s">
        <v>674</v>
      </c>
      <c r="D3684" s="247" t="s">
        <v>675</v>
      </c>
      <c r="E3684" s="372">
        <v>0.3</v>
      </c>
      <c r="F3684" s="360">
        <f>'UPAD-BAHAN-ALAT'!$I$12</f>
        <v>110000</v>
      </c>
      <c r="G3684" s="248">
        <f>F3684*E3684</f>
        <v>33000</v>
      </c>
    </row>
    <row r="3685" spans="1:8">
      <c r="A3685" s="294"/>
      <c r="B3685" s="410" t="s">
        <v>816</v>
      </c>
      <c r="C3685" s="247" t="s">
        <v>678</v>
      </c>
      <c r="D3685" s="247" t="s">
        <v>675</v>
      </c>
      <c r="E3685" s="372">
        <v>0.35</v>
      </c>
      <c r="F3685" s="360">
        <f>'UPAD-BAHAN-ALAT'!$I$13</f>
        <v>140000</v>
      </c>
      <c r="G3685" s="248">
        <f>F3685*E3685</f>
        <v>49000</v>
      </c>
    </row>
    <row r="3686" spans="1:8">
      <c r="A3686" s="294"/>
      <c r="B3686" s="410" t="s">
        <v>751</v>
      </c>
      <c r="C3686" s="247" t="s">
        <v>681</v>
      </c>
      <c r="D3686" s="247" t="s">
        <v>675</v>
      </c>
      <c r="E3686" s="372">
        <v>0.05</v>
      </c>
      <c r="F3686" s="360">
        <f>'UPAD-BAHAN-ALAT'!$I$15</f>
        <v>150000</v>
      </c>
      <c r="G3686" s="248">
        <f>F3686*E3686</f>
        <v>7500</v>
      </c>
    </row>
    <row r="3687" spans="1:8">
      <c r="A3687" s="294"/>
      <c r="B3687" s="410" t="s">
        <v>683</v>
      </c>
      <c r="C3687" s="247" t="s">
        <v>684</v>
      </c>
      <c r="D3687" s="247" t="s">
        <v>675</v>
      </c>
      <c r="E3687" s="372">
        <v>1.2999999999999999E-3</v>
      </c>
      <c r="F3687" s="360">
        <f>'UPAD-BAHAN-ALAT'!$I$14</f>
        <v>140000</v>
      </c>
      <c r="G3687" s="248">
        <f>F3687*E3687</f>
        <v>182</v>
      </c>
    </row>
    <row r="3688" spans="1:8">
      <c r="A3688" s="294"/>
      <c r="B3688" s="410"/>
      <c r="C3688" s="247"/>
      <c r="D3688" s="247"/>
      <c r="E3688" s="1146" t="s">
        <v>685</v>
      </c>
      <c r="F3688" s="1146"/>
      <c r="G3688" s="248">
        <f>SUM(G3684:G3687)</f>
        <v>89682</v>
      </c>
    </row>
    <row r="3689" spans="1:8">
      <c r="A3689" s="294" t="s">
        <v>686</v>
      </c>
      <c r="B3689" s="410" t="s">
        <v>687</v>
      </c>
      <c r="C3689" s="247"/>
      <c r="D3689" s="247"/>
      <c r="E3689" s="372"/>
      <c r="F3689" s="360"/>
      <c r="G3689" s="248"/>
    </row>
    <row r="3690" spans="1:8">
      <c r="A3690" s="294"/>
      <c r="B3690" s="410" t="s">
        <v>3646</v>
      </c>
      <c r="C3690" s="247"/>
      <c r="D3690" s="247" t="s">
        <v>2647</v>
      </c>
      <c r="E3690" s="372">
        <v>1.01</v>
      </c>
      <c r="F3690" s="360">
        <f>'UPAD-BAHAN-ALAT'!$I$245*44</f>
        <v>83600</v>
      </c>
      <c r="G3690" s="248">
        <f>F3690*E3690</f>
        <v>84436</v>
      </c>
    </row>
    <row r="3691" spans="1:8">
      <c r="A3691" s="294"/>
      <c r="B3691" s="410" t="s">
        <v>691</v>
      </c>
      <c r="C3691" s="247"/>
      <c r="D3691" s="247" t="s">
        <v>2646</v>
      </c>
      <c r="E3691" s="372">
        <v>0.05</v>
      </c>
      <c r="F3691" s="360">
        <f>'UPAD-BAHAN-ALAT'!$I$71</f>
        <v>176000</v>
      </c>
      <c r="G3691" s="248">
        <f>F3691*E3691</f>
        <v>8800</v>
      </c>
    </row>
    <row r="3692" spans="1:8">
      <c r="A3692" s="294"/>
      <c r="B3692" s="295"/>
      <c r="C3692" s="296"/>
      <c r="D3692" s="296"/>
      <c r="E3692" s="1146" t="s">
        <v>702</v>
      </c>
      <c r="F3692" s="1146"/>
      <c r="G3692" s="248">
        <f>SUM(G3690:G3691)</f>
        <v>93236</v>
      </c>
    </row>
    <row r="3693" spans="1:8" s="265" customFormat="1">
      <c r="A3693" s="294" t="s">
        <v>703</v>
      </c>
      <c r="B3693" s="1147" t="s">
        <v>3910</v>
      </c>
      <c r="C3693" s="1147"/>
      <c r="D3693" s="1147"/>
      <c r="E3693" s="1147"/>
      <c r="F3693" s="1147"/>
      <c r="G3693" s="255">
        <f>G3688+G3692</f>
        <v>182918</v>
      </c>
    </row>
    <row r="3694" spans="1:8" s="265" customFormat="1">
      <c r="A3694" s="294" t="s">
        <v>706</v>
      </c>
      <c r="B3694" s="1148" t="s">
        <v>876</v>
      </c>
      <c r="C3694" s="1148"/>
      <c r="D3694" s="1148"/>
      <c r="E3694" s="1147" t="s">
        <v>4030</v>
      </c>
      <c r="F3694" s="1147"/>
      <c r="G3694" s="255">
        <f>G3693*0.15</f>
        <v>27437.7</v>
      </c>
    </row>
    <row r="3695" spans="1:8" s="265" customFormat="1">
      <c r="A3695" s="294" t="s">
        <v>708</v>
      </c>
      <c r="B3695" s="1149" t="s">
        <v>3911</v>
      </c>
      <c r="C3695" s="1149"/>
      <c r="D3695" s="1149"/>
      <c r="E3695" s="1149"/>
      <c r="F3695" s="1149"/>
      <c r="G3695" s="255">
        <f>ROUND(SUM(G3693:G3694),2)</f>
        <v>210355.7</v>
      </c>
      <c r="H3695" s="255">
        <f>SUM(G3693:G3694)</f>
        <v>210355.7</v>
      </c>
    </row>
    <row r="3696" spans="1:8">
      <c r="A3696" s="252"/>
      <c r="B3696" s="251"/>
      <c r="C3696" s="252"/>
      <c r="D3696" s="251"/>
      <c r="E3696" s="378"/>
      <c r="F3696" s="364"/>
      <c r="G3696" s="253"/>
    </row>
    <row r="3697" spans="1:7">
      <c r="A3697" s="285" t="s">
        <v>3545</v>
      </c>
      <c r="B3697" s="250" t="s">
        <v>3546</v>
      </c>
      <c r="C3697" s="252"/>
      <c r="D3697" s="252"/>
      <c r="E3697" s="374"/>
      <c r="F3697" s="361"/>
      <c r="G3697" s="253"/>
    </row>
    <row r="3698" spans="1:7" s="292" customFormat="1" ht="24.95" customHeight="1">
      <c r="A3698" s="290" t="s">
        <v>1003</v>
      </c>
      <c r="B3698" s="290" t="s">
        <v>1004</v>
      </c>
      <c r="C3698" s="290" t="s">
        <v>1005</v>
      </c>
      <c r="D3698" s="290" t="s">
        <v>1006</v>
      </c>
      <c r="E3698" s="373" t="s">
        <v>1007</v>
      </c>
      <c r="F3698" s="363" t="s">
        <v>2637</v>
      </c>
      <c r="G3698" s="291" t="s">
        <v>2638</v>
      </c>
    </row>
    <row r="3699" spans="1:7" s="292" customFormat="1">
      <c r="A3699" s="414" t="s">
        <v>671</v>
      </c>
      <c r="B3699" s="295" t="s">
        <v>672</v>
      </c>
      <c r="C3699" s="414"/>
      <c r="D3699" s="708"/>
      <c r="E3699" s="709"/>
      <c r="F3699" s="710"/>
      <c r="G3699" s="711"/>
    </row>
    <row r="3700" spans="1:7" s="292" customFormat="1">
      <c r="A3700" s="290"/>
      <c r="B3700" s="415" t="s">
        <v>3548</v>
      </c>
      <c r="C3700" s="247"/>
      <c r="D3700" s="416" t="s">
        <v>3550</v>
      </c>
      <c r="E3700" s="417">
        <v>1</v>
      </c>
      <c r="F3700" s="360">
        <v>110000</v>
      </c>
      <c r="G3700" s="248">
        <f t="shared" ref="G3700" si="26">F3700*E3700</f>
        <v>110000</v>
      </c>
    </row>
    <row r="3701" spans="1:7" s="292" customFormat="1">
      <c r="A3701" s="290"/>
      <c r="B3701" s="415"/>
      <c r="C3701" s="247"/>
      <c r="D3701" s="416"/>
      <c r="E3701" s="1146" t="s">
        <v>685</v>
      </c>
      <c r="F3701" s="1146"/>
      <c r="G3701" s="248">
        <f>SUM(G3700)</f>
        <v>110000</v>
      </c>
    </row>
    <row r="3702" spans="1:7" s="292" customFormat="1">
      <c r="A3702" s="290" t="s">
        <v>686</v>
      </c>
      <c r="B3702" s="410" t="s">
        <v>687</v>
      </c>
      <c r="C3702" s="247"/>
      <c r="D3702" s="416"/>
      <c r="E3702" s="417"/>
      <c r="F3702" s="360"/>
      <c r="G3702" s="248"/>
    </row>
    <row r="3703" spans="1:7">
      <c r="A3703" s="247"/>
      <c r="B3703" s="415" t="s">
        <v>4732</v>
      </c>
      <c r="C3703" s="247"/>
      <c r="D3703" s="416" t="s">
        <v>3365</v>
      </c>
      <c r="E3703" s="426">
        <v>7.8</v>
      </c>
      <c r="F3703" s="360">
        <f>'UPAD-BAHAN-ALAT'!$I$155</f>
        <v>56000</v>
      </c>
      <c r="G3703" s="248">
        <f t="shared" ref="G3703:G3710" si="27">F3703*E3703</f>
        <v>436800</v>
      </c>
    </row>
    <row r="3704" spans="1:7">
      <c r="A3704" s="247"/>
      <c r="B3704" s="415" t="s">
        <v>3547</v>
      </c>
      <c r="C3704" s="247"/>
      <c r="D3704" s="416" t="s">
        <v>690</v>
      </c>
      <c r="E3704" s="417">
        <v>2.93</v>
      </c>
      <c r="F3704" s="360">
        <f>'UPAD-BAHAN-ALAT'!$I$114</f>
        <v>15750</v>
      </c>
      <c r="G3704" s="248">
        <f t="shared" si="27"/>
        <v>46147.5</v>
      </c>
    </row>
    <row r="3705" spans="1:7">
      <c r="A3705" s="247"/>
      <c r="B3705" s="415" t="s">
        <v>3007</v>
      </c>
      <c r="C3705" s="247"/>
      <c r="D3705" s="416" t="s">
        <v>1264</v>
      </c>
      <c r="E3705" s="417">
        <v>1.05</v>
      </c>
      <c r="F3705" s="360">
        <f>'UPAD-BAHAN-ALAT'!$I$156</f>
        <v>320000</v>
      </c>
      <c r="G3705" s="248">
        <f t="shared" si="27"/>
        <v>336000</v>
      </c>
    </row>
    <row r="3706" spans="1:7">
      <c r="A3706" s="247"/>
      <c r="B3706" s="415" t="s">
        <v>3008</v>
      </c>
      <c r="C3706" s="247"/>
      <c r="D3706" s="416" t="s">
        <v>1423</v>
      </c>
      <c r="E3706" s="417">
        <v>8</v>
      </c>
      <c r="F3706" s="360">
        <f>'UPAD-BAHAN-ALAT'!$I$157</f>
        <v>6800</v>
      </c>
      <c r="G3706" s="248">
        <f t="shared" si="27"/>
        <v>54400</v>
      </c>
    </row>
    <row r="3707" spans="1:7">
      <c r="A3707" s="247"/>
      <c r="B3707" s="415" t="s">
        <v>3009</v>
      </c>
      <c r="C3707" s="247"/>
      <c r="D3707" s="416" t="s">
        <v>1423</v>
      </c>
      <c r="E3707" s="417">
        <v>2.4</v>
      </c>
      <c r="F3707" s="360">
        <f>'UPAD-BAHAN-ALAT'!$I$158</f>
        <v>10000</v>
      </c>
      <c r="G3707" s="248">
        <f t="shared" si="27"/>
        <v>24000</v>
      </c>
    </row>
    <row r="3708" spans="1:7">
      <c r="A3708" s="247"/>
      <c r="B3708" s="415"/>
      <c r="C3708" s="247"/>
      <c r="D3708" s="416"/>
      <c r="E3708" s="1144" t="s">
        <v>702</v>
      </c>
      <c r="F3708" s="1144"/>
      <c r="G3708" s="248">
        <f>SUM(G3703:G3707)</f>
        <v>897347.5</v>
      </c>
    </row>
    <row r="3709" spans="1:7" s="265" customFormat="1">
      <c r="A3709" s="294" t="s">
        <v>703</v>
      </c>
      <c r="B3709" s="410" t="s">
        <v>704</v>
      </c>
      <c r="C3709" s="294"/>
      <c r="D3709" s="712"/>
      <c r="E3709" s="713"/>
      <c r="F3709" s="714"/>
      <c r="G3709" s="255"/>
    </row>
    <row r="3710" spans="1:7">
      <c r="A3710" s="247"/>
      <c r="B3710" s="415" t="s">
        <v>3549</v>
      </c>
      <c r="C3710" s="247"/>
      <c r="D3710" s="416" t="s">
        <v>3550</v>
      </c>
      <c r="E3710" s="417">
        <v>1</v>
      </c>
      <c r="F3710" s="360">
        <v>25000</v>
      </c>
      <c r="G3710" s="248">
        <f t="shared" si="27"/>
        <v>25000</v>
      </c>
    </row>
    <row r="3711" spans="1:7">
      <c r="A3711" s="715"/>
      <c r="B3711" s="410"/>
      <c r="C3711" s="247"/>
      <c r="D3711" s="247"/>
      <c r="E3711" s="1144" t="s">
        <v>705</v>
      </c>
      <c r="F3711" s="1144"/>
      <c r="G3711" s="248">
        <f>SUM(G3710)</f>
        <v>25000</v>
      </c>
    </row>
    <row r="3712" spans="1:7" s="265" customFormat="1">
      <c r="A3712" s="294" t="s">
        <v>706</v>
      </c>
      <c r="B3712" s="1151" t="s">
        <v>707</v>
      </c>
      <c r="C3712" s="1151"/>
      <c r="D3712" s="1151"/>
      <c r="E3712" s="1151"/>
      <c r="F3712" s="1151"/>
      <c r="G3712" s="255">
        <f>G3701+G3708+G3711</f>
        <v>1032347.5</v>
      </c>
    </row>
    <row r="3713" spans="1:8" s="265" customFormat="1">
      <c r="A3713" s="294" t="s">
        <v>708</v>
      </c>
      <c r="B3713" s="1148" t="s">
        <v>876</v>
      </c>
      <c r="C3713" s="1148"/>
      <c r="D3713" s="1148"/>
      <c r="E3713" s="1147" t="s">
        <v>4030</v>
      </c>
      <c r="F3713" s="1147"/>
      <c r="G3713" s="255">
        <f>G3712*0.15</f>
        <v>154852.125</v>
      </c>
    </row>
    <row r="3714" spans="1:8" s="265" customFormat="1">
      <c r="A3714" s="294" t="s">
        <v>711</v>
      </c>
      <c r="B3714" s="1149" t="s">
        <v>712</v>
      </c>
      <c r="C3714" s="1149"/>
      <c r="D3714" s="1149"/>
      <c r="E3714" s="1149"/>
      <c r="F3714" s="1149"/>
      <c r="G3714" s="255">
        <f>ROUND(SUM(G3712:G3713),2)</f>
        <v>1187199.6299999999</v>
      </c>
      <c r="H3714" s="255">
        <f>SUM(G3712:G3713)</f>
        <v>1187199.625</v>
      </c>
    </row>
    <row r="3715" spans="1:8">
      <c r="A3715" s="252"/>
      <c r="B3715" s="251"/>
      <c r="C3715" s="252"/>
      <c r="D3715" s="251"/>
      <c r="E3715" s="378"/>
      <c r="F3715" s="364"/>
      <c r="G3715" s="253"/>
    </row>
    <row r="3716" spans="1:8">
      <c r="A3716" s="285" t="s">
        <v>3551</v>
      </c>
      <c r="B3716" s="250" t="s">
        <v>3552</v>
      </c>
      <c r="C3716" s="252"/>
      <c r="D3716" s="252"/>
      <c r="E3716" s="374"/>
      <c r="F3716" s="361"/>
      <c r="G3716" s="253"/>
    </row>
    <row r="3717" spans="1:8" s="292" customFormat="1" ht="24.95" customHeight="1">
      <c r="A3717" s="290" t="s">
        <v>1003</v>
      </c>
      <c r="B3717" s="290" t="s">
        <v>1004</v>
      </c>
      <c r="C3717" s="290" t="s">
        <v>1005</v>
      </c>
      <c r="D3717" s="290" t="s">
        <v>1006</v>
      </c>
      <c r="E3717" s="373" t="s">
        <v>1007</v>
      </c>
      <c r="F3717" s="363" t="s">
        <v>2637</v>
      </c>
      <c r="G3717" s="291" t="s">
        <v>2638</v>
      </c>
    </row>
    <row r="3718" spans="1:8" s="292" customFormat="1">
      <c r="A3718" s="414" t="s">
        <v>671</v>
      </c>
      <c r="B3718" s="295" t="s">
        <v>672</v>
      </c>
      <c r="C3718" s="290"/>
      <c r="D3718" s="290"/>
      <c r="E3718" s="373"/>
      <c r="F3718" s="363"/>
      <c r="G3718" s="291"/>
    </row>
    <row r="3719" spans="1:8" s="292" customFormat="1">
      <c r="A3719" s="290"/>
      <c r="B3719" s="415" t="s">
        <v>673</v>
      </c>
      <c r="C3719" s="247" t="s">
        <v>674</v>
      </c>
      <c r="D3719" s="416" t="s">
        <v>3555</v>
      </c>
      <c r="E3719" s="417">
        <v>0.35</v>
      </c>
      <c r="F3719" s="360">
        <f>'UPAD-BAHAN-ALAT'!$I$12</f>
        <v>110000</v>
      </c>
      <c r="G3719" s="248">
        <f t="shared" ref="G3719:G3722" si="28">F3719*E3719</f>
        <v>38500</v>
      </c>
    </row>
    <row r="3720" spans="1:8" s="292" customFormat="1">
      <c r="A3720" s="290"/>
      <c r="B3720" s="415" t="s">
        <v>782</v>
      </c>
      <c r="C3720" s="247" t="s">
        <v>678</v>
      </c>
      <c r="D3720" s="416" t="s">
        <v>3555</v>
      </c>
      <c r="E3720" s="417">
        <v>0.35</v>
      </c>
      <c r="F3720" s="360">
        <f>'UPAD-BAHAN-ALAT'!$I$13</f>
        <v>140000</v>
      </c>
      <c r="G3720" s="248">
        <f t="shared" si="28"/>
        <v>49000</v>
      </c>
    </row>
    <row r="3721" spans="1:8" s="292" customFormat="1">
      <c r="A3721" s="290"/>
      <c r="B3721" s="418" t="s">
        <v>680</v>
      </c>
      <c r="C3721" s="247" t="s">
        <v>681</v>
      </c>
      <c r="D3721" s="419" t="s">
        <v>3555</v>
      </c>
      <c r="E3721" s="420">
        <v>3.5000000000000003E-2</v>
      </c>
      <c r="F3721" s="360">
        <f>'UPAD-BAHAN-ALAT'!$I$15</f>
        <v>150000</v>
      </c>
      <c r="G3721" s="421">
        <f t="shared" si="28"/>
        <v>5250.0000000000009</v>
      </c>
    </row>
    <row r="3722" spans="1:8" s="292" customFormat="1">
      <c r="A3722" s="290"/>
      <c r="B3722" s="422" t="s">
        <v>683</v>
      </c>
      <c r="C3722" s="247" t="s">
        <v>684</v>
      </c>
      <c r="D3722" s="423" t="s">
        <v>3555</v>
      </c>
      <c r="E3722" s="424">
        <v>3.5000000000000001E-3</v>
      </c>
      <c r="F3722" s="360">
        <f>'UPAD-BAHAN-ALAT'!$I$14</f>
        <v>140000</v>
      </c>
      <c r="G3722" s="248">
        <f t="shared" si="28"/>
        <v>490</v>
      </c>
    </row>
    <row r="3723" spans="1:8" s="292" customFormat="1">
      <c r="A3723" s="290"/>
      <c r="B3723" s="290"/>
      <c r="C3723" s="290"/>
      <c r="D3723" s="290"/>
      <c r="E3723" s="1146" t="s">
        <v>685</v>
      </c>
      <c r="F3723" s="1146"/>
      <c r="G3723" s="371">
        <f>SUM(G3719:G3722)</f>
        <v>93240</v>
      </c>
    </row>
    <row r="3724" spans="1:8" s="292" customFormat="1">
      <c r="A3724" s="290" t="s">
        <v>686</v>
      </c>
      <c r="B3724" s="410" t="s">
        <v>687</v>
      </c>
      <c r="C3724" s="290"/>
      <c r="D3724" s="290"/>
      <c r="E3724" s="373"/>
      <c r="F3724" s="363"/>
      <c r="G3724" s="291"/>
    </row>
    <row r="3725" spans="1:8">
      <c r="A3725" s="425"/>
      <c r="B3725" s="415" t="s">
        <v>3553</v>
      </c>
      <c r="C3725" s="247"/>
      <c r="D3725" s="416" t="s">
        <v>1264</v>
      </c>
      <c r="E3725" s="426">
        <v>1.1000000000000001</v>
      </c>
      <c r="F3725" s="360">
        <f>'UPAD-BAHAN-ALAT'!$I$507</f>
        <v>75000</v>
      </c>
      <c r="G3725" s="248">
        <f t="shared" ref="G3725:G3726" si="29">F3725*E3725</f>
        <v>82500</v>
      </c>
    </row>
    <row r="3726" spans="1:8">
      <c r="A3726" s="425"/>
      <c r="B3726" s="415" t="s">
        <v>3554</v>
      </c>
      <c r="C3726" s="247"/>
      <c r="D3726" s="416" t="s">
        <v>773</v>
      </c>
      <c r="E3726" s="417">
        <v>1.1000000000000001</v>
      </c>
      <c r="F3726" s="360">
        <f>'UPAD-BAHAN-ALAT'!$I$508</f>
        <v>22000</v>
      </c>
      <c r="G3726" s="248">
        <f t="shared" si="29"/>
        <v>24200.000000000004</v>
      </c>
    </row>
    <row r="3727" spans="1:8">
      <c r="A3727" s="247"/>
      <c r="B3727" s="410"/>
      <c r="C3727" s="247"/>
      <c r="D3727" s="247"/>
      <c r="E3727" s="1144" t="s">
        <v>702</v>
      </c>
      <c r="F3727" s="1144"/>
      <c r="G3727" s="248">
        <f>SUM(G3725:G3726)</f>
        <v>106700</v>
      </c>
    </row>
    <row r="3728" spans="1:8" s="265" customFormat="1">
      <c r="A3728" s="294" t="s">
        <v>703</v>
      </c>
      <c r="B3728" s="1151" t="s">
        <v>3910</v>
      </c>
      <c r="C3728" s="1151"/>
      <c r="D3728" s="1151"/>
      <c r="E3728" s="1151"/>
      <c r="F3728" s="1151"/>
      <c r="G3728" s="255">
        <f>G3723+G3727</f>
        <v>199940</v>
      </c>
    </row>
    <row r="3729" spans="1:8" s="265" customFormat="1">
      <c r="A3729" s="294" t="s">
        <v>706</v>
      </c>
      <c r="B3729" s="1148" t="s">
        <v>876</v>
      </c>
      <c r="C3729" s="1148"/>
      <c r="D3729" s="1148"/>
      <c r="E3729" s="1147" t="s">
        <v>4030</v>
      </c>
      <c r="F3729" s="1147"/>
      <c r="G3729" s="255">
        <f>G3728*0.15</f>
        <v>29991</v>
      </c>
    </row>
    <row r="3730" spans="1:8" s="265" customFormat="1">
      <c r="A3730" s="294" t="s">
        <v>708</v>
      </c>
      <c r="B3730" s="1149" t="s">
        <v>3911</v>
      </c>
      <c r="C3730" s="1149"/>
      <c r="D3730" s="1149"/>
      <c r="E3730" s="1149"/>
      <c r="F3730" s="1149"/>
      <c r="G3730" s="255">
        <f>ROUND(SUM(G3728:G3729),2)</f>
        <v>229931</v>
      </c>
      <c r="H3730" s="255">
        <f>SUM(G3728:G3729)</f>
        <v>229931</v>
      </c>
    </row>
    <row r="3732" spans="1:8">
      <c r="A3732" s="285" t="s">
        <v>4605</v>
      </c>
      <c r="B3732" s="250" t="s">
        <v>4606</v>
      </c>
      <c r="C3732" s="252"/>
      <c r="D3732" s="252"/>
      <c r="E3732" s="374"/>
      <c r="F3732" s="361"/>
      <c r="G3732" s="253"/>
    </row>
    <row r="3733" spans="1:8">
      <c r="A3733" s="290" t="s">
        <v>1003</v>
      </c>
      <c r="B3733" s="290" t="s">
        <v>1004</v>
      </c>
      <c r="C3733" s="290" t="s">
        <v>1005</v>
      </c>
      <c r="D3733" s="290" t="s">
        <v>1006</v>
      </c>
      <c r="E3733" s="373" t="s">
        <v>1007</v>
      </c>
      <c r="F3733" s="363" t="s">
        <v>2637</v>
      </c>
      <c r="G3733" s="291" t="s">
        <v>2638</v>
      </c>
    </row>
    <row r="3734" spans="1:8">
      <c r="A3734" s="414" t="s">
        <v>671</v>
      </c>
      <c r="B3734" s="295" t="s">
        <v>672</v>
      </c>
      <c r="C3734" s="290"/>
      <c r="D3734" s="290"/>
      <c r="E3734" s="373"/>
      <c r="F3734" s="363"/>
      <c r="G3734" s="291"/>
    </row>
    <row r="3735" spans="1:8">
      <c r="A3735" s="290"/>
      <c r="B3735" s="415" t="s">
        <v>673</v>
      </c>
      <c r="C3735" s="247" t="s">
        <v>674</v>
      </c>
      <c r="D3735" s="416" t="s">
        <v>3555</v>
      </c>
      <c r="E3735" s="417">
        <v>0.35</v>
      </c>
      <c r="F3735" s="360">
        <f>'UPAD-BAHAN-ALAT'!$I$12</f>
        <v>110000</v>
      </c>
      <c r="G3735" s="248">
        <f t="shared" ref="G3735:G3738" si="30">F3735*E3735</f>
        <v>38500</v>
      </c>
    </row>
    <row r="3736" spans="1:8">
      <c r="A3736" s="290"/>
      <c r="B3736" s="415" t="s">
        <v>782</v>
      </c>
      <c r="C3736" s="247" t="s">
        <v>678</v>
      </c>
      <c r="D3736" s="416" t="s">
        <v>3555</v>
      </c>
      <c r="E3736" s="417">
        <v>0.35</v>
      </c>
      <c r="F3736" s="360">
        <f>'UPAD-BAHAN-ALAT'!$I$13</f>
        <v>140000</v>
      </c>
      <c r="G3736" s="248">
        <f t="shared" si="30"/>
        <v>49000</v>
      </c>
    </row>
    <row r="3737" spans="1:8">
      <c r="A3737" s="290"/>
      <c r="B3737" s="418" t="s">
        <v>680</v>
      </c>
      <c r="C3737" s="247" t="s">
        <v>681</v>
      </c>
      <c r="D3737" s="419" t="s">
        <v>3555</v>
      </c>
      <c r="E3737" s="420">
        <v>3.5000000000000003E-2</v>
      </c>
      <c r="F3737" s="360">
        <f>'UPAD-BAHAN-ALAT'!$I$15</f>
        <v>150000</v>
      </c>
      <c r="G3737" s="421">
        <f t="shared" si="30"/>
        <v>5250.0000000000009</v>
      </c>
    </row>
    <row r="3738" spans="1:8">
      <c r="A3738" s="290"/>
      <c r="B3738" s="422" t="s">
        <v>683</v>
      </c>
      <c r="C3738" s="247" t="s">
        <v>684</v>
      </c>
      <c r="D3738" s="423" t="s">
        <v>3555</v>
      </c>
      <c r="E3738" s="424">
        <v>1.7999999999999999E-2</v>
      </c>
      <c r="F3738" s="360">
        <f>'UPAD-BAHAN-ALAT'!$I$14</f>
        <v>140000</v>
      </c>
      <c r="G3738" s="248">
        <f t="shared" si="30"/>
        <v>2520</v>
      </c>
    </row>
    <row r="3739" spans="1:8">
      <c r="A3739" s="290"/>
      <c r="B3739" s="290"/>
      <c r="C3739" s="290"/>
      <c r="D3739" s="290"/>
      <c r="E3739" s="1146" t="s">
        <v>685</v>
      </c>
      <c r="F3739" s="1146"/>
      <c r="G3739" s="371">
        <f>SUM(G3735:G3738)</f>
        <v>95270</v>
      </c>
    </row>
    <row r="3740" spans="1:8">
      <c r="A3740" s="290" t="s">
        <v>686</v>
      </c>
      <c r="B3740" s="410" t="s">
        <v>687</v>
      </c>
      <c r="C3740" s="290"/>
      <c r="D3740" s="290"/>
      <c r="E3740" s="373"/>
      <c r="F3740" s="363"/>
      <c r="G3740" s="291"/>
    </row>
    <row r="3741" spans="1:8">
      <c r="A3741" s="425"/>
      <c r="B3741" s="415" t="s">
        <v>4607</v>
      </c>
      <c r="C3741" s="247"/>
      <c r="D3741" s="416" t="s">
        <v>2970</v>
      </c>
      <c r="E3741" s="426">
        <f>3.63+0.5775</f>
        <v>4.2074999999999996</v>
      </c>
      <c r="F3741" s="360">
        <f>'UPAD-BAHAN-ALAT'!$I$117</f>
        <v>31500</v>
      </c>
      <c r="G3741" s="248">
        <f t="shared" ref="G3741:G3742" si="31">F3741*E3741</f>
        <v>132536.25</v>
      </c>
    </row>
    <row r="3742" spans="1:8">
      <c r="A3742" s="425"/>
      <c r="B3742" s="415" t="s">
        <v>4608</v>
      </c>
      <c r="C3742" s="247"/>
      <c r="D3742" s="416" t="s">
        <v>2647</v>
      </c>
      <c r="E3742" s="426">
        <v>1.05</v>
      </c>
      <c r="F3742" s="360">
        <f>'UPAD-BAHAN-ALAT'!$I$283</f>
        <v>550000</v>
      </c>
      <c r="G3742" s="248">
        <f t="shared" si="31"/>
        <v>577500</v>
      </c>
    </row>
    <row r="3743" spans="1:8">
      <c r="A3743" s="425"/>
      <c r="B3743" s="415" t="s">
        <v>3464</v>
      </c>
      <c r="C3743" s="247"/>
      <c r="D3743" s="416" t="s">
        <v>3659</v>
      </c>
      <c r="E3743" s="417" t="s">
        <v>1012</v>
      </c>
      <c r="F3743" s="360">
        <f>$G$3741</f>
        <v>132536.25</v>
      </c>
      <c r="G3743" s="248">
        <f>$F$3743</f>
        <v>132536.25</v>
      </c>
    </row>
    <row r="3744" spans="1:8">
      <c r="A3744" s="247"/>
      <c r="B3744" s="410"/>
      <c r="C3744" s="247"/>
      <c r="D3744" s="247"/>
      <c r="E3744" s="1144" t="s">
        <v>702</v>
      </c>
      <c r="F3744" s="1144"/>
      <c r="G3744" s="248">
        <f>SUM(G3741:G3743)</f>
        <v>842572.5</v>
      </c>
    </row>
    <row r="3745" spans="1:7">
      <c r="A3745" s="294" t="s">
        <v>703</v>
      </c>
      <c r="B3745" s="1151" t="s">
        <v>3910</v>
      </c>
      <c r="C3745" s="1151"/>
      <c r="D3745" s="1151"/>
      <c r="E3745" s="1151"/>
      <c r="F3745" s="1151"/>
      <c r="G3745" s="255">
        <f>G3739+G3744</f>
        <v>937842.5</v>
      </c>
    </row>
    <row r="3746" spans="1:7">
      <c r="A3746" s="294" t="s">
        <v>706</v>
      </c>
      <c r="B3746" s="1148" t="s">
        <v>876</v>
      </c>
      <c r="C3746" s="1148"/>
      <c r="D3746" s="1148"/>
      <c r="E3746" s="1147" t="s">
        <v>4030</v>
      </c>
      <c r="F3746" s="1147"/>
      <c r="G3746" s="255">
        <f>G3745*0.15</f>
        <v>140676.375</v>
      </c>
    </row>
    <row r="3747" spans="1:7">
      <c r="A3747" s="294" t="s">
        <v>708</v>
      </c>
      <c r="B3747" s="1149" t="s">
        <v>3911</v>
      </c>
      <c r="C3747" s="1149"/>
      <c r="D3747" s="1149"/>
      <c r="E3747" s="1149"/>
      <c r="F3747" s="1149"/>
      <c r="G3747" s="255">
        <f>ROUND(SUM(G3745:G3746),2)</f>
        <v>1078518.8799999999</v>
      </c>
    </row>
    <row r="3748" spans="1:7">
      <c r="A3748" s="354"/>
      <c r="B3748" s="250"/>
      <c r="C3748" s="250"/>
      <c r="D3748" s="250"/>
      <c r="E3748" s="250"/>
      <c r="F3748" s="250"/>
      <c r="G3748" s="352"/>
    </row>
    <row r="3749" spans="1:7">
      <c r="A3749" s="285" t="s">
        <v>4746</v>
      </c>
      <c r="B3749" s="250" t="s">
        <v>4747</v>
      </c>
      <c r="C3749" s="252"/>
      <c r="D3749" s="252"/>
      <c r="E3749" s="374"/>
      <c r="F3749" s="361"/>
      <c r="G3749" s="253"/>
    </row>
    <row r="3750" spans="1:7">
      <c r="A3750" s="290" t="s">
        <v>1003</v>
      </c>
      <c r="B3750" s="290" t="s">
        <v>1004</v>
      </c>
      <c r="C3750" s="290" t="s">
        <v>1005</v>
      </c>
      <c r="D3750" s="290" t="s">
        <v>1006</v>
      </c>
      <c r="E3750" s="373" t="s">
        <v>1007</v>
      </c>
      <c r="F3750" s="363" t="s">
        <v>2637</v>
      </c>
      <c r="G3750" s="291" t="s">
        <v>2638</v>
      </c>
    </row>
    <row r="3751" spans="1:7">
      <c r="A3751" s="414" t="s">
        <v>671</v>
      </c>
      <c r="B3751" s="791" t="s">
        <v>672</v>
      </c>
      <c r="C3751" s="290"/>
      <c r="D3751" s="290"/>
      <c r="E3751" s="373"/>
      <c r="F3751" s="363"/>
      <c r="G3751" s="291"/>
    </row>
    <row r="3752" spans="1:7">
      <c r="A3752" s="290"/>
      <c r="B3752" s="415" t="s">
        <v>673</v>
      </c>
      <c r="C3752" s="247" t="s">
        <v>674</v>
      </c>
      <c r="D3752" s="416" t="s">
        <v>3555</v>
      </c>
      <c r="E3752" s="417">
        <v>0.35</v>
      </c>
      <c r="F3752" s="360">
        <f>'UPAD-BAHAN-ALAT'!$I$12</f>
        <v>110000</v>
      </c>
      <c r="G3752" s="248">
        <f t="shared" ref="G3752:G3755" si="32">F3752*E3752</f>
        <v>38500</v>
      </c>
    </row>
    <row r="3753" spans="1:7">
      <c r="A3753" s="290"/>
      <c r="B3753" s="415" t="s">
        <v>782</v>
      </c>
      <c r="C3753" s="247" t="s">
        <v>678</v>
      </c>
      <c r="D3753" s="416" t="s">
        <v>3555</v>
      </c>
      <c r="E3753" s="417">
        <v>0.35</v>
      </c>
      <c r="F3753" s="360">
        <f>'UPAD-BAHAN-ALAT'!$I$13</f>
        <v>140000</v>
      </c>
      <c r="G3753" s="248">
        <f t="shared" si="32"/>
        <v>49000</v>
      </c>
    </row>
    <row r="3754" spans="1:7">
      <c r="A3754" s="290"/>
      <c r="B3754" s="418" t="s">
        <v>680</v>
      </c>
      <c r="C3754" s="247" t="s">
        <v>681</v>
      </c>
      <c r="D3754" s="419" t="s">
        <v>3555</v>
      </c>
      <c r="E3754" s="420">
        <v>3.5000000000000003E-2</v>
      </c>
      <c r="F3754" s="360">
        <f>'UPAD-BAHAN-ALAT'!$I$15</f>
        <v>150000</v>
      </c>
      <c r="G3754" s="421">
        <f t="shared" si="32"/>
        <v>5250.0000000000009</v>
      </c>
    </row>
    <row r="3755" spans="1:7">
      <c r="A3755" s="290"/>
      <c r="B3755" s="422" t="s">
        <v>683</v>
      </c>
      <c r="C3755" s="247" t="s">
        <v>684</v>
      </c>
      <c r="D3755" s="423" t="s">
        <v>3555</v>
      </c>
      <c r="E3755" s="424">
        <v>1.7999999999999999E-2</v>
      </c>
      <c r="F3755" s="360">
        <f>'UPAD-BAHAN-ALAT'!$I$14</f>
        <v>140000</v>
      </c>
      <c r="G3755" s="248">
        <f t="shared" si="32"/>
        <v>2520</v>
      </c>
    </row>
    <row r="3756" spans="1:7">
      <c r="A3756" s="290"/>
      <c r="B3756" s="290"/>
      <c r="C3756" s="290"/>
      <c r="D3756" s="290"/>
      <c r="E3756" s="1146" t="s">
        <v>685</v>
      </c>
      <c r="F3756" s="1146"/>
      <c r="G3756" s="371">
        <f>SUM(G3752:G3755)</f>
        <v>95270</v>
      </c>
    </row>
    <row r="3757" spans="1:7">
      <c r="A3757" s="290" t="s">
        <v>686</v>
      </c>
      <c r="B3757" s="790" t="s">
        <v>687</v>
      </c>
      <c r="C3757" s="290"/>
      <c r="D3757" s="290"/>
      <c r="E3757" s="373"/>
      <c r="F3757" s="363"/>
      <c r="G3757" s="291"/>
    </row>
    <row r="3758" spans="1:7">
      <c r="A3758" s="425"/>
      <c r="B3758" s="415" t="s">
        <v>4748</v>
      </c>
      <c r="C3758" s="247"/>
      <c r="D3758" s="416" t="s">
        <v>2970</v>
      </c>
      <c r="E3758" s="426">
        <f>3.63+0.5775</f>
        <v>4.2074999999999996</v>
      </c>
      <c r="F3758" s="360">
        <f>'UPAD-BAHAN-ALAT'!I172</f>
        <v>14175</v>
      </c>
      <c r="G3758" s="248">
        <f t="shared" ref="G3758:G3760" si="33">F3758*E3758</f>
        <v>59641.312499999993</v>
      </c>
    </row>
    <row r="3759" spans="1:7">
      <c r="A3759" s="425"/>
      <c r="B3759" s="415" t="s">
        <v>4750</v>
      </c>
      <c r="C3759" s="247"/>
      <c r="D3759" s="416" t="s">
        <v>2647</v>
      </c>
      <c r="E3759" s="426">
        <v>1.05</v>
      </c>
      <c r="F3759" s="360">
        <f>'UPAD-BAHAN-ALAT'!I284</f>
        <v>75000</v>
      </c>
      <c r="G3759" s="248">
        <f t="shared" si="33"/>
        <v>78750</v>
      </c>
    </row>
    <row r="3760" spans="1:7">
      <c r="A3760" s="425"/>
      <c r="B3760" s="415" t="s">
        <v>4749</v>
      </c>
      <c r="C3760" s="247"/>
      <c r="D3760" s="416" t="s">
        <v>1423</v>
      </c>
      <c r="E3760" s="417">
        <v>26</v>
      </c>
      <c r="F3760" s="360">
        <f>'UPAD-BAHAN-ALAT'!I146</f>
        <v>250</v>
      </c>
      <c r="G3760" s="248">
        <f t="shared" si="33"/>
        <v>6500</v>
      </c>
    </row>
    <row r="3761" spans="1:7">
      <c r="A3761" s="247"/>
      <c r="B3761" s="790"/>
      <c r="C3761" s="247"/>
      <c r="D3761" s="247"/>
      <c r="E3761" s="1144" t="s">
        <v>702</v>
      </c>
      <c r="F3761" s="1144"/>
      <c r="G3761" s="248">
        <f>SUM(G3758:G3760)</f>
        <v>144891.3125</v>
      </c>
    </row>
    <row r="3762" spans="1:7">
      <c r="A3762" s="294" t="s">
        <v>703</v>
      </c>
      <c r="B3762" s="1151" t="s">
        <v>3910</v>
      </c>
      <c r="C3762" s="1151"/>
      <c r="D3762" s="1151"/>
      <c r="E3762" s="1151"/>
      <c r="F3762" s="1151"/>
      <c r="G3762" s="255">
        <f>G3756+G3761</f>
        <v>240161.3125</v>
      </c>
    </row>
    <row r="3763" spans="1:7">
      <c r="A3763" s="294" t="s">
        <v>706</v>
      </c>
      <c r="B3763" s="1148" t="s">
        <v>876</v>
      </c>
      <c r="C3763" s="1148"/>
      <c r="D3763" s="1148"/>
      <c r="E3763" s="1147" t="s">
        <v>4030</v>
      </c>
      <c r="F3763" s="1147"/>
      <c r="G3763" s="255">
        <f>G3762*0.15</f>
        <v>36024.196875000001</v>
      </c>
    </row>
    <row r="3764" spans="1:7">
      <c r="A3764" s="294" t="s">
        <v>708</v>
      </c>
      <c r="B3764" s="1149" t="s">
        <v>3911</v>
      </c>
      <c r="C3764" s="1149"/>
      <c r="D3764" s="1149"/>
      <c r="E3764" s="1149"/>
      <c r="F3764" s="1149"/>
      <c r="G3764" s="255">
        <f>ROUND(SUM(G3762:G3763),2)</f>
        <v>276185.51</v>
      </c>
    </row>
    <row r="3765" spans="1:7">
      <c r="A3765" s="354"/>
      <c r="B3765" s="250"/>
      <c r="C3765" s="250"/>
      <c r="D3765" s="250"/>
      <c r="E3765" s="250"/>
      <c r="F3765" s="250"/>
      <c r="G3765" s="352"/>
    </row>
    <row r="3766" spans="1:7" s="814" customFormat="1">
      <c r="A3766" s="808" t="s">
        <v>4752</v>
      </c>
      <c r="B3766" s="809" t="s">
        <v>4753</v>
      </c>
      <c r="C3766" s="810"/>
      <c r="D3766" s="810"/>
      <c r="E3766" s="811"/>
      <c r="F3766" s="812"/>
      <c r="G3766" s="813"/>
    </row>
    <row r="3767" spans="1:7" s="814" customFormat="1">
      <c r="A3767" s="853" t="s">
        <v>1003</v>
      </c>
      <c r="B3767" s="853" t="s">
        <v>1004</v>
      </c>
      <c r="C3767" s="853" t="s">
        <v>1005</v>
      </c>
      <c r="D3767" s="853" t="s">
        <v>1006</v>
      </c>
      <c r="E3767" s="880" t="s">
        <v>1007</v>
      </c>
      <c r="F3767" s="881" t="s">
        <v>2637</v>
      </c>
      <c r="G3767" s="857" t="s">
        <v>2638</v>
      </c>
    </row>
    <row r="3768" spans="1:7" s="814" customFormat="1">
      <c r="A3768" s="902" t="s">
        <v>671</v>
      </c>
      <c r="B3768" s="900" t="s">
        <v>672</v>
      </c>
      <c r="C3768" s="853"/>
      <c r="D3768" s="853"/>
      <c r="E3768" s="880"/>
      <c r="F3768" s="881"/>
      <c r="G3768" s="857"/>
    </row>
    <row r="3769" spans="1:7" s="814" customFormat="1">
      <c r="A3769" s="853"/>
      <c r="B3769" s="903" t="s">
        <v>673</v>
      </c>
      <c r="C3769" s="865" t="s">
        <v>674</v>
      </c>
      <c r="D3769" s="904" t="s">
        <v>3555</v>
      </c>
      <c r="E3769" s="905">
        <v>0.35</v>
      </c>
      <c r="F3769" s="866">
        <f>'UPAD-BAHAN-ALAT'!$I$12</f>
        <v>110000</v>
      </c>
      <c r="G3769" s="864">
        <f t="shared" ref="G3769:G3772" si="34">F3769*E3769</f>
        <v>38500</v>
      </c>
    </row>
    <row r="3770" spans="1:7" s="814" customFormat="1">
      <c r="A3770" s="853"/>
      <c r="B3770" s="903" t="s">
        <v>782</v>
      </c>
      <c r="C3770" s="865" t="s">
        <v>678</v>
      </c>
      <c r="D3770" s="904" t="s">
        <v>3555</v>
      </c>
      <c r="E3770" s="905">
        <v>0.35</v>
      </c>
      <c r="F3770" s="866">
        <f>'UPAD-BAHAN-ALAT'!$I$13</f>
        <v>140000</v>
      </c>
      <c r="G3770" s="864">
        <f t="shared" si="34"/>
        <v>49000</v>
      </c>
    </row>
    <row r="3771" spans="1:7" s="814" customFormat="1">
      <c r="A3771" s="853"/>
      <c r="B3771" s="906" t="s">
        <v>680</v>
      </c>
      <c r="C3771" s="865" t="s">
        <v>681</v>
      </c>
      <c r="D3771" s="907" t="s">
        <v>3555</v>
      </c>
      <c r="E3771" s="908">
        <v>3.5000000000000003E-2</v>
      </c>
      <c r="F3771" s="866">
        <f>'UPAD-BAHAN-ALAT'!$I$15</f>
        <v>150000</v>
      </c>
      <c r="G3771" s="909">
        <f t="shared" si="34"/>
        <v>5250.0000000000009</v>
      </c>
    </row>
    <row r="3772" spans="1:7" s="814" customFormat="1">
      <c r="A3772" s="853"/>
      <c r="B3772" s="910" t="s">
        <v>683</v>
      </c>
      <c r="C3772" s="865" t="s">
        <v>684</v>
      </c>
      <c r="D3772" s="911" t="s">
        <v>3555</v>
      </c>
      <c r="E3772" s="912">
        <v>1.7999999999999999E-2</v>
      </c>
      <c r="F3772" s="866">
        <f>'UPAD-BAHAN-ALAT'!$I$14</f>
        <v>140000</v>
      </c>
      <c r="G3772" s="864">
        <f t="shared" si="34"/>
        <v>2520</v>
      </c>
    </row>
    <row r="3773" spans="1:7" s="814" customFormat="1">
      <c r="A3773" s="853"/>
      <c r="B3773" s="853"/>
      <c r="C3773" s="853"/>
      <c r="D3773" s="853"/>
      <c r="E3773" s="1156" t="s">
        <v>685</v>
      </c>
      <c r="F3773" s="1156"/>
      <c r="G3773" s="913">
        <f>SUM(G3769:G3772)</f>
        <v>95270</v>
      </c>
    </row>
    <row r="3774" spans="1:7" s="814" customFormat="1">
      <c r="A3774" s="853" t="s">
        <v>686</v>
      </c>
      <c r="B3774" s="891" t="s">
        <v>687</v>
      </c>
      <c r="C3774" s="853"/>
      <c r="D3774" s="853"/>
      <c r="E3774" s="880"/>
      <c r="F3774" s="881"/>
      <c r="G3774" s="857"/>
    </row>
    <row r="3775" spans="1:7" s="814" customFormat="1">
      <c r="A3775" s="914"/>
      <c r="B3775" s="903" t="s">
        <v>4748</v>
      </c>
      <c r="C3775" s="865"/>
      <c r="D3775" s="904" t="s">
        <v>2970</v>
      </c>
      <c r="E3775" s="915">
        <f>3.63+0.5775</f>
        <v>4.2074999999999996</v>
      </c>
      <c r="F3775" s="866">
        <f>'UPAD-BAHAN-ALAT'!I172</f>
        <v>14175</v>
      </c>
      <c r="G3775" s="864">
        <f t="shared" ref="G3775:G3777" si="35">F3775*E3775</f>
        <v>59641.312499999993</v>
      </c>
    </row>
    <row r="3776" spans="1:7" s="814" customFormat="1">
      <c r="A3776" s="914"/>
      <c r="B3776" s="903" t="s">
        <v>4750</v>
      </c>
      <c r="C3776" s="865"/>
      <c r="D3776" s="904" t="s">
        <v>2647</v>
      </c>
      <c r="E3776" s="915">
        <f>1.05*2</f>
        <v>2.1</v>
      </c>
      <c r="F3776" s="866">
        <f>'UPAD-BAHAN-ALAT'!I284</f>
        <v>75000</v>
      </c>
      <c r="G3776" s="864">
        <f t="shared" si="35"/>
        <v>157500</v>
      </c>
    </row>
    <row r="3777" spans="1:7" s="814" customFormat="1">
      <c r="A3777" s="914"/>
      <c r="B3777" s="903" t="s">
        <v>4749</v>
      </c>
      <c r="C3777" s="865"/>
      <c r="D3777" s="904" t="s">
        <v>1423</v>
      </c>
      <c r="E3777" s="905">
        <f>26*2</f>
        <v>52</v>
      </c>
      <c r="F3777" s="866">
        <f>'UPAD-BAHAN-ALAT'!I146</f>
        <v>250</v>
      </c>
      <c r="G3777" s="864">
        <f t="shared" si="35"/>
        <v>13000</v>
      </c>
    </row>
    <row r="3778" spans="1:7" s="814" customFormat="1">
      <c r="A3778" s="865"/>
      <c r="B3778" s="891"/>
      <c r="C3778" s="865"/>
      <c r="D3778" s="865"/>
      <c r="E3778" s="1157" t="s">
        <v>702</v>
      </c>
      <c r="F3778" s="1157"/>
      <c r="G3778" s="864">
        <f>SUM(G3775:G3777)</f>
        <v>230141.3125</v>
      </c>
    </row>
    <row r="3779" spans="1:7" s="814" customFormat="1">
      <c r="A3779" s="859" t="s">
        <v>703</v>
      </c>
      <c r="B3779" s="1158" t="s">
        <v>3910</v>
      </c>
      <c r="C3779" s="1158"/>
      <c r="D3779" s="1158"/>
      <c r="E3779" s="1158"/>
      <c r="F3779" s="1158"/>
      <c r="G3779" s="872">
        <f>G3773+G3778</f>
        <v>325411.3125</v>
      </c>
    </row>
    <row r="3780" spans="1:7" s="814" customFormat="1">
      <c r="A3780" s="859" t="s">
        <v>706</v>
      </c>
      <c r="B3780" s="1152" t="s">
        <v>876</v>
      </c>
      <c r="C3780" s="1152"/>
      <c r="D3780" s="1152"/>
      <c r="E3780" s="1153" t="s">
        <v>4030</v>
      </c>
      <c r="F3780" s="1153"/>
      <c r="G3780" s="872">
        <f>G3779*0.15</f>
        <v>48811.696875000001</v>
      </c>
    </row>
    <row r="3781" spans="1:7" s="814" customFormat="1">
      <c r="A3781" s="859" t="s">
        <v>708</v>
      </c>
      <c r="B3781" s="1154" t="s">
        <v>3911</v>
      </c>
      <c r="C3781" s="1154"/>
      <c r="D3781" s="1154"/>
      <c r="E3781" s="1154"/>
      <c r="F3781" s="1154"/>
      <c r="G3781" s="872">
        <f>ROUND(SUM(G3779:G3780),2)</f>
        <v>374223.01</v>
      </c>
    </row>
    <row r="3782" spans="1:7">
      <c r="A3782" s="354"/>
      <c r="B3782" s="250"/>
      <c r="C3782" s="250"/>
      <c r="D3782" s="250"/>
      <c r="E3782" s="250"/>
      <c r="F3782" s="250"/>
      <c r="G3782" s="352"/>
    </row>
    <row r="3783" spans="1:7">
      <c r="A3783" s="600" t="s">
        <v>4227</v>
      </c>
      <c r="B3783" s="265" t="s">
        <v>2787</v>
      </c>
    </row>
    <row r="3784" spans="1:7">
      <c r="A3784" s="286" t="s">
        <v>4228</v>
      </c>
      <c r="B3784" s="265" t="s">
        <v>4609</v>
      </c>
    </row>
    <row r="3785" spans="1:7" s="292" customFormat="1" ht="24.95" customHeight="1">
      <c r="A3785" s="290" t="s">
        <v>1003</v>
      </c>
      <c r="B3785" s="290" t="s">
        <v>1004</v>
      </c>
      <c r="C3785" s="290" t="s">
        <v>1005</v>
      </c>
      <c r="D3785" s="290" t="s">
        <v>1006</v>
      </c>
      <c r="E3785" s="379" t="s">
        <v>1007</v>
      </c>
      <c r="F3785" s="710" t="s">
        <v>2637</v>
      </c>
      <c r="G3785" s="291" t="s">
        <v>2638</v>
      </c>
    </row>
    <row r="3786" spans="1:7">
      <c r="A3786" s="294" t="s">
        <v>671</v>
      </c>
      <c r="B3786" s="410" t="s">
        <v>672</v>
      </c>
      <c r="C3786" s="247"/>
      <c r="D3786" s="247"/>
      <c r="E3786" s="428"/>
      <c r="F3786" s="701"/>
      <c r="G3786" s="632"/>
    </row>
    <row r="3787" spans="1:7">
      <c r="A3787" s="294"/>
      <c r="B3787" s="410" t="s">
        <v>673</v>
      </c>
      <c r="C3787" s="247" t="s">
        <v>674</v>
      </c>
      <c r="D3787" s="247" t="s">
        <v>675</v>
      </c>
      <c r="E3787" s="428">
        <v>0.03</v>
      </c>
      <c r="F3787" s="702">
        <f>'UPAD-BAHAN-ALAT'!$I$12</f>
        <v>110000</v>
      </c>
      <c r="G3787" s="632">
        <f>F3787*E3787</f>
        <v>3300</v>
      </c>
    </row>
    <row r="3788" spans="1:7">
      <c r="A3788" s="294"/>
      <c r="B3788" s="410" t="s">
        <v>871</v>
      </c>
      <c r="C3788" s="247" t="s">
        <v>678</v>
      </c>
      <c r="D3788" s="247" t="s">
        <v>675</v>
      </c>
      <c r="E3788" s="428">
        <v>7.0000000000000007E-2</v>
      </c>
      <c r="F3788" s="702">
        <f>'UPAD-BAHAN-ALAT'!$I$13</f>
        <v>140000</v>
      </c>
      <c r="G3788" s="632">
        <f>F3788*E3788</f>
        <v>9800.0000000000018</v>
      </c>
    </row>
    <row r="3789" spans="1:7">
      <c r="A3789" s="294"/>
      <c r="B3789" s="410" t="s">
        <v>751</v>
      </c>
      <c r="C3789" s="247" t="s">
        <v>681</v>
      </c>
      <c r="D3789" s="247" t="s">
        <v>675</v>
      </c>
      <c r="E3789" s="428">
        <v>7.0000000000000001E-3</v>
      </c>
      <c r="F3789" s="702">
        <f>'UPAD-BAHAN-ALAT'!$I$15</f>
        <v>150000</v>
      </c>
      <c r="G3789" s="632">
        <f>F3789*E3789</f>
        <v>1050</v>
      </c>
    </row>
    <row r="3790" spans="1:7">
      <c r="A3790" s="294"/>
      <c r="B3790" s="410" t="s">
        <v>683</v>
      </c>
      <c r="C3790" s="247" t="s">
        <v>684</v>
      </c>
      <c r="D3790" s="247" t="s">
        <v>675</v>
      </c>
      <c r="E3790" s="428">
        <v>4.0000000000000001E-3</v>
      </c>
      <c r="F3790" s="702">
        <f>'UPAD-BAHAN-ALAT'!$I$14</f>
        <v>140000</v>
      </c>
      <c r="G3790" s="632">
        <f>F3790*E3790</f>
        <v>560</v>
      </c>
    </row>
    <row r="3791" spans="1:7">
      <c r="A3791" s="294"/>
      <c r="B3791" s="410"/>
      <c r="C3791" s="247"/>
      <c r="D3791" s="247"/>
      <c r="E3791" s="428" t="s">
        <v>685</v>
      </c>
      <c r="F3791" s="702"/>
      <c r="G3791" s="632">
        <f>SUM(G3787:G3790)</f>
        <v>14710.000000000002</v>
      </c>
    </row>
    <row r="3792" spans="1:7">
      <c r="A3792" s="294" t="s">
        <v>686</v>
      </c>
      <c r="B3792" s="410" t="s">
        <v>687</v>
      </c>
      <c r="C3792" s="247"/>
      <c r="D3792" s="247"/>
      <c r="E3792" s="428"/>
      <c r="F3792" s="702"/>
      <c r="G3792" s="632"/>
    </row>
    <row r="3793" spans="1:8">
      <c r="A3793" s="294"/>
      <c r="B3793" s="410" t="s">
        <v>1187</v>
      </c>
      <c r="C3793" s="247"/>
      <c r="D3793" s="247" t="s">
        <v>2647</v>
      </c>
      <c r="E3793" s="428">
        <v>1.1000000000000001</v>
      </c>
      <c r="F3793" s="702">
        <f>'UPAD-BAHAN-ALAT'!$I$338</f>
        <v>16830</v>
      </c>
      <c r="G3793" s="632">
        <f>F3793*E3793</f>
        <v>18513</v>
      </c>
    </row>
    <row r="3794" spans="1:8">
      <c r="A3794" s="294"/>
      <c r="B3794" s="410" t="s">
        <v>1188</v>
      </c>
      <c r="C3794" s="247"/>
      <c r="D3794" s="247" t="s">
        <v>773</v>
      </c>
      <c r="E3794" s="428">
        <v>0.01</v>
      </c>
      <c r="F3794" s="702">
        <f>'UPAD-BAHAN-ALAT'!$I$139</f>
        <v>21000</v>
      </c>
      <c r="G3794" s="632">
        <f>F3794*E3794</f>
        <v>210</v>
      </c>
    </row>
    <row r="3795" spans="1:8">
      <c r="A3795" s="294"/>
      <c r="B3795" s="410"/>
      <c r="C3795" s="247"/>
      <c r="D3795" s="247"/>
      <c r="E3795" s="428" t="s">
        <v>702</v>
      </c>
      <c r="F3795" s="702"/>
      <c r="G3795" s="632">
        <f>SUM(G3793:G3794)</f>
        <v>18723</v>
      </c>
    </row>
    <row r="3796" spans="1:8" s="265" customFormat="1">
      <c r="A3796" s="294" t="s">
        <v>703</v>
      </c>
      <c r="B3796" s="357" t="s">
        <v>3910</v>
      </c>
      <c r="C3796" s="610"/>
      <c r="D3796" s="610"/>
      <c r="E3796" s="611"/>
      <c r="F3796" s="703"/>
      <c r="G3796" s="631">
        <f>G3791+G3795</f>
        <v>33433</v>
      </c>
    </row>
    <row r="3797" spans="1:8" s="265" customFormat="1">
      <c r="A3797" s="294" t="s">
        <v>706</v>
      </c>
      <c r="B3797" s="617" t="s">
        <v>876</v>
      </c>
      <c r="C3797" s="618"/>
      <c r="D3797" s="633"/>
      <c r="E3797" s="613" t="s">
        <v>4030</v>
      </c>
      <c r="F3797" s="703"/>
      <c r="G3797" s="255">
        <f>G3796*0.15</f>
        <v>5014.95</v>
      </c>
    </row>
    <row r="3798" spans="1:8" s="265" customFormat="1">
      <c r="A3798" s="294" t="s">
        <v>708</v>
      </c>
      <c r="B3798" s="357" t="s">
        <v>3911</v>
      </c>
      <c r="C3798" s="610"/>
      <c r="D3798" s="610"/>
      <c r="E3798" s="611"/>
      <c r="F3798" s="704"/>
      <c r="G3798" s="255">
        <f>ROUND(SUM(G3796:G3797),2)</f>
        <v>38447.949999999997</v>
      </c>
      <c r="H3798" s="631">
        <f>SUM(G3796:G3797)</f>
        <v>38447.949999999997</v>
      </c>
    </row>
    <row r="3799" spans="1:8">
      <c r="A3799" s="268"/>
      <c r="B3799" s="269"/>
      <c r="C3799" s="268"/>
      <c r="D3799" s="268"/>
      <c r="E3799" s="380"/>
      <c r="F3799" s="361"/>
      <c r="G3799" s="270"/>
    </row>
    <row r="3800" spans="1:8">
      <c r="A3800" s="284" t="s">
        <v>4229</v>
      </c>
      <c r="B3800" s="250" t="s">
        <v>2786</v>
      </c>
      <c r="C3800" s="276"/>
      <c r="D3800" s="252"/>
      <c r="E3800" s="374"/>
      <c r="F3800" s="361"/>
      <c r="G3800" s="253"/>
    </row>
    <row r="3801" spans="1:8" s="292" customFormat="1" ht="24.95" customHeight="1">
      <c r="A3801" s="290" t="s">
        <v>1003</v>
      </c>
      <c r="B3801" s="290" t="s">
        <v>1004</v>
      </c>
      <c r="C3801" s="290" t="s">
        <v>1005</v>
      </c>
      <c r="D3801" s="293" t="s">
        <v>1006</v>
      </c>
      <c r="E3801" s="373" t="s">
        <v>1007</v>
      </c>
      <c r="F3801" s="363" t="s">
        <v>2637</v>
      </c>
      <c r="G3801" s="291" t="s">
        <v>2638</v>
      </c>
    </row>
    <row r="3802" spans="1:8">
      <c r="A3802" s="294" t="s">
        <v>671</v>
      </c>
      <c r="B3802" s="410" t="s">
        <v>672</v>
      </c>
      <c r="C3802" s="247"/>
      <c r="D3802" s="283"/>
      <c r="E3802" s="372"/>
      <c r="F3802" s="360"/>
      <c r="G3802" s="248"/>
    </row>
    <row r="3803" spans="1:8">
      <c r="A3803" s="294"/>
      <c r="B3803" s="410" t="s">
        <v>673</v>
      </c>
      <c r="C3803" s="247" t="s">
        <v>674</v>
      </c>
      <c r="D3803" s="283" t="s">
        <v>675</v>
      </c>
      <c r="E3803" s="372">
        <v>0.12</v>
      </c>
      <c r="F3803" s="360">
        <f>'UPAD-BAHAN-ALAT'!$I$12</f>
        <v>110000</v>
      </c>
      <c r="G3803" s="248">
        <f>F3803*E3803</f>
        <v>13200</v>
      </c>
    </row>
    <row r="3804" spans="1:8">
      <c r="A3804" s="294"/>
      <c r="B3804" s="410" t="s">
        <v>871</v>
      </c>
      <c r="C3804" s="247" t="s">
        <v>678</v>
      </c>
      <c r="D3804" s="283" t="s">
        <v>675</v>
      </c>
      <c r="E3804" s="372">
        <v>0.12</v>
      </c>
      <c r="F3804" s="360">
        <f>'UPAD-BAHAN-ALAT'!$I$13</f>
        <v>140000</v>
      </c>
      <c r="G3804" s="248">
        <f>F3804*E3804</f>
        <v>16800</v>
      </c>
    </row>
    <row r="3805" spans="1:8">
      <c r="A3805" s="294"/>
      <c r="B3805" s="410" t="s">
        <v>751</v>
      </c>
      <c r="C3805" s="247" t="s">
        <v>681</v>
      </c>
      <c r="D3805" s="283" t="s">
        <v>675</v>
      </c>
      <c r="E3805" s="372">
        <v>1.2E-2</v>
      </c>
      <c r="F3805" s="360">
        <f>'UPAD-BAHAN-ALAT'!$I$15</f>
        <v>150000</v>
      </c>
      <c r="G3805" s="248">
        <f>F3805*E3805</f>
        <v>1800</v>
      </c>
    </row>
    <row r="3806" spans="1:8">
      <c r="A3806" s="294"/>
      <c r="B3806" s="410" t="s">
        <v>683</v>
      </c>
      <c r="C3806" s="247" t="s">
        <v>684</v>
      </c>
      <c r="D3806" s="283" t="s">
        <v>675</v>
      </c>
      <c r="E3806" s="372">
        <v>6.0000000000000001E-3</v>
      </c>
      <c r="F3806" s="360">
        <f>'UPAD-BAHAN-ALAT'!$I$14</f>
        <v>140000</v>
      </c>
      <c r="G3806" s="248">
        <f>F3806*E3806</f>
        <v>840</v>
      </c>
    </row>
    <row r="3807" spans="1:8">
      <c r="A3807" s="294"/>
      <c r="B3807" s="410"/>
      <c r="C3807" s="247"/>
      <c r="D3807" s="283"/>
      <c r="E3807" s="1146" t="s">
        <v>685</v>
      </c>
      <c r="F3807" s="1146"/>
      <c r="G3807" s="248">
        <f>SUM(G3803:G3806)</f>
        <v>32640</v>
      </c>
    </row>
    <row r="3808" spans="1:8">
      <c r="A3808" s="294" t="s">
        <v>686</v>
      </c>
      <c r="B3808" s="410" t="s">
        <v>687</v>
      </c>
      <c r="C3808" s="247"/>
      <c r="D3808" s="283"/>
      <c r="E3808" s="372"/>
      <c r="F3808" s="360"/>
      <c r="G3808" s="248"/>
    </row>
    <row r="3809" spans="1:8">
      <c r="A3809" s="294"/>
      <c r="B3809" s="410" t="s">
        <v>1189</v>
      </c>
      <c r="C3809" s="247"/>
      <c r="D3809" s="283" t="s">
        <v>888</v>
      </c>
      <c r="E3809" s="372">
        <v>12</v>
      </c>
      <c r="F3809" s="360">
        <f>'UPAD-BAHAN-ALAT'!$I$360</f>
        <v>3750</v>
      </c>
      <c r="G3809" s="248">
        <f>F3809*E3809</f>
        <v>45000</v>
      </c>
    </row>
    <row r="3810" spans="1:8">
      <c r="A3810" s="294"/>
      <c r="B3810" s="410" t="s">
        <v>1188</v>
      </c>
      <c r="C3810" s="247"/>
      <c r="D3810" s="283" t="s">
        <v>773</v>
      </c>
      <c r="E3810" s="372">
        <v>0.05</v>
      </c>
      <c r="F3810" s="360">
        <f>'UPAD-BAHAN-ALAT'!$I$139</f>
        <v>21000</v>
      </c>
      <c r="G3810" s="248">
        <f>F3810*E3810</f>
        <v>1050</v>
      </c>
    </row>
    <row r="3811" spans="1:8">
      <c r="A3811" s="294"/>
      <c r="B3811" s="295"/>
      <c r="C3811" s="296"/>
      <c r="D3811" s="634"/>
      <c r="E3811" s="1146" t="s">
        <v>702</v>
      </c>
      <c r="F3811" s="1146"/>
      <c r="G3811" s="248">
        <f>SUM(G3809:G3810)</f>
        <v>46050</v>
      </c>
    </row>
    <row r="3812" spans="1:8" s="265" customFormat="1">
      <c r="A3812" s="294" t="s">
        <v>703</v>
      </c>
      <c r="B3812" s="1147" t="s">
        <v>3910</v>
      </c>
      <c r="C3812" s="1147"/>
      <c r="D3812" s="1147"/>
      <c r="E3812" s="1147"/>
      <c r="F3812" s="1147"/>
      <c r="G3812" s="255">
        <f>G3807+G3811</f>
        <v>78690</v>
      </c>
    </row>
    <row r="3813" spans="1:8" s="265" customFormat="1">
      <c r="A3813" s="294" t="s">
        <v>706</v>
      </c>
      <c r="B3813" s="1148" t="s">
        <v>876</v>
      </c>
      <c r="C3813" s="1148"/>
      <c r="D3813" s="1148"/>
      <c r="E3813" s="1147" t="s">
        <v>4030</v>
      </c>
      <c r="F3813" s="1147"/>
      <c r="G3813" s="255">
        <f>G3812*0.15</f>
        <v>11803.5</v>
      </c>
    </row>
    <row r="3814" spans="1:8" s="265" customFormat="1">
      <c r="A3814" s="294" t="s">
        <v>708</v>
      </c>
      <c r="B3814" s="1149" t="s">
        <v>3911</v>
      </c>
      <c r="C3814" s="1149"/>
      <c r="D3814" s="1149"/>
      <c r="E3814" s="1149"/>
      <c r="F3814" s="1149"/>
      <c r="G3814" s="255">
        <f>ROUND(SUM(G3812:G3813),2)</f>
        <v>90493.5</v>
      </c>
      <c r="H3814" s="255">
        <f>SUM(G3812:G3813)</f>
        <v>90493.5</v>
      </c>
    </row>
    <row r="3816" spans="1:8">
      <c r="A3816" s="286" t="s">
        <v>4230</v>
      </c>
      <c r="B3816" s="265" t="s">
        <v>4610</v>
      </c>
    </row>
    <row r="3817" spans="1:8" s="292" customFormat="1" ht="24.95" customHeight="1">
      <c r="A3817" s="290" t="s">
        <v>1003</v>
      </c>
      <c r="B3817" s="290" t="s">
        <v>1004</v>
      </c>
      <c r="C3817" s="293" t="s">
        <v>1005</v>
      </c>
      <c r="D3817" s="293" t="s">
        <v>1006</v>
      </c>
      <c r="E3817" s="379" t="s">
        <v>1007</v>
      </c>
      <c r="F3817" s="716" t="s">
        <v>2637</v>
      </c>
      <c r="G3817" s="291" t="s">
        <v>2638</v>
      </c>
    </row>
    <row r="3818" spans="1:8">
      <c r="A3818" s="294" t="s">
        <v>671</v>
      </c>
      <c r="B3818" s="410" t="s">
        <v>672</v>
      </c>
      <c r="C3818" s="283"/>
      <c r="D3818" s="283"/>
      <c r="E3818" s="428"/>
      <c r="F3818" s="717"/>
      <c r="G3818" s="632"/>
    </row>
    <row r="3819" spans="1:8">
      <c r="A3819" s="294"/>
      <c r="B3819" s="410" t="s">
        <v>673</v>
      </c>
      <c r="C3819" s="283" t="s">
        <v>674</v>
      </c>
      <c r="D3819" s="283" t="s">
        <v>675</v>
      </c>
      <c r="E3819" s="428">
        <v>0.12</v>
      </c>
      <c r="F3819" s="701">
        <f>'UPAD-BAHAN-ALAT'!$I$12</f>
        <v>110000</v>
      </c>
      <c r="G3819" s="632">
        <f>F3819*E3819</f>
        <v>13200</v>
      </c>
    </row>
    <row r="3820" spans="1:8">
      <c r="A3820" s="294"/>
      <c r="B3820" s="410" t="s">
        <v>871</v>
      </c>
      <c r="C3820" s="283" t="s">
        <v>678</v>
      </c>
      <c r="D3820" s="283" t="s">
        <v>675</v>
      </c>
      <c r="E3820" s="428">
        <v>0.12</v>
      </c>
      <c r="F3820" s="702">
        <f>'UPAD-BAHAN-ALAT'!$I$13</f>
        <v>140000</v>
      </c>
      <c r="G3820" s="632">
        <f>F3820*E3820</f>
        <v>16800</v>
      </c>
    </row>
    <row r="3821" spans="1:8">
      <c r="A3821" s="294"/>
      <c r="B3821" s="410" t="s">
        <v>751</v>
      </c>
      <c r="C3821" s="283" t="s">
        <v>681</v>
      </c>
      <c r="D3821" s="283" t="s">
        <v>675</v>
      </c>
      <c r="E3821" s="428">
        <v>1.2E-2</v>
      </c>
      <c r="F3821" s="702">
        <f>'UPAD-BAHAN-ALAT'!$I$15</f>
        <v>150000</v>
      </c>
      <c r="G3821" s="632">
        <f>F3821*E3821</f>
        <v>1800</v>
      </c>
    </row>
    <row r="3822" spans="1:8">
      <c r="A3822" s="294"/>
      <c r="B3822" s="410" t="s">
        <v>683</v>
      </c>
      <c r="C3822" s="283" t="s">
        <v>684</v>
      </c>
      <c r="D3822" s="283" t="s">
        <v>675</v>
      </c>
      <c r="E3822" s="428">
        <v>6.0000000000000001E-3</v>
      </c>
      <c r="F3822" s="702">
        <f>'UPAD-BAHAN-ALAT'!$I$14</f>
        <v>140000</v>
      </c>
      <c r="G3822" s="632">
        <f>F3822*E3822</f>
        <v>840</v>
      </c>
    </row>
    <row r="3823" spans="1:8">
      <c r="A3823" s="294"/>
      <c r="B3823" s="410"/>
      <c r="C3823" s="283"/>
      <c r="D3823" s="283"/>
      <c r="E3823" s="428" t="s">
        <v>685</v>
      </c>
      <c r="F3823" s="702"/>
      <c r="G3823" s="632">
        <f>SUM(G3819:G3822)</f>
        <v>32640</v>
      </c>
    </row>
    <row r="3824" spans="1:8">
      <c r="A3824" s="294" t="s">
        <v>686</v>
      </c>
      <c r="B3824" s="410" t="s">
        <v>687</v>
      </c>
      <c r="C3824" s="283"/>
      <c r="D3824" s="283"/>
      <c r="E3824" s="428"/>
      <c r="F3824" s="702"/>
      <c r="G3824" s="632"/>
    </row>
    <row r="3825" spans="1:8">
      <c r="A3825" s="294"/>
      <c r="B3825" s="410" t="s">
        <v>1189</v>
      </c>
      <c r="C3825" s="283"/>
      <c r="D3825" s="283" t="s">
        <v>888</v>
      </c>
      <c r="E3825" s="428">
        <v>5.8</v>
      </c>
      <c r="F3825" s="702">
        <f>'UPAD-BAHAN-ALAT'!$I$359</f>
        <v>7500</v>
      </c>
      <c r="G3825" s="632">
        <f>F3825*E3825</f>
        <v>43500</v>
      </c>
    </row>
    <row r="3826" spans="1:8">
      <c r="A3826" s="294"/>
      <c r="B3826" s="410" t="s">
        <v>1188</v>
      </c>
      <c r="C3826" s="283"/>
      <c r="D3826" s="283" t="s">
        <v>773</v>
      </c>
      <c r="E3826" s="428">
        <v>0.05</v>
      </c>
      <c r="F3826" s="702">
        <f>'UPAD-BAHAN-ALAT'!$I$139</f>
        <v>21000</v>
      </c>
      <c r="G3826" s="632">
        <f>F3826*E3826</f>
        <v>1050</v>
      </c>
    </row>
    <row r="3827" spans="1:8">
      <c r="A3827" s="294"/>
      <c r="B3827" s="410"/>
      <c r="C3827" s="283"/>
      <c r="D3827" s="283"/>
      <c r="E3827" s="428" t="s">
        <v>702</v>
      </c>
      <c r="F3827" s="702"/>
      <c r="G3827" s="632">
        <f>SUM(G3825:G3826)</f>
        <v>44550</v>
      </c>
    </row>
    <row r="3828" spans="1:8" s="265" customFormat="1">
      <c r="A3828" s="294" t="s">
        <v>703</v>
      </c>
      <c r="B3828" s="357" t="s">
        <v>3910</v>
      </c>
      <c r="C3828" s="610"/>
      <c r="D3828" s="610"/>
      <c r="E3828" s="611"/>
      <c r="F3828" s="703"/>
      <c r="G3828" s="631">
        <f>G3823+G3827</f>
        <v>77190</v>
      </c>
    </row>
    <row r="3829" spans="1:8" s="265" customFormat="1">
      <c r="A3829" s="294" t="s">
        <v>706</v>
      </c>
      <c r="B3829" s="617" t="s">
        <v>876</v>
      </c>
      <c r="C3829" s="618"/>
      <c r="D3829" s="633"/>
      <c r="E3829" s="613" t="s">
        <v>4030</v>
      </c>
      <c r="F3829" s="703"/>
      <c r="G3829" s="255">
        <f>G3828*0.15</f>
        <v>11578.5</v>
      </c>
    </row>
    <row r="3830" spans="1:8" s="265" customFormat="1">
      <c r="A3830" s="294" t="s">
        <v>708</v>
      </c>
      <c r="B3830" s="357" t="s">
        <v>3911</v>
      </c>
      <c r="C3830" s="610"/>
      <c r="D3830" s="610"/>
      <c r="E3830" s="611"/>
      <c r="F3830" s="704"/>
      <c r="G3830" s="255">
        <f>ROUND(SUM(G3828:G3829),2)</f>
        <v>88768.5</v>
      </c>
      <c r="H3830" s="631">
        <f>SUM(G3828:G3829)</f>
        <v>88768.5</v>
      </c>
    </row>
    <row r="3831" spans="1:8">
      <c r="A3831" s="268"/>
      <c r="B3831" s="269"/>
      <c r="C3831" s="268"/>
      <c r="D3831" s="268"/>
      <c r="E3831" s="380"/>
      <c r="F3831" s="361"/>
      <c r="G3831" s="270"/>
    </row>
    <row r="3832" spans="1:8">
      <c r="A3832" s="285" t="s">
        <v>4231</v>
      </c>
      <c r="B3832" s="250" t="s">
        <v>2785</v>
      </c>
      <c r="C3832" s="252"/>
      <c r="D3832" s="252"/>
      <c r="E3832" s="374"/>
      <c r="F3832" s="361"/>
      <c r="G3832" s="253"/>
    </row>
    <row r="3833" spans="1:8" s="292" customFormat="1" ht="24.95" customHeight="1">
      <c r="A3833" s="290" t="s">
        <v>1003</v>
      </c>
      <c r="B3833" s="293" t="s">
        <v>1004</v>
      </c>
      <c r="C3833" s="293" t="s">
        <v>1005</v>
      </c>
      <c r="D3833" s="293" t="s">
        <v>1006</v>
      </c>
      <c r="E3833" s="379" t="s">
        <v>1007</v>
      </c>
      <c r="F3833" s="710" t="s">
        <v>2637</v>
      </c>
      <c r="G3833" s="291" t="s">
        <v>2638</v>
      </c>
    </row>
    <row r="3834" spans="1:8">
      <c r="A3834" s="294" t="s">
        <v>671</v>
      </c>
      <c r="B3834" s="355" t="s">
        <v>672</v>
      </c>
      <c r="C3834" s="283"/>
      <c r="D3834" s="283"/>
      <c r="E3834" s="428"/>
      <c r="F3834" s="701"/>
      <c r="G3834" s="632"/>
    </row>
    <row r="3835" spans="1:8">
      <c r="A3835" s="294"/>
      <c r="B3835" s="355" t="s">
        <v>673</v>
      </c>
      <c r="C3835" s="283" t="s">
        <v>674</v>
      </c>
      <c r="D3835" s="283" t="s">
        <v>675</v>
      </c>
      <c r="E3835" s="428">
        <v>0.1</v>
      </c>
      <c r="F3835" s="702">
        <f>'UPAD-BAHAN-ALAT'!$I$12</f>
        <v>110000</v>
      </c>
      <c r="G3835" s="632">
        <f>F3835*E3835</f>
        <v>11000</v>
      </c>
    </row>
    <row r="3836" spans="1:8">
      <c r="A3836" s="294"/>
      <c r="B3836" s="355" t="s">
        <v>871</v>
      </c>
      <c r="C3836" s="283" t="s">
        <v>678</v>
      </c>
      <c r="D3836" s="283" t="s">
        <v>675</v>
      </c>
      <c r="E3836" s="428">
        <v>0.1</v>
      </c>
      <c r="F3836" s="702">
        <f>'UPAD-BAHAN-ALAT'!$I$13</f>
        <v>140000</v>
      </c>
      <c r="G3836" s="632">
        <f>F3836*E3836</f>
        <v>14000</v>
      </c>
    </row>
    <row r="3837" spans="1:8">
      <c r="A3837" s="294"/>
      <c r="B3837" s="355" t="s">
        <v>751</v>
      </c>
      <c r="C3837" s="283" t="s">
        <v>681</v>
      </c>
      <c r="D3837" s="283" t="s">
        <v>675</v>
      </c>
      <c r="E3837" s="428">
        <v>0.01</v>
      </c>
      <c r="F3837" s="702">
        <f>'UPAD-BAHAN-ALAT'!$I$15</f>
        <v>150000</v>
      </c>
      <c r="G3837" s="632">
        <f>F3837*E3837</f>
        <v>1500</v>
      </c>
    </row>
    <row r="3838" spans="1:8">
      <c r="A3838" s="294"/>
      <c r="B3838" s="355" t="s">
        <v>683</v>
      </c>
      <c r="C3838" s="283" t="s">
        <v>684</v>
      </c>
      <c r="D3838" s="283" t="s">
        <v>675</v>
      </c>
      <c r="E3838" s="428">
        <v>5.0000000000000001E-3</v>
      </c>
      <c r="F3838" s="702">
        <f>'UPAD-BAHAN-ALAT'!$I$14</f>
        <v>140000</v>
      </c>
      <c r="G3838" s="632">
        <f>F3838*E3838</f>
        <v>700</v>
      </c>
    </row>
    <row r="3839" spans="1:8">
      <c r="A3839" s="294"/>
      <c r="B3839" s="355"/>
      <c r="C3839" s="283"/>
      <c r="D3839" s="283"/>
      <c r="E3839" s="428" t="s">
        <v>685</v>
      </c>
      <c r="F3839" s="702"/>
      <c r="G3839" s="632">
        <f>SUM(G3835:G3838)</f>
        <v>27200</v>
      </c>
    </row>
    <row r="3840" spans="1:8">
      <c r="A3840" s="294" t="s">
        <v>686</v>
      </c>
      <c r="B3840" s="355" t="s">
        <v>687</v>
      </c>
      <c r="C3840" s="283"/>
      <c r="D3840" s="283"/>
      <c r="E3840" s="428"/>
      <c r="F3840" s="702"/>
      <c r="G3840" s="632"/>
    </row>
    <row r="3841" spans="1:8">
      <c r="A3841" s="294"/>
      <c r="B3841" s="355" t="s">
        <v>1189</v>
      </c>
      <c r="C3841" s="283"/>
      <c r="D3841" s="283" t="s">
        <v>888</v>
      </c>
      <c r="E3841" s="428">
        <v>1.5</v>
      </c>
      <c r="F3841" s="702">
        <f>'UPAD-BAHAN-ALAT'!$I$358</f>
        <v>30000</v>
      </c>
      <c r="G3841" s="632">
        <f>F3841*E3841</f>
        <v>45000</v>
      </c>
    </row>
    <row r="3842" spans="1:8">
      <c r="A3842" s="294"/>
      <c r="B3842" s="355" t="s">
        <v>1188</v>
      </c>
      <c r="C3842" s="283"/>
      <c r="D3842" s="283" t="s">
        <v>773</v>
      </c>
      <c r="E3842" s="428">
        <v>0.05</v>
      </c>
      <c r="F3842" s="702">
        <f>'UPAD-BAHAN-ALAT'!$I$139</f>
        <v>21000</v>
      </c>
      <c r="G3842" s="632">
        <f>F3842*E3842</f>
        <v>1050</v>
      </c>
    </row>
    <row r="3843" spans="1:8">
      <c r="A3843" s="294"/>
      <c r="B3843" s="355"/>
      <c r="C3843" s="283"/>
      <c r="D3843" s="283"/>
      <c r="E3843" s="428" t="s">
        <v>702</v>
      </c>
      <c r="F3843" s="702"/>
      <c r="G3843" s="632">
        <f>SUM(G3841:G3842)</f>
        <v>46050</v>
      </c>
    </row>
    <row r="3844" spans="1:8" s="265" customFormat="1">
      <c r="A3844" s="294" t="s">
        <v>703</v>
      </c>
      <c r="B3844" s="357" t="s">
        <v>3910</v>
      </c>
      <c r="C3844" s="610"/>
      <c r="D3844" s="610"/>
      <c r="E3844" s="611"/>
      <c r="F3844" s="703"/>
      <c r="G3844" s="631">
        <f>G3839+G3843</f>
        <v>73250</v>
      </c>
    </row>
    <row r="3845" spans="1:8" s="265" customFormat="1">
      <c r="A3845" s="294" t="s">
        <v>706</v>
      </c>
      <c r="B3845" s="617" t="s">
        <v>876</v>
      </c>
      <c r="C3845" s="618"/>
      <c r="D3845" s="618"/>
      <c r="E3845" s="613" t="s">
        <v>4030</v>
      </c>
      <c r="F3845" s="703"/>
      <c r="G3845" s="255">
        <f>G3844*0.15</f>
        <v>10987.5</v>
      </c>
    </row>
    <row r="3846" spans="1:8" s="265" customFormat="1">
      <c r="A3846" s="294" t="s">
        <v>708</v>
      </c>
      <c r="B3846" s="357" t="s">
        <v>3911</v>
      </c>
      <c r="C3846" s="610"/>
      <c r="D3846" s="610"/>
      <c r="E3846" s="611"/>
      <c r="F3846" s="704"/>
      <c r="G3846" s="255">
        <f>ROUND(SUM(G3844:G3845),2)</f>
        <v>84237.5</v>
      </c>
      <c r="H3846" s="631">
        <f>SUM(G3844:G3845)</f>
        <v>84237.5</v>
      </c>
    </row>
    <row r="3848" spans="1:8">
      <c r="A3848" s="286" t="s">
        <v>4232</v>
      </c>
      <c r="B3848" s="265" t="s">
        <v>4611</v>
      </c>
    </row>
    <row r="3849" spans="1:8" s="292" customFormat="1" ht="24.95" customHeight="1">
      <c r="A3849" s="290" t="s">
        <v>1003</v>
      </c>
      <c r="B3849" s="293" t="s">
        <v>1004</v>
      </c>
      <c r="C3849" s="293" t="s">
        <v>1005</v>
      </c>
      <c r="D3849" s="293" t="s">
        <v>1006</v>
      </c>
      <c r="E3849" s="373" t="s">
        <v>1007</v>
      </c>
      <c r="F3849" s="710" t="s">
        <v>2637</v>
      </c>
      <c r="G3849" s="291" t="s">
        <v>2638</v>
      </c>
    </row>
    <row r="3850" spans="1:8">
      <c r="A3850" s="294" t="s">
        <v>671</v>
      </c>
      <c r="B3850" s="355" t="s">
        <v>672</v>
      </c>
      <c r="C3850" s="283"/>
      <c r="D3850" s="283"/>
      <c r="E3850" s="428"/>
      <c r="F3850" s="701"/>
      <c r="G3850" s="632"/>
    </row>
    <row r="3851" spans="1:8">
      <c r="A3851" s="294"/>
      <c r="B3851" s="355" t="s">
        <v>673</v>
      </c>
      <c r="C3851" s="283" t="s">
        <v>674</v>
      </c>
      <c r="D3851" s="283" t="s">
        <v>675</v>
      </c>
      <c r="E3851" s="428">
        <v>0.1</v>
      </c>
      <c r="F3851" s="702">
        <f>'UPAD-BAHAN-ALAT'!$I$12</f>
        <v>110000</v>
      </c>
      <c r="G3851" s="632">
        <f>F3851*E3851</f>
        <v>11000</v>
      </c>
    </row>
    <row r="3852" spans="1:8">
      <c r="A3852" s="294"/>
      <c r="B3852" s="355" t="s">
        <v>871</v>
      </c>
      <c r="C3852" s="283" t="s">
        <v>678</v>
      </c>
      <c r="D3852" s="283" t="s">
        <v>675</v>
      </c>
      <c r="E3852" s="428">
        <v>0.1</v>
      </c>
      <c r="F3852" s="702">
        <f>'UPAD-BAHAN-ALAT'!$I$13</f>
        <v>140000</v>
      </c>
      <c r="G3852" s="632">
        <f>F3852*E3852</f>
        <v>14000</v>
      </c>
    </row>
    <row r="3853" spans="1:8">
      <c r="A3853" s="294"/>
      <c r="B3853" s="355" t="s">
        <v>751</v>
      </c>
      <c r="C3853" s="283" t="s">
        <v>681</v>
      </c>
      <c r="D3853" s="283" t="s">
        <v>675</v>
      </c>
      <c r="E3853" s="428">
        <v>0.01</v>
      </c>
      <c r="F3853" s="702">
        <f>'UPAD-BAHAN-ALAT'!$I$15</f>
        <v>150000</v>
      </c>
      <c r="G3853" s="632">
        <f>F3853*E3853</f>
        <v>1500</v>
      </c>
    </row>
    <row r="3854" spans="1:8">
      <c r="A3854" s="294"/>
      <c r="B3854" s="355" t="s">
        <v>683</v>
      </c>
      <c r="C3854" s="283" t="s">
        <v>684</v>
      </c>
      <c r="D3854" s="283" t="s">
        <v>675</v>
      </c>
      <c r="E3854" s="428">
        <v>5.0000000000000001E-3</v>
      </c>
      <c r="F3854" s="702">
        <f>'UPAD-BAHAN-ALAT'!$I$14</f>
        <v>140000</v>
      </c>
      <c r="G3854" s="632">
        <f>F3854*E3854</f>
        <v>700</v>
      </c>
    </row>
    <row r="3855" spans="1:8">
      <c r="A3855" s="294"/>
      <c r="B3855" s="355"/>
      <c r="C3855" s="283"/>
      <c r="D3855" s="283"/>
      <c r="E3855" s="428" t="s">
        <v>685</v>
      </c>
      <c r="F3855" s="702"/>
      <c r="G3855" s="632">
        <f>SUM(G3851:G3854)</f>
        <v>27200</v>
      </c>
    </row>
    <row r="3856" spans="1:8">
      <c r="A3856" s="294" t="s">
        <v>686</v>
      </c>
      <c r="B3856" s="355" t="s">
        <v>687</v>
      </c>
      <c r="C3856" s="283"/>
      <c r="D3856" s="283"/>
      <c r="E3856" s="428"/>
      <c r="F3856" s="702"/>
      <c r="G3856" s="632"/>
    </row>
    <row r="3857" spans="1:8">
      <c r="A3857" s="294"/>
      <c r="B3857" s="355" t="s">
        <v>1191</v>
      </c>
      <c r="C3857" s="283"/>
      <c r="D3857" s="283" t="s">
        <v>888</v>
      </c>
      <c r="E3857" s="428">
        <v>0.375</v>
      </c>
      <c r="F3857" s="702">
        <f>'UPAD-BAHAN-ALAT'!$I$102</f>
        <v>93500</v>
      </c>
      <c r="G3857" s="632">
        <f>F3857*E3857</f>
        <v>35062.5</v>
      </c>
    </row>
    <row r="3858" spans="1:8">
      <c r="A3858" s="294"/>
      <c r="B3858" s="355" t="s">
        <v>1188</v>
      </c>
      <c r="C3858" s="283"/>
      <c r="D3858" s="283" t="s">
        <v>773</v>
      </c>
      <c r="E3858" s="428">
        <v>0.03</v>
      </c>
      <c r="F3858" s="702">
        <f>'UPAD-BAHAN-ALAT'!$I$139</f>
        <v>21000</v>
      </c>
      <c r="G3858" s="632">
        <f>F3858*E3858</f>
        <v>630</v>
      </c>
    </row>
    <row r="3859" spans="1:8">
      <c r="A3859" s="294"/>
      <c r="B3859" s="355"/>
      <c r="C3859" s="283"/>
      <c r="D3859" s="283"/>
      <c r="E3859" s="428" t="s">
        <v>702</v>
      </c>
      <c r="F3859" s="702"/>
      <c r="G3859" s="632">
        <f>SUM(G3857:G3858)</f>
        <v>35692.5</v>
      </c>
    </row>
    <row r="3860" spans="1:8" s="265" customFormat="1">
      <c r="A3860" s="294" t="s">
        <v>703</v>
      </c>
      <c r="B3860" s="357" t="s">
        <v>3910</v>
      </c>
      <c r="C3860" s="610"/>
      <c r="D3860" s="610"/>
      <c r="E3860" s="611"/>
      <c r="F3860" s="703"/>
      <c r="G3860" s="631">
        <f>G3855+G3859</f>
        <v>62892.5</v>
      </c>
    </row>
    <row r="3861" spans="1:8" s="265" customFormat="1">
      <c r="A3861" s="294" t="s">
        <v>706</v>
      </c>
      <c r="B3861" s="617" t="s">
        <v>876</v>
      </c>
      <c r="C3861" s="618"/>
      <c r="D3861" s="618"/>
      <c r="E3861" s="613" t="s">
        <v>4030</v>
      </c>
      <c r="F3861" s="703"/>
      <c r="G3861" s="255">
        <f>G3860*0.15</f>
        <v>9433.875</v>
      </c>
    </row>
    <row r="3862" spans="1:8" s="265" customFormat="1">
      <c r="A3862" s="294" t="s">
        <v>708</v>
      </c>
      <c r="B3862" s="357" t="s">
        <v>3911</v>
      </c>
      <c r="C3862" s="610"/>
      <c r="D3862" s="610"/>
      <c r="E3862" s="611"/>
      <c r="F3862" s="704"/>
      <c r="G3862" s="255">
        <f>ROUND(SUM(G3860:G3861),2)</f>
        <v>72326.38</v>
      </c>
      <c r="H3862" s="631">
        <f>SUM(G3860:G3861)</f>
        <v>72326.375</v>
      </c>
    </row>
    <row r="3863" spans="1:8">
      <c r="A3863" s="268"/>
      <c r="B3863" s="251"/>
      <c r="C3863" s="252"/>
      <c r="D3863" s="252"/>
      <c r="E3863" s="374"/>
      <c r="F3863" s="361"/>
      <c r="G3863" s="270"/>
    </row>
    <row r="3864" spans="1:8">
      <c r="A3864" s="285" t="s">
        <v>4233</v>
      </c>
      <c r="B3864" s="250" t="s">
        <v>4612</v>
      </c>
      <c r="C3864" s="252"/>
      <c r="D3864" s="252"/>
      <c r="E3864" s="374"/>
      <c r="F3864" s="361"/>
      <c r="G3864" s="253"/>
    </row>
    <row r="3865" spans="1:8" s="292" customFormat="1" ht="24.95" customHeight="1">
      <c r="A3865" s="290" t="s">
        <v>1003</v>
      </c>
      <c r="B3865" s="290" t="s">
        <v>1004</v>
      </c>
      <c r="C3865" s="293" t="s">
        <v>1005</v>
      </c>
      <c r="D3865" s="293" t="s">
        <v>1006</v>
      </c>
      <c r="E3865" s="379" t="s">
        <v>1007</v>
      </c>
      <c r="F3865" s="363" t="s">
        <v>2637</v>
      </c>
      <c r="G3865" s="291" t="s">
        <v>2638</v>
      </c>
    </row>
    <row r="3866" spans="1:8">
      <c r="A3866" s="294" t="s">
        <v>671</v>
      </c>
      <c r="B3866" s="410" t="s">
        <v>672</v>
      </c>
      <c r="C3866" s="283"/>
      <c r="D3866" s="283"/>
      <c r="E3866" s="428"/>
      <c r="F3866" s="360"/>
      <c r="G3866" s="248"/>
    </row>
    <row r="3867" spans="1:8">
      <c r="A3867" s="294"/>
      <c r="B3867" s="410" t="s">
        <v>673</v>
      </c>
      <c r="C3867" s="283" t="s">
        <v>674</v>
      </c>
      <c r="D3867" s="283" t="s">
        <v>675</v>
      </c>
      <c r="E3867" s="428">
        <v>0.8</v>
      </c>
      <c r="F3867" s="360">
        <f>'UPAD-BAHAN-ALAT'!$I$12</f>
        <v>110000</v>
      </c>
      <c r="G3867" s="248">
        <f>F3867*E3867</f>
        <v>88000</v>
      </c>
    </row>
    <row r="3868" spans="1:8">
      <c r="A3868" s="294"/>
      <c r="B3868" s="410" t="s">
        <v>871</v>
      </c>
      <c r="C3868" s="283" t="s">
        <v>678</v>
      </c>
      <c r="D3868" s="283" t="s">
        <v>675</v>
      </c>
      <c r="E3868" s="428">
        <v>0.8</v>
      </c>
      <c r="F3868" s="360">
        <f>'UPAD-BAHAN-ALAT'!$I$13</f>
        <v>140000</v>
      </c>
      <c r="G3868" s="248">
        <f>F3868*E3868</f>
        <v>112000</v>
      </c>
    </row>
    <row r="3869" spans="1:8">
      <c r="A3869" s="294"/>
      <c r="B3869" s="410" t="s">
        <v>751</v>
      </c>
      <c r="C3869" s="283" t="s">
        <v>681</v>
      </c>
      <c r="D3869" s="283" t="s">
        <v>675</v>
      </c>
      <c r="E3869" s="428">
        <v>0.08</v>
      </c>
      <c r="F3869" s="360">
        <f>'UPAD-BAHAN-ALAT'!$I$15</f>
        <v>150000</v>
      </c>
      <c r="G3869" s="248">
        <f>F3869*E3869</f>
        <v>12000</v>
      </c>
    </row>
    <row r="3870" spans="1:8">
      <c r="A3870" s="294"/>
      <c r="B3870" s="410" t="s">
        <v>683</v>
      </c>
      <c r="C3870" s="283" t="s">
        <v>684</v>
      </c>
      <c r="D3870" s="283" t="s">
        <v>675</v>
      </c>
      <c r="E3870" s="428">
        <v>0.04</v>
      </c>
      <c r="F3870" s="360">
        <f>'UPAD-BAHAN-ALAT'!$I$14</f>
        <v>140000</v>
      </c>
      <c r="G3870" s="248">
        <f>F3870*E3870</f>
        <v>5600</v>
      </c>
    </row>
    <row r="3871" spans="1:8">
      <c r="A3871" s="294"/>
      <c r="B3871" s="410"/>
      <c r="C3871" s="283"/>
      <c r="D3871" s="283"/>
      <c r="E3871" s="428" t="s">
        <v>685</v>
      </c>
      <c r="F3871" s="390"/>
      <c r="G3871" s="248">
        <f>SUM(G3867:G3870)</f>
        <v>217600</v>
      </c>
    </row>
    <row r="3872" spans="1:8">
      <c r="A3872" s="294" t="s">
        <v>686</v>
      </c>
      <c r="B3872" s="410" t="s">
        <v>687</v>
      </c>
      <c r="C3872" s="283"/>
      <c r="D3872" s="283"/>
      <c r="E3872" s="428"/>
      <c r="F3872" s="360"/>
      <c r="G3872" s="248"/>
    </row>
    <row r="3873" spans="1:8">
      <c r="A3873" s="294"/>
      <c r="B3873" s="410" t="s">
        <v>1192</v>
      </c>
      <c r="C3873" s="283"/>
      <c r="D3873" s="283" t="s">
        <v>2646</v>
      </c>
      <c r="E3873" s="428">
        <v>1.4999999999999999E-2</v>
      </c>
      <c r="F3873" s="360">
        <f>'UPAD-BAHAN-ALAT'!$I$96</f>
        <v>3465000</v>
      </c>
      <c r="G3873" s="248">
        <f>F3873*E3873</f>
        <v>51975</v>
      </c>
    </row>
    <row r="3874" spans="1:8">
      <c r="A3874" s="294"/>
      <c r="B3874" s="410" t="s">
        <v>1188</v>
      </c>
      <c r="C3874" s="288"/>
      <c r="D3874" s="283" t="s">
        <v>773</v>
      </c>
      <c r="E3874" s="428">
        <v>0.01</v>
      </c>
      <c r="F3874" s="702">
        <f>'UPAD-BAHAN-ALAT'!$I$139</f>
        <v>21000</v>
      </c>
      <c r="G3874" s="248">
        <f>F3874*E3874</f>
        <v>210</v>
      </c>
    </row>
    <row r="3875" spans="1:8">
      <c r="A3875" s="294"/>
      <c r="B3875" s="410"/>
      <c r="C3875" s="288"/>
      <c r="D3875" s="283"/>
      <c r="E3875" s="428" t="s">
        <v>702</v>
      </c>
      <c r="F3875" s="390"/>
      <c r="G3875" s="248">
        <f>SUM(G3873:G3874)</f>
        <v>52185</v>
      </c>
    </row>
    <row r="3876" spans="1:8" s="265" customFormat="1">
      <c r="A3876" s="294" t="s">
        <v>703</v>
      </c>
      <c r="B3876" s="357" t="s">
        <v>3910</v>
      </c>
      <c r="C3876" s="610"/>
      <c r="D3876" s="610"/>
      <c r="E3876" s="611"/>
      <c r="F3876" s="612"/>
      <c r="G3876" s="255">
        <f>G3871+G3875</f>
        <v>269785</v>
      </c>
    </row>
    <row r="3877" spans="1:8" s="265" customFormat="1">
      <c r="A3877" s="294" t="s">
        <v>706</v>
      </c>
      <c r="B3877" s="1148" t="s">
        <v>876</v>
      </c>
      <c r="C3877" s="1148"/>
      <c r="D3877" s="1148"/>
      <c r="E3877" s="1147" t="s">
        <v>4030</v>
      </c>
      <c r="F3877" s="1147"/>
      <c r="G3877" s="255">
        <f>G3876*0.15</f>
        <v>40467.75</v>
      </c>
    </row>
    <row r="3878" spans="1:8" s="265" customFormat="1">
      <c r="A3878" s="294" t="s">
        <v>708</v>
      </c>
      <c r="B3878" s="1149" t="s">
        <v>3911</v>
      </c>
      <c r="C3878" s="1149"/>
      <c r="D3878" s="1149"/>
      <c r="E3878" s="1149"/>
      <c r="F3878" s="1149"/>
      <c r="G3878" s="255">
        <f>ROUND(SUM(G3876:G3877),2)</f>
        <v>310252.75</v>
      </c>
      <c r="H3878" s="255">
        <f>SUM(G3876:G3877)</f>
        <v>310252.75</v>
      </c>
    </row>
    <row r="3880" spans="1:8" s="814" customFormat="1">
      <c r="A3880" s="847" t="s">
        <v>4234</v>
      </c>
      <c r="B3880" s="848" t="s">
        <v>4555</v>
      </c>
      <c r="C3880" s="849"/>
      <c r="D3880" s="849"/>
      <c r="E3880" s="850"/>
      <c r="F3880" s="851"/>
      <c r="G3880" s="852"/>
    </row>
    <row r="3881" spans="1:8" s="858" customFormat="1" ht="24.95" customHeight="1">
      <c r="A3881" s="853" t="s">
        <v>1003</v>
      </c>
      <c r="B3881" s="853" t="s">
        <v>1004</v>
      </c>
      <c r="C3881" s="853" t="s">
        <v>1005</v>
      </c>
      <c r="D3881" s="853" t="s">
        <v>1006</v>
      </c>
      <c r="E3881" s="880" t="s">
        <v>1007</v>
      </c>
      <c r="F3881" s="881" t="s">
        <v>2637</v>
      </c>
      <c r="G3881" s="857" t="s">
        <v>2638</v>
      </c>
    </row>
    <row r="3882" spans="1:8" s="814" customFormat="1">
      <c r="A3882" s="859" t="s">
        <v>671</v>
      </c>
      <c r="B3882" s="891" t="s">
        <v>672</v>
      </c>
      <c r="C3882" s="865"/>
      <c r="D3882" s="865"/>
      <c r="E3882" s="889"/>
      <c r="F3882" s="866"/>
      <c r="G3882" s="864"/>
    </row>
    <row r="3883" spans="1:8" s="814" customFormat="1">
      <c r="A3883" s="859"/>
      <c r="B3883" s="891" t="s">
        <v>673</v>
      </c>
      <c r="C3883" s="865" t="s">
        <v>674</v>
      </c>
      <c r="D3883" s="865" t="s">
        <v>675</v>
      </c>
      <c r="E3883" s="889">
        <v>0.1</v>
      </c>
      <c r="F3883" s="866">
        <f>'UPAD-BAHAN-ALAT'!$I$12</f>
        <v>110000</v>
      </c>
      <c r="G3883" s="864">
        <f>F3883*E3883</f>
        <v>11000</v>
      </c>
    </row>
    <row r="3884" spans="1:8" s="814" customFormat="1">
      <c r="A3884" s="859"/>
      <c r="B3884" s="891" t="s">
        <v>871</v>
      </c>
      <c r="C3884" s="865" t="s">
        <v>678</v>
      </c>
      <c r="D3884" s="865" t="s">
        <v>675</v>
      </c>
      <c r="E3884" s="889">
        <v>0.05</v>
      </c>
      <c r="F3884" s="866">
        <f>'UPAD-BAHAN-ALAT'!$I$13</f>
        <v>140000</v>
      </c>
      <c r="G3884" s="864">
        <f>F3884*E3884</f>
        <v>7000</v>
      </c>
    </row>
    <row r="3885" spans="1:8" s="814" customFormat="1">
      <c r="A3885" s="859"/>
      <c r="B3885" s="891" t="s">
        <v>751</v>
      </c>
      <c r="C3885" s="865" t="s">
        <v>681</v>
      </c>
      <c r="D3885" s="865" t="s">
        <v>675</v>
      </c>
      <c r="E3885" s="889">
        <v>5.0000000000000001E-3</v>
      </c>
      <c r="F3885" s="866">
        <f>'UPAD-BAHAN-ALAT'!$I$15</f>
        <v>150000</v>
      </c>
      <c r="G3885" s="864">
        <f>F3885*E3885</f>
        <v>750</v>
      </c>
    </row>
    <row r="3886" spans="1:8" s="814" customFormat="1">
      <c r="A3886" s="859"/>
      <c r="B3886" s="891" t="s">
        <v>683</v>
      </c>
      <c r="C3886" s="865" t="s">
        <v>684</v>
      </c>
      <c r="D3886" s="865" t="s">
        <v>675</v>
      </c>
      <c r="E3886" s="889">
        <v>5.0000000000000001E-3</v>
      </c>
      <c r="F3886" s="866">
        <f>'UPAD-BAHAN-ALAT'!$I$14</f>
        <v>140000</v>
      </c>
      <c r="G3886" s="864">
        <f>F3886*E3886</f>
        <v>700</v>
      </c>
    </row>
    <row r="3887" spans="1:8" s="814" customFormat="1">
      <c r="A3887" s="859"/>
      <c r="B3887" s="891"/>
      <c r="C3887" s="865"/>
      <c r="D3887" s="865"/>
      <c r="E3887" s="1156" t="s">
        <v>685</v>
      </c>
      <c r="F3887" s="1156"/>
      <c r="G3887" s="864">
        <f>SUM(G3883:G3886)</f>
        <v>19450</v>
      </c>
    </row>
    <row r="3888" spans="1:8" s="814" customFormat="1">
      <c r="A3888" s="859" t="s">
        <v>686</v>
      </c>
      <c r="B3888" s="891" t="s">
        <v>687</v>
      </c>
      <c r="C3888" s="865"/>
      <c r="D3888" s="865"/>
      <c r="E3888" s="889"/>
      <c r="F3888" s="866"/>
      <c r="G3888" s="864"/>
    </row>
    <row r="3889" spans="1:8" s="814" customFormat="1">
      <c r="A3889" s="859"/>
      <c r="B3889" s="891" t="s">
        <v>1193</v>
      </c>
      <c r="C3889" s="865"/>
      <c r="D3889" s="865" t="s">
        <v>888</v>
      </c>
      <c r="E3889" s="889">
        <v>0.36399999999999999</v>
      </c>
      <c r="F3889" s="866">
        <f>'UPAD-BAHAN-ALAT'!$I$339</f>
        <v>72250</v>
      </c>
      <c r="G3889" s="864">
        <f>F3889*E3889</f>
        <v>26299</v>
      </c>
    </row>
    <row r="3890" spans="1:8" s="814" customFormat="1">
      <c r="A3890" s="859"/>
      <c r="B3890" s="891" t="s">
        <v>1194</v>
      </c>
      <c r="C3890" s="865"/>
      <c r="D3890" s="865" t="s">
        <v>773</v>
      </c>
      <c r="E3890" s="889">
        <v>0.11</v>
      </c>
      <c r="F3890" s="866">
        <f>'UPAD-BAHAN-ALAT'!$I$140</f>
        <v>27500</v>
      </c>
      <c r="G3890" s="864">
        <f>F3890*E3890</f>
        <v>3025</v>
      </c>
    </row>
    <row r="3891" spans="1:8" s="814" customFormat="1">
      <c r="A3891" s="859"/>
      <c r="B3891" s="891"/>
      <c r="C3891" s="865"/>
      <c r="D3891" s="865"/>
      <c r="E3891" s="1187" t="s">
        <v>702</v>
      </c>
      <c r="F3891" s="1187"/>
      <c r="G3891" s="864">
        <f>SUM(G3889:G3890)</f>
        <v>29324</v>
      </c>
    </row>
    <row r="3892" spans="1:8" s="848" customFormat="1">
      <c r="A3892" s="859" t="s">
        <v>703</v>
      </c>
      <c r="B3892" s="1158" t="s">
        <v>3910</v>
      </c>
      <c r="C3892" s="1158"/>
      <c r="D3892" s="1158"/>
      <c r="E3892" s="1158"/>
      <c r="F3892" s="1158"/>
      <c r="G3892" s="872">
        <f>G3887+G3891</f>
        <v>48774</v>
      </c>
    </row>
    <row r="3893" spans="1:8" s="848" customFormat="1">
      <c r="A3893" s="859" t="s">
        <v>706</v>
      </c>
      <c r="B3893" s="1152" t="s">
        <v>876</v>
      </c>
      <c r="C3893" s="1152"/>
      <c r="D3893" s="1152"/>
      <c r="E3893" s="1153" t="s">
        <v>4030</v>
      </c>
      <c r="F3893" s="1153"/>
      <c r="G3893" s="872">
        <f>G3892*0.15</f>
        <v>7316.0999999999995</v>
      </c>
    </row>
    <row r="3894" spans="1:8" s="848" customFormat="1">
      <c r="A3894" s="859" t="s">
        <v>708</v>
      </c>
      <c r="B3894" s="1154" t="s">
        <v>3911</v>
      </c>
      <c r="C3894" s="1154"/>
      <c r="D3894" s="1154"/>
      <c r="E3894" s="1154"/>
      <c r="F3894" s="1154"/>
      <c r="G3894" s="872">
        <f>ROUND(SUM(G3892:G3893),2)</f>
        <v>56090.1</v>
      </c>
      <c r="H3894" s="872">
        <f>SUM(G3892:G3893)</f>
        <v>56090.1</v>
      </c>
    </row>
    <row r="3895" spans="1:8">
      <c r="A3895" s="252"/>
      <c r="B3895" s="251"/>
      <c r="C3895" s="252"/>
      <c r="D3895" s="251"/>
      <c r="E3895" s="378"/>
      <c r="F3895" s="364"/>
      <c r="G3895" s="264"/>
      <c r="H3895" s="253"/>
    </row>
    <row r="3896" spans="1:8">
      <c r="A3896" s="286" t="s">
        <v>4553</v>
      </c>
      <c r="B3896" s="265" t="s">
        <v>4554</v>
      </c>
    </row>
    <row r="3897" spans="1:8" s="292" customFormat="1" ht="24.95" customHeight="1">
      <c r="A3897" s="290" t="s">
        <v>1003</v>
      </c>
      <c r="B3897" s="290" t="s">
        <v>1004</v>
      </c>
      <c r="C3897" s="290" t="s">
        <v>1005</v>
      </c>
      <c r="D3897" s="290" t="s">
        <v>1006</v>
      </c>
      <c r="E3897" s="373" t="s">
        <v>1007</v>
      </c>
      <c r="F3897" s="363" t="s">
        <v>2637</v>
      </c>
      <c r="G3897" s="291" t="s">
        <v>2638</v>
      </c>
    </row>
    <row r="3898" spans="1:8">
      <c r="A3898" s="294" t="s">
        <v>671</v>
      </c>
      <c r="B3898" s="410" t="s">
        <v>672</v>
      </c>
      <c r="C3898" s="247"/>
      <c r="D3898" s="247"/>
      <c r="E3898" s="372"/>
      <c r="F3898" s="360"/>
      <c r="G3898" s="248"/>
    </row>
    <row r="3899" spans="1:8">
      <c r="A3899" s="294"/>
      <c r="B3899" s="410" t="s">
        <v>673</v>
      </c>
      <c r="C3899" s="247" t="s">
        <v>674</v>
      </c>
      <c r="D3899" s="247" t="s">
        <v>675</v>
      </c>
      <c r="E3899" s="372">
        <v>0.1</v>
      </c>
      <c r="F3899" s="360">
        <f>'UPAD-BAHAN-ALAT'!$I$12</f>
        <v>110000</v>
      </c>
      <c r="G3899" s="248">
        <f>F3899*E3899</f>
        <v>11000</v>
      </c>
    </row>
    <row r="3900" spans="1:8">
      <c r="A3900" s="294"/>
      <c r="B3900" s="410" t="s">
        <v>871</v>
      </c>
      <c r="C3900" s="247" t="s">
        <v>678</v>
      </c>
      <c r="D3900" s="247" t="s">
        <v>675</v>
      </c>
      <c r="E3900" s="372">
        <v>0.05</v>
      </c>
      <c r="F3900" s="360">
        <f>'UPAD-BAHAN-ALAT'!$I$13</f>
        <v>140000</v>
      </c>
      <c r="G3900" s="248">
        <f>F3900*E3900</f>
        <v>7000</v>
      </c>
    </row>
    <row r="3901" spans="1:8">
      <c r="A3901" s="294"/>
      <c r="B3901" s="410" t="s">
        <v>751</v>
      </c>
      <c r="C3901" s="247" t="s">
        <v>681</v>
      </c>
      <c r="D3901" s="247" t="s">
        <v>675</v>
      </c>
      <c r="E3901" s="372">
        <v>5.0000000000000001E-3</v>
      </c>
      <c r="F3901" s="360">
        <f>'UPAD-BAHAN-ALAT'!$I$15</f>
        <v>150000</v>
      </c>
      <c r="G3901" s="248">
        <f>F3901*E3901</f>
        <v>750</v>
      </c>
    </row>
    <row r="3902" spans="1:8">
      <c r="A3902" s="294"/>
      <c r="B3902" s="410" t="s">
        <v>683</v>
      </c>
      <c r="C3902" s="247" t="s">
        <v>684</v>
      </c>
      <c r="D3902" s="247" t="s">
        <v>675</v>
      </c>
      <c r="E3902" s="372">
        <v>5.0000000000000001E-3</v>
      </c>
      <c r="F3902" s="360">
        <f>'UPAD-BAHAN-ALAT'!$I$14</f>
        <v>140000</v>
      </c>
      <c r="G3902" s="248">
        <f>F3902*E3902</f>
        <v>700</v>
      </c>
    </row>
    <row r="3903" spans="1:8">
      <c r="A3903" s="294"/>
      <c r="B3903" s="410"/>
      <c r="C3903" s="247"/>
      <c r="D3903" s="247"/>
      <c r="E3903" s="1146" t="s">
        <v>685</v>
      </c>
      <c r="F3903" s="1146"/>
      <c r="G3903" s="248">
        <f>SUM(G3899:G3902)</f>
        <v>19450</v>
      </c>
    </row>
    <row r="3904" spans="1:8">
      <c r="A3904" s="294" t="s">
        <v>686</v>
      </c>
      <c r="B3904" s="410" t="s">
        <v>687</v>
      </c>
      <c r="C3904" s="247"/>
      <c r="D3904" s="247"/>
      <c r="E3904" s="372"/>
      <c r="F3904" s="360"/>
      <c r="G3904" s="248"/>
    </row>
    <row r="3905" spans="1:8">
      <c r="A3905" s="294"/>
      <c r="B3905" s="410" t="s">
        <v>3556</v>
      </c>
      <c r="C3905" s="247"/>
      <c r="D3905" s="247" t="s">
        <v>888</v>
      </c>
      <c r="E3905" s="372">
        <v>0.36399999999999999</v>
      </c>
      <c r="F3905" s="360">
        <f>'UPAD-BAHAN-ALAT'!$I$361</f>
        <v>102000</v>
      </c>
      <c r="G3905" s="248">
        <f>F3905*E3905</f>
        <v>37128</v>
      </c>
    </row>
    <row r="3906" spans="1:8">
      <c r="A3906" s="294"/>
      <c r="B3906" s="410" t="s">
        <v>1194</v>
      </c>
      <c r="C3906" s="247"/>
      <c r="D3906" s="247" t="s">
        <v>773</v>
      </c>
      <c r="E3906" s="372">
        <v>0.11</v>
      </c>
      <c r="F3906" s="360">
        <f>'UPAD-BAHAN-ALAT'!$I$140</f>
        <v>27500</v>
      </c>
      <c r="G3906" s="248">
        <f>F3906*E3906</f>
        <v>3025</v>
      </c>
    </row>
    <row r="3907" spans="1:8">
      <c r="A3907" s="294"/>
      <c r="B3907" s="295"/>
      <c r="C3907" s="296"/>
      <c r="D3907" s="296"/>
      <c r="E3907" s="1146" t="s">
        <v>702</v>
      </c>
      <c r="F3907" s="1146"/>
      <c r="G3907" s="248">
        <f>SUM(G3905:G3906)</f>
        <v>40153</v>
      </c>
    </row>
    <row r="3908" spans="1:8" s="265" customFormat="1">
      <c r="A3908" s="294" t="s">
        <v>703</v>
      </c>
      <c r="B3908" s="1147" t="s">
        <v>3910</v>
      </c>
      <c r="C3908" s="1147"/>
      <c r="D3908" s="1147"/>
      <c r="E3908" s="1147"/>
      <c r="F3908" s="1147"/>
      <c r="G3908" s="255">
        <f>G3903+G3907</f>
        <v>59603</v>
      </c>
    </row>
    <row r="3909" spans="1:8" s="265" customFormat="1">
      <c r="A3909" s="294" t="s">
        <v>706</v>
      </c>
      <c r="B3909" s="1148" t="s">
        <v>876</v>
      </c>
      <c r="C3909" s="1148"/>
      <c r="D3909" s="1148"/>
      <c r="E3909" s="1147" t="s">
        <v>4030</v>
      </c>
      <c r="F3909" s="1147"/>
      <c r="G3909" s="255">
        <f>G3908*0.15</f>
        <v>8940.4499999999989</v>
      </c>
    </row>
    <row r="3910" spans="1:8" s="265" customFormat="1">
      <c r="A3910" s="294" t="s">
        <v>708</v>
      </c>
      <c r="B3910" s="1149" t="s">
        <v>3911</v>
      </c>
      <c r="C3910" s="1149"/>
      <c r="D3910" s="1149"/>
      <c r="E3910" s="1149"/>
      <c r="F3910" s="1149"/>
      <c r="G3910" s="255">
        <f>ROUND(SUM(G3908:G3909),2)</f>
        <v>68543.45</v>
      </c>
      <c r="H3910" s="255">
        <f>SUM(G3908:G3909)</f>
        <v>68543.45</v>
      </c>
    </row>
    <row r="3911" spans="1:8">
      <c r="A3911" s="252"/>
      <c r="B3911" s="251"/>
      <c r="C3911" s="252"/>
      <c r="D3911" s="251"/>
      <c r="E3911" s="378"/>
      <c r="F3911" s="364"/>
      <c r="G3911" s="264"/>
      <c r="H3911" s="253"/>
    </row>
    <row r="3912" spans="1:8">
      <c r="A3912" s="286" t="s">
        <v>4235</v>
      </c>
      <c r="B3912" s="265" t="s">
        <v>4558</v>
      </c>
      <c r="H3912" s="253"/>
    </row>
    <row r="3913" spans="1:8" ht="24.95" customHeight="1">
      <c r="A3913" s="290" t="s">
        <v>1003</v>
      </c>
      <c r="B3913" s="290" t="s">
        <v>1004</v>
      </c>
      <c r="C3913" s="290" t="s">
        <v>1005</v>
      </c>
      <c r="D3913" s="290" t="s">
        <v>1006</v>
      </c>
      <c r="E3913" s="373" t="s">
        <v>1007</v>
      </c>
      <c r="F3913" s="363" t="s">
        <v>2637</v>
      </c>
      <c r="G3913" s="291" t="s">
        <v>2638</v>
      </c>
      <c r="H3913" s="253"/>
    </row>
    <row r="3914" spans="1:8">
      <c r="A3914" s="294" t="s">
        <v>671</v>
      </c>
      <c r="B3914" s="410" t="s">
        <v>672</v>
      </c>
      <c r="C3914" s="247"/>
      <c r="D3914" s="247"/>
      <c r="E3914" s="372"/>
      <c r="F3914" s="360"/>
      <c r="G3914" s="248"/>
      <c r="H3914" s="253"/>
    </row>
    <row r="3915" spans="1:8">
      <c r="A3915" s="294"/>
      <c r="B3915" s="410" t="s">
        <v>673</v>
      </c>
      <c r="C3915" s="247" t="s">
        <v>674</v>
      </c>
      <c r="D3915" s="247" t="s">
        <v>675</v>
      </c>
      <c r="E3915" s="372">
        <v>0.3</v>
      </c>
      <c r="F3915" s="360">
        <f>'UPAD-BAHAN-ALAT'!$I$12</f>
        <v>110000</v>
      </c>
      <c r="G3915" s="248">
        <f>F3915*E3915</f>
        <v>33000</v>
      </c>
      <c r="H3915" s="253"/>
    </row>
    <row r="3916" spans="1:8">
      <c r="A3916" s="294"/>
      <c r="B3916" s="410" t="s">
        <v>4559</v>
      </c>
      <c r="C3916" s="247" t="s">
        <v>678</v>
      </c>
      <c r="D3916" s="247" t="s">
        <v>675</v>
      </c>
      <c r="E3916" s="372">
        <v>0.09</v>
      </c>
      <c r="F3916" s="360">
        <f>'UPAD-BAHAN-ALAT'!$I$13</f>
        <v>140000</v>
      </c>
      <c r="G3916" s="248">
        <f>F3916*E3916</f>
        <v>12600</v>
      </c>
      <c r="H3916" s="253"/>
    </row>
    <row r="3917" spans="1:8">
      <c r="A3917" s="294"/>
      <c r="B3917" s="410" t="s">
        <v>751</v>
      </c>
      <c r="C3917" s="247" t="s">
        <v>681</v>
      </c>
      <c r="D3917" s="247" t="s">
        <v>675</v>
      </c>
      <c r="E3917" s="372">
        <v>8.9999999999999993E-3</v>
      </c>
      <c r="F3917" s="360">
        <f>'UPAD-BAHAN-ALAT'!$I$15</f>
        <v>150000</v>
      </c>
      <c r="G3917" s="248">
        <f>F3917*E3917</f>
        <v>1350</v>
      </c>
      <c r="H3917" s="253"/>
    </row>
    <row r="3918" spans="1:8">
      <c r="A3918" s="294"/>
      <c r="B3918" s="410" t="s">
        <v>683</v>
      </c>
      <c r="C3918" s="247" t="s">
        <v>684</v>
      </c>
      <c r="D3918" s="247" t="s">
        <v>675</v>
      </c>
      <c r="E3918" s="372">
        <v>8.9999999999999993E-3</v>
      </c>
      <c r="F3918" s="360">
        <f>'UPAD-BAHAN-ALAT'!$I$14</f>
        <v>140000</v>
      </c>
      <c r="G3918" s="248">
        <f>F3918*E3918</f>
        <v>1260</v>
      </c>
      <c r="H3918" s="253"/>
    </row>
    <row r="3919" spans="1:8">
      <c r="A3919" s="294"/>
      <c r="B3919" s="410"/>
      <c r="C3919" s="247"/>
      <c r="D3919" s="247"/>
      <c r="E3919" s="1146" t="s">
        <v>685</v>
      </c>
      <c r="F3919" s="1146"/>
      <c r="G3919" s="248">
        <f>SUM(G3915:G3918)</f>
        <v>48210</v>
      </c>
      <c r="H3919" s="253"/>
    </row>
    <row r="3920" spans="1:8">
      <c r="A3920" s="294" t="s">
        <v>686</v>
      </c>
      <c r="B3920" s="410" t="s">
        <v>687</v>
      </c>
      <c r="C3920" s="247"/>
      <c r="D3920" s="247"/>
      <c r="E3920" s="372"/>
      <c r="F3920" s="360"/>
      <c r="G3920" s="248"/>
      <c r="H3920" s="253"/>
    </row>
    <row r="3921" spans="1:8">
      <c r="A3921" s="294"/>
      <c r="B3921" s="410" t="s">
        <v>4556</v>
      </c>
      <c r="C3921" s="247"/>
      <c r="D3921" s="247" t="s">
        <v>2647</v>
      </c>
      <c r="E3921" s="372">
        <v>1.05</v>
      </c>
      <c r="F3921" s="360">
        <f>'UPAD-BAHAN-ALAT'!$I$342</f>
        <v>146000</v>
      </c>
      <c r="G3921" s="248">
        <f>F3921*E3921</f>
        <v>153300</v>
      </c>
      <c r="H3921" s="253"/>
    </row>
    <row r="3922" spans="1:8">
      <c r="A3922" s="294"/>
      <c r="B3922" s="410" t="s">
        <v>1194</v>
      </c>
      <c r="C3922" s="247"/>
      <c r="D3922" s="247" t="s">
        <v>773</v>
      </c>
      <c r="E3922" s="372">
        <v>0.11</v>
      </c>
      <c r="F3922" s="360">
        <f>'UPAD-BAHAN-ALAT'!$I$140</f>
        <v>27500</v>
      </c>
      <c r="G3922" s="248">
        <f>F3922*E3922</f>
        <v>3025</v>
      </c>
      <c r="H3922" s="253"/>
    </row>
    <row r="3923" spans="1:8">
      <c r="A3923" s="294"/>
      <c r="B3923" s="295"/>
      <c r="C3923" s="296"/>
      <c r="D3923" s="296"/>
      <c r="E3923" s="1146" t="s">
        <v>702</v>
      </c>
      <c r="F3923" s="1146"/>
      <c r="G3923" s="248">
        <f>SUM(G3921:G3922)</f>
        <v>156325</v>
      </c>
      <c r="H3923" s="253"/>
    </row>
    <row r="3924" spans="1:8">
      <c r="A3924" s="294" t="s">
        <v>703</v>
      </c>
      <c r="B3924" s="1147" t="s">
        <v>3910</v>
      </c>
      <c r="C3924" s="1147"/>
      <c r="D3924" s="1147"/>
      <c r="E3924" s="1147"/>
      <c r="F3924" s="1147"/>
      <c r="G3924" s="255">
        <f>G3919+G3923</f>
        <v>204535</v>
      </c>
      <c r="H3924" s="253"/>
    </row>
    <row r="3925" spans="1:8">
      <c r="A3925" s="294" t="s">
        <v>706</v>
      </c>
      <c r="B3925" s="1148" t="s">
        <v>876</v>
      </c>
      <c r="C3925" s="1148"/>
      <c r="D3925" s="1148"/>
      <c r="E3925" s="1147" t="s">
        <v>4030</v>
      </c>
      <c r="F3925" s="1147"/>
      <c r="G3925" s="255">
        <f>G3924*0.15</f>
        <v>30680.25</v>
      </c>
      <c r="H3925" s="253"/>
    </row>
    <row r="3926" spans="1:8">
      <c r="A3926" s="294" t="s">
        <v>708</v>
      </c>
      <c r="B3926" s="1149" t="s">
        <v>3911</v>
      </c>
      <c r="C3926" s="1149"/>
      <c r="D3926" s="1149"/>
      <c r="E3926" s="1149"/>
      <c r="F3926" s="1149"/>
      <c r="G3926" s="255">
        <f>ROUND(SUM(G3924:G3925),2)</f>
        <v>235215.25</v>
      </c>
      <c r="H3926" s="253"/>
    </row>
    <row r="3927" spans="1:8">
      <c r="A3927" s="252"/>
      <c r="B3927" s="251"/>
      <c r="C3927" s="252"/>
      <c r="D3927" s="251"/>
      <c r="E3927" s="378"/>
      <c r="F3927" s="364"/>
      <c r="G3927" s="264"/>
      <c r="H3927" s="253"/>
    </row>
    <row r="3928" spans="1:8">
      <c r="A3928" s="286" t="s">
        <v>4236</v>
      </c>
      <c r="B3928" s="265" t="s">
        <v>4557</v>
      </c>
      <c r="H3928" s="253"/>
    </row>
    <row r="3929" spans="1:8" ht="24.95" customHeight="1">
      <c r="A3929" s="290" t="s">
        <v>1003</v>
      </c>
      <c r="B3929" s="290" t="s">
        <v>1004</v>
      </c>
      <c r="C3929" s="290" t="s">
        <v>1005</v>
      </c>
      <c r="D3929" s="290" t="s">
        <v>1006</v>
      </c>
      <c r="E3929" s="373" t="s">
        <v>1007</v>
      </c>
      <c r="F3929" s="363" t="s">
        <v>2637</v>
      </c>
      <c r="G3929" s="291" t="s">
        <v>2638</v>
      </c>
      <c r="H3929" s="253"/>
    </row>
    <row r="3930" spans="1:8">
      <c r="A3930" s="294" t="s">
        <v>671</v>
      </c>
      <c r="B3930" s="410" t="s">
        <v>672</v>
      </c>
      <c r="C3930" s="247"/>
      <c r="D3930" s="247"/>
      <c r="E3930" s="372"/>
      <c r="F3930" s="360"/>
      <c r="G3930" s="248"/>
      <c r="H3930" s="253"/>
    </row>
    <row r="3931" spans="1:8">
      <c r="A3931" s="294"/>
      <c r="B3931" s="410" t="s">
        <v>673</v>
      </c>
      <c r="C3931" s="247" t="s">
        <v>674</v>
      </c>
      <c r="D3931" s="247" t="s">
        <v>675</v>
      </c>
      <c r="E3931" s="372">
        <v>0.3</v>
      </c>
      <c r="F3931" s="360">
        <f>'UPAD-BAHAN-ALAT'!$I$12</f>
        <v>110000</v>
      </c>
      <c r="G3931" s="248">
        <f>F3931*E3931</f>
        <v>33000</v>
      </c>
      <c r="H3931" s="253"/>
    </row>
    <row r="3932" spans="1:8">
      <c r="A3932" s="294"/>
      <c r="B3932" s="410" t="s">
        <v>4559</v>
      </c>
      <c r="C3932" s="247" t="s">
        <v>678</v>
      </c>
      <c r="D3932" s="247" t="s">
        <v>675</v>
      </c>
      <c r="E3932" s="372">
        <v>0.09</v>
      </c>
      <c r="F3932" s="360">
        <f>'UPAD-BAHAN-ALAT'!$I$13</f>
        <v>140000</v>
      </c>
      <c r="G3932" s="248">
        <f>F3932*E3932</f>
        <v>12600</v>
      </c>
      <c r="H3932" s="253"/>
    </row>
    <row r="3933" spans="1:8">
      <c r="A3933" s="294"/>
      <c r="B3933" s="410" t="s">
        <v>751</v>
      </c>
      <c r="C3933" s="247" t="s">
        <v>681</v>
      </c>
      <c r="D3933" s="247" t="s">
        <v>675</v>
      </c>
      <c r="E3933" s="372">
        <v>8.9999999999999993E-3</v>
      </c>
      <c r="F3933" s="360">
        <f>'UPAD-BAHAN-ALAT'!$I$15</f>
        <v>150000</v>
      </c>
      <c r="G3933" s="248">
        <f>F3933*E3933</f>
        <v>1350</v>
      </c>
      <c r="H3933" s="253"/>
    </row>
    <row r="3934" spans="1:8">
      <c r="A3934" s="294"/>
      <c r="B3934" s="410" t="s">
        <v>683</v>
      </c>
      <c r="C3934" s="247" t="s">
        <v>684</v>
      </c>
      <c r="D3934" s="247" t="s">
        <v>675</v>
      </c>
      <c r="E3934" s="372">
        <v>8.9999999999999993E-3</v>
      </c>
      <c r="F3934" s="360">
        <f>'UPAD-BAHAN-ALAT'!$I$14</f>
        <v>140000</v>
      </c>
      <c r="G3934" s="248">
        <f>F3934*E3934</f>
        <v>1260</v>
      </c>
      <c r="H3934" s="253"/>
    </row>
    <row r="3935" spans="1:8">
      <c r="A3935" s="294"/>
      <c r="B3935" s="410"/>
      <c r="C3935" s="247"/>
      <c r="D3935" s="247"/>
      <c r="E3935" s="1146" t="s">
        <v>685</v>
      </c>
      <c r="F3935" s="1146"/>
      <c r="G3935" s="248">
        <f>SUM(G3931:G3934)</f>
        <v>48210</v>
      </c>
      <c r="H3935" s="253"/>
    </row>
    <row r="3936" spans="1:8">
      <c r="A3936" s="294" t="s">
        <v>686</v>
      </c>
      <c r="B3936" s="410" t="s">
        <v>687</v>
      </c>
      <c r="C3936" s="247"/>
      <c r="D3936" s="247"/>
      <c r="E3936" s="372"/>
      <c r="F3936" s="360"/>
      <c r="G3936" s="248"/>
      <c r="H3936" s="253"/>
    </row>
    <row r="3937" spans="1:10">
      <c r="A3937" s="294"/>
      <c r="B3937" s="410" t="s">
        <v>4556</v>
      </c>
      <c r="C3937" s="247"/>
      <c r="D3937" s="247" t="s">
        <v>2647</v>
      </c>
      <c r="E3937" s="372">
        <v>1.5</v>
      </c>
      <c r="F3937" s="360">
        <f>'UPAD-BAHAN-ALAT'!$I$342</f>
        <v>146000</v>
      </c>
      <c r="G3937" s="248">
        <f>F3937*E3937</f>
        <v>219000</v>
      </c>
      <c r="H3937" s="253"/>
    </row>
    <row r="3938" spans="1:10">
      <c r="A3938" s="294"/>
      <c r="B3938" s="410" t="s">
        <v>1194</v>
      </c>
      <c r="C3938" s="247"/>
      <c r="D3938" s="247" t="s">
        <v>773</v>
      </c>
      <c r="E3938" s="372">
        <v>0.11</v>
      </c>
      <c r="F3938" s="360">
        <f>'UPAD-BAHAN-ALAT'!$I$140</f>
        <v>27500</v>
      </c>
      <c r="G3938" s="248">
        <f>F3938*E3938</f>
        <v>3025</v>
      </c>
      <c r="H3938" s="253"/>
    </row>
    <row r="3939" spans="1:10">
      <c r="A3939" s="294"/>
      <c r="B3939" s="295"/>
      <c r="C3939" s="296"/>
      <c r="D3939" s="296"/>
      <c r="E3939" s="1146" t="s">
        <v>702</v>
      </c>
      <c r="F3939" s="1146"/>
      <c r="G3939" s="248">
        <f>SUM(G3937:G3938)</f>
        <v>222025</v>
      </c>
      <c r="H3939" s="253"/>
      <c r="J3939" s="249" t="s">
        <v>4773</v>
      </c>
    </row>
    <row r="3940" spans="1:10">
      <c r="A3940" s="294" t="s">
        <v>703</v>
      </c>
      <c r="B3940" s="1147" t="s">
        <v>3910</v>
      </c>
      <c r="C3940" s="1147"/>
      <c r="D3940" s="1147"/>
      <c r="E3940" s="1147"/>
      <c r="F3940" s="1147"/>
      <c r="G3940" s="255">
        <f>G3935+G3939</f>
        <v>270235</v>
      </c>
      <c r="H3940" s="253"/>
    </row>
    <row r="3941" spans="1:10">
      <c r="A3941" s="294" t="s">
        <v>706</v>
      </c>
      <c r="B3941" s="1148" t="s">
        <v>876</v>
      </c>
      <c r="C3941" s="1148"/>
      <c r="D3941" s="1148"/>
      <c r="E3941" s="1147" t="s">
        <v>4030</v>
      </c>
      <c r="F3941" s="1147"/>
      <c r="G3941" s="255">
        <f>G3940*0.15</f>
        <v>40535.25</v>
      </c>
      <c r="H3941" s="253"/>
    </row>
    <row r="3942" spans="1:10">
      <c r="A3942" s="294" t="s">
        <v>708</v>
      </c>
      <c r="B3942" s="1149" t="s">
        <v>3911</v>
      </c>
      <c r="C3942" s="1149"/>
      <c r="D3942" s="1149"/>
      <c r="E3942" s="1149"/>
      <c r="F3942" s="1149"/>
      <c r="G3942" s="255">
        <f>ROUND(SUM(G3940:G3941),2)</f>
        <v>310770.25</v>
      </c>
      <c r="H3942" s="253"/>
    </row>
    <row r="3943" spans="1:10">
      <c r="A3943" s="252"/>
      <c r="B3943" s="251"/>
      <c r="C3943" s="252"/>
      <c r="D3943" s="251"/>
      <c r="E3943" s="378"/>
      <c r="F3943" s="364"/>
      <c r="G3943" s="264"/>
      <c r="H3943" s="253"/>
    </row>
    <row r="3944" spans="1:10">
      <c r="A3944" s="285" t="s">
        <v>4237</v>
      </c>
      <c r="B3944" s="250" t="s">
        <v>4613</v>
      </c>
      <c r="C3944" s="252"/>
      <c r="D3944" s="252"/>
      <c r="E3944" s="374"/>
      <c r="F3944" s="361"/>
      <c r="G3944" s="253"/>
    </row>
    <row r="3945" spans="1:10" s="292" customFormat="1" ht="24.95" customHeight="1">
      <c r="A3945" s="290" t="s">
        <v>1003</v>
      </c>
      <c r="B3945" s="290" t="s">
        <v>1004</v>
      </c>
      <c r="C3945" s="293" t="s">
        <v>1005</v>
      </c>
      <c r="D3945" s="293" t="s">
        <v>1006</v>
      </c>
      <c r="E3945" s="373" t="s">
        <v>1007</v>
      </c>
      <c r="F3945" s="363" t="s">
        <v>2637</v>
      </c>
      <c r="G3945" s="291" t="s">
        <v>2638</v>
      </c>
    </row>
    <row r="3946" spans="1:10">
      <c r="A3946" s="294" t="s">
        <v>671</v>
      </c>
      <c r="B3946" s="410" t="s">
        <v>672</v>
      </c>
      <c r="C3946" s="283"/>
      <c r="D3946" s="283"/>
      <c r="E3946" s="372"/>
      <c r="F3946" s="360"/>
      <c r="G3946" s="248"/>
    </row>
    <row r="3947" spans="1:10">
      <c r="A3947" s="294"/>
      <c r="B3947" s="410" t="s">
        <v>673</v>
      </c>
      <c r="C3947" s="283" t="s">
        <v>674</v>
      </c>
      <c r="D3947" s="283" t="s">
        <v>675</v>
      </c>
      <c r="E3947" s="372">
        <v>0.5</v>
      </c>
      <c r="F3947" s="360">
        <f>'UPAD-BAHAN-ALAT'!$I$12</f>
        <v>110000</v>
      </c>
      <c r="G3947" s="248">
        <f>F3947*E3947</f>
        <v>55000</v>
      </c>
    </row>
    <row r="3948" spans="1:10">
      <c r="A3948" s="294"/>
      <c r="B3948" s="410" t="s">
        <v>855</v>
      </c>
      <c r="C3948" s="283" t="s">
        <v>678</v>
      </c>
      <c r="D3948" s="283" t="s">
        <v>675</v>
      </c>
      <c r="E3948" s="372">
        <v>0.5</v>
      </c>
      <c r="F3948" s="360">
        <f>'UPAD-BAHAN-ALAT'!$I$13</f>
        <v>140000</v>
      </c>
      <c r="G3948" s="248">
        <f>F3948*E3948</f>
        <v>70000</v>
      </c>
    </row>
    <row r="3949" spans="1:10">
      <c r="A3949" s="294"/>
      <c r="B3949" s="410" t="s">
        <v>751</v>
      </c>
      <c r="C3949" s="283" t="s">
        <v>681</v>
      </c>
      <c r="D3949" s="283" t="s">
        <v>675</v>
      </c>
      <c r="E3949" s="372">
        <v>0.05</v>
      </c>
      <c r="F3949" s="360">
        <f>'UPAD-BAHAN-ALAT'!$I$15</f>
        <v>150000</v>
      </c>
      <c r="G3949" s="248">
        <f>F3949*E3949</f>
        <v>7500</v>
      </c>
    </row>
    <row r="3950" spans="1:10">
      <c r="A3950" s="294"/>
      <c r="B3950" s="410" t="s">
        <v>683</v>
      </c>
      <c r="C3950" s="283" t="s">
        <v>684</v>
      </c>
      <c r="D3950" s="283" t="s">
        <v>675</v>
      </c>
      <c r="E3950" s="372">
        <v>2.5000000000000001E-2</v>
      </c>
      <c r="F3950" s="360">
        <f>'UPAD-BAHAN-ALAT'!$I$14</f>
        <v>140000</v>
      </c>
      <c r="G3950" s="248">
        <f>F3950*E3950</f>
        <v>3500</v>
      </c>
    </row>
    <row r="3951" spans="1:10">
      <c r="A3951" s="294"/>
      <c r="B3951" s="410"/>
      <c r="C3951" s="283"/>
      <c r="D3951" s="283"/>
      <c r="E3951" s="428" t="s">
        <v>685</v>
      </c>
      <c r="F3951" s="390"/>
      <c r="G3951" s="248">
        <f>SUM(G3947:G3950)</f>
        <v>136000</v>
      </c>
    </row>
    <row r="3952" spans="1:10">
      <c r="A3952" s="294" t="s">
        <v>686</v>
      </c>
      <c r="B3952" s="410" t="s">
        <v>687</v>
      </c>
      <c r="C3952" s="283"/>
      <c r="D3952" s="283"/>
      <c r="E3952" s="372"/>
      <c r="F3952" s="360"/>
      <c r="G3952" s="248"/>
    </row>
    <row r="3953" spans="1:8">
      <c r="A3953" s="294"/>
      <c r="B3953" s="410" t="s">
        <v>1196</v>
      </c>
      <c r="C3953" s="283"/>
      <c r="D3953" s="283" t="s">
        <v>853</v>
      </c>
      <c r="E3953" s="372">
        <v>3.6</v>
      </c>
      <c r="F3953" s="360">
        <f>'UPAD-BAHAN-ALAT'!$I$350</f>
        <v>25000</v>
      </c>
      <c r="G3953" s="248">
        <f>F3953*E3953</f>
        <v>90000</v>
      </c>
    </row>
    <row r="3954" spans="1:8">
      <c r="A3954" s="294"/>
      <c r="B3954" s="410" t="s">
        <v>1197</v>
      </c>
      <c r="C3954" s="283"/>
      <c r="D3954" s="283" t="s">
        <v>773</v>
      </c>
      <c r="E3954" s="372">
        <v>0.15</v>
      </c>
      <c r="F3954" s="360">
        <f>'UPAD-BAHAN-ALAT'!$I$354</f>
        <v>7200</v>
      </c>
      <c r="G3954" s="248">
        <f>F3954*E3954</f>
        <v>1080</v>
      </c>
    </row>
    <row r="3955" spans="1:8">
      <c r="A3955" s="294"/>
      <c r="B3955" s="410" t="s">
        <v>1198</v>
      </c>
      <c r="C3955" s="283"/>
      <c r="D3955" s="283" t="s">
        <v>866</v>
      </c>
      <c r="E3955" s="372">
        <v>1.05</v>
      </c>
      <c r="F3955" s="360">
        <f>'UPAD-BAHAN-ALAT'!$I$356</f>
        <v>2900</v>
      </c>
      <c r="G3955" s="248">
        <f>F3955*E3955</f>
        <v>3045</v>
      </c>
    </row>
    <row r="3956" spans="1:8">
      <c r="A3956" s="294"/>
      <c r="B3956" s="410" t="s">
        <v>1199</v>
      </c>
      <c r="C3956" s="283"/>
      <c r="D3956" s="283" t="s">
        <v>888</v>
      </c>
      <c r="E3956" s="372">
        <v>1.5</v>
      </c>
      <c r="F3956" s="360">
        <f>'UPAD-BAHAN-ALAT'!$I$358</f>
        <v>30000</v>
      </c>
      <c r="G3956" s="248">
        <f>F3956*E3956</f>
        <v>45000</v>
      </c>
    </row>
    <row r="3957" spans="1:8">
      <c r="A3957" s="294"/>
      <c r="B3957" s="410"/>
      <c r="C3957" s="288"/>
      <c r="D3957" s="288"/>
      <c r="E3957" s="428" t="s">
        <v>702</v>
      </c>
      <c r="F3957" s="390"/>
      <c r="G3957" s="248">
        <f>SUM(G3953:G3956)</f>
        <v>139125</v>
      </c>
    </row>
    <row r="3958" spans="1:8" s="265" customFormat="1">
      <c r="A3958" s="294" t="s">
        <v>703</v>
      </c>
      <c r="B3958" s="1151" t="s">
        <v>3910</v>
      </c>
      <c r="C3958" s="1151"/>
      <c r="D3958" s="1151"/>
      <c r="E3958" s="1151"/>
      <c r="F3958" s="1151"/>
      <c r="G3958" s="255">
        <f>G3951+G3957</f>
        <v>275125</v>
      </c>
    </row>
    <row r="3959" spans="1:8" s="265" customFormat="1">
      <c r="A3959" s="294" t="s">
        <v>706</v>
      </c>
      <c r="B3959" s="1148" t="s">
        <v>876</v>
      </c>
      <c r="C3959" s="1148"/>
      <c r="D3959" s="1148"/>
      <c r="E3959" s="1147" t="s">
        <v>4030</v>
      </c>
      <c r="F3959" s="1147"/>
      <c r="G3959" s="255">
        <f>G3958*0.15</f>
        <v>41268.75</v>
      </c>
    </row>
    <row r="3960" spans="1:8" s="265" customFormat="1">
      <c r="A3960" s="294" t="s">
        <v>708</v>
      </c>
      <c r="B3960" s="1149" t="s">
        <v>3911</v>
      </c>
      <c r="C3960" s="1149"/>
      <c r="D3960" s="1149"/>
      <c r="E3960" s="1149"/>
      <c r="F3960" s="1149"/>
      <c r="G3960" s="255">
        <f>ROUND(SUM(G3958:G3959),2)</f>
        <v>316393.75</v>
      </c>
      <c r="H3960" s="255">
        <f>G3958+G3959</f>
        <v>316393.75</v>
      </c>
    </row>
    <row r="3962" spans="1:8" s="814" customFormat="1">
      <c r="A3962" s="808" t="s">
        <v>4754</v>
      </c>
      <c r="B3962" s="809" t="s">
        <v>4755</v>
      </c>
      <c r="C3962" s="810"/>
      <c r="D3962" s="810"/>
      <c r="E3962" s="811"/>
      <c r="F3962" s="812"/>
      <c r="G3962" s="813"/>
    </row>
    <row r="3963" spans="1:8" s="814" customFormat="1">
      <c r="A3963" s="853" t="s">
        <v>1003</v>
      </c>
      <c r="B3963" s="853" t="s">
        <v>1004</v>
      </c>
      <c r="C3963" s="854" t="s">
        <v>1005</v>
      </c>
      <c r="D3963" s="854" t="s">
        <v>1006</v>
      </c>
      <c r="E3963" s="880" t="s">
        <v>1007</v>
      </c>
      <c r="F3963" s="881" t="s">
        <v>2637</v>
      </c>
      <c r="G3963" s="857" t="s">
        <v>2638</v>
      </c>
    </row>
    <row r="3964" spans="1:8" s="814" customFormat="1">
      <c r="A3964" s="859" t="s">
        <v>671</v>
      </c>
      <c r="B3964" s="891" t="s">
        <v>672</v>
      </c>
      <c r="C3964" s="861"/>
      <c r="D3964" s="861"/>
      <c r="E3964" s="889"/>
      <c r="F3964" s="866"/>
      <c r="G3964" s="864"/>
    </row>
    <row r="3965" spans="1:8" s="814" customFormat="1">
      <c r="A3965" s="859"/>
      <c r="B3965" s="891" t="s">
        <v>673</v>
      </c>
      <c r="C3965" s="861" t="s">
        <v>674</v>
      </c>
      <c r="D3965" s="861" t="s">
        <v>675</v>
      </c>
      <c r="E3965" s="889">
        <v>0.1</v>
      </c>
      <c r="F3965" s="866">
        <f>'UPAD-BAHAN-ALAT'!$I$12</f>
        <v>110000</v>
      </c>
      <c r="G3965" s="864">
        <f>F3965*E3965</f>
        <v>11000</v>
      </c>
    </row>
    <row r="3966" spans="1:8" s="814" customFormat="1">
      <c r="A3966" s="859"/>
      <c r="B3966" s="891" t="s">
        <v>855</v>
      </c>
      <c r="C3966" s="861" t="s">
        <v>678</v>
      </c>
      <c r="D3966" s="861" t="s">
        <v>675</v>
      </c>
      <c r="E3966" s="889">
        <v>0.05</v>
      </c>
      <c r="F3966" s="866">
        <f>'UPAD-BAHAN-ALAT'!$I$13</f>
        <v>140000</v>
      </c>
      <c r="G3966" s="864">
        <f>F3966*E3966</f>
        <v>7000</v>
      </c>
    </row>
    <row r="3967" spans="1:8" s="814" customFormat="1">
      <c r="A3967" s="859"/>
      <c r="B3967" s="891" t="s">
        <v>751</v>
      </c>
      <c r="C3967" s="861" t="s">
        <v>681</v>
      </c>
      <c r="D3967" s="861" t="s">
        <v>675</v>
      </c>
      <c r="E3967" s="889">
        <v>5.0000000000000001E-3</v>
      </c>
      <c r="F3967" s="866">
        <f>'UPAD-BAHAN-ALAT'!$I$15</f>
        <v>150000</v>
      </c>
      <c r="G3967" s="864">
        <f>F3967*E3967</f>
        <v>750</v>
      </c>
    </row>
    <row r="3968" spans="1:8" s="814" customFormat="1">
      <c r="A3968" s="859"/>
      <c r="B3968" s="891" t="s">
        <v>683</v>
      </c>
      <c r="C3968" s="861" t="s">
        <v>684</v>
      </c>
      <c r="D3968" s="861" t="s">
        <v>675</v>
      </c>
      <c r="E3968" s="889">
        <v>5.0000000000000001E-3</v>
      </c>
      <c r="F3968" s="866">
        <f>'UPAD-BAHAN-ALAT'!$I$14</f>
        <v>140000</v>
      </c>
      <c r="G3968" s="864">
        <f>F3968*E3968</f>
        <v>700</v>
      </c>
    </row>
    <row r="3969" spans="1:7" s="814" customFormat="1">
      <c r="A3969" s="859"/>
      <c r="B3969" s="891"/>
      <c r="C3969" s="861"/>
      <c r="D3969" s="861"/>
      <c r="E3969" s="862" t="s">
        <v>685</v>
      </c>
      <c r="F3969" s="928"/>
      <c r="G3969" s="864">
        <f>SUM(G3965:G3968)</f>
        <v>19450</v>
      </c>
    </row>
    <row r="3970" spans="1:7" s="814" customFormat="1">
      <c r="A3970" s="859" t="s">
        <v>686</v>
      </c>
      <c r="B3970" s="891" t="s">
        <v>687</v>
      </c>
      <c r="C3970" s="861"/>
      <c r="D3970" s="861"/>
      <c r="E3970" s="889"/>
      <c r="F3970" s="866"/>
      <c r="G3970" s="864"/>
    </row>
    <row r="3971" spans="1:7" s="814" customFormat="1">
      <c r="A3971" s="859"/>
      <c r="B3971" s="891" t="s">
        <v>4756</v>
      </c>
      <c r="C3971" s="861"/>
      <c r="D3971" s="861" t="s">
        <v>853</v>
      </c>
      <c r="E3971" s="889">
        <v>3.6</v>
      </c>
      <c r="F3971" s="866">
        <f>'UPAD-BAHAN-ALAT'!I175</f>
        <v>5000</v>
      </c>
      <c r="G3971" s="864">
        <f>F3971*E3971</f>
        <v>18000</v>
      </c>
    </row>
    <row r="3972" spans="1:7" s="814" customFormat="1">
      <c r="A3972" s="859"/>
      <c r="B3972" s="891" t="s">
        <v>1197</v>
      </c>
      <c r="C3972" s="861"/>
      <c r="D3972" s="861" t="s">
        <v>773</v>
      </c>
      <c r="E3972" s="889">
        <v>0.15</v>
      </c>
      <c r="F3972" s="866">
        <f>'UPAD-BAHAN-ALAT'!$I$354</f>
        <v>7200</v>
      </c>
      <c r="G3972" s="864">
        <f>F3972*E3972</f>
        <v>1080</v>
      </c>
    </row>
    <row r="3973" spans="1:7" s="814" customFormat="1">
      <c r="A3973" s="859"/>
      <c r="B3973" s="891" t="s">
        <v>1198</v>
      </c>
      <c r="C3973" s="861"/>
      <c r="D3973" s="861" t="s">
        <v>866</v>
      </c>
      <c r="E3973" s="889">
        <v>1.05</v>
      </c>
      <c r="F3973" s="866">
        <f>'UPAD-BAHAN-ALAT'!$I$356</f>
        <v>2900</v>
      </c>
      <c r="G3973" s="864">
        <f>F3973*E3973</f>
        <v>3045</v>
      </c>
    </row>
    <row r="3974" spans="1:7" s="814" customFormat="1">
      <c r="A3974" s="859"/>
      <c r="B3974" s="891"/>
      <c r="C3974" s="923"/>
      <c r="D3974" s="923"/>
      <c r="E3974" s="862" t="s">
        <v>702</v>
      </c>
      <c r="F3974" s="928"/>
      <c r="G3974" s="864">
        <f>SUM(G3971:G3973)</f>
        <v>22125</v>
      </c>
    </row>
    <row r="3975" spans="1:7" s="814" customFormat="1">
      <c r="A3975" s="859" t="s">
        <v>703</v>
      </c>
      <c r="B3975" s="1158" t="s">
        <v>3910</v>
      </c>
      <c r="C3975" s="1158"/>
      <c r="D3975" s="1158"/>
      <c r="E3975" s="1158"/>
      <c r="F3975" s="1158"/>
      <c r="G3975" s="872">
        <f>G3969+G3974</f>
        <v>41575</v>
      </c>
    </row>
    <row r="3976" spans="1:7" s="814" customFormat="1">
      <c r="A3976" s="859" t="s">
        <v>706</v>
      </c>
      <c r="B3976" s="1152" t="s">
        <v>876</v>
      </c>
      <c r="C3976" s="1152"/>
      <c r="D3976" s="1152"/>
      <c r="E3976" s="1153" t="s">
        <v>4030</v>
      </c>
      <c r="F3976" s="1153"/>
      <c r="G3976" s="872">
        <f>G3975*0.15</f>
        <v>6236.25</v>
      </c>
    </row>
    <row r="3977" spans="1:7" s="814" customFormat="1">
      <c r="A3977" s="859" t="s">
        <v>708</v>
      </c>
      <c r="B3977" s="1154" t="s">
        <v>3911</v>
      </c>
      <c r="C3977" s="1154"/>
      <c r="D3977" s="1154"/>
      <c r="E3977" s="1154"/>
      <c r="F3977" s="1154"/>
      <c r="G3977" s="872">
        <f>ROUND(SUM(G3975:G3976),2)</f>
        <v>47811.25</v>
      </c>
    </row>
    <row r="3979" spans="1:7">
      <c r="A3979" s="286" t="s">
        <v>4238</v>
      </c>
      <c r="B3979" s="265" t="s">
        <v>2784</v>
      </c>
    </row>
    <row r="3980" spans="1:7" s="292" customFormat="1" ht="24.95" customHeight="1">
      <c r="A3980" s="290" t="s">
        <v>1003</v>
      </c>
      <c r="B3980" s="290" t="s">
        <v>1004</v>
      </c>
      <c r="C3980" s="290" t="s">
        <v>1005</v>
      </c>
      <c r="D3980" s="290" t="s">
        <v>1006</v>
      </c>
      <c r="E3980" s="373" t="s">
        <v>1007</v>
      </c>
      <c r="F3980" s="363" t="s">
        <v>2637</v>
      </c>
      <c r="G3980" s="291" t="s">
        <v>2638</v>
      </c>
    </row>
    <row r="3981" spans="1:7">
      <c r="A3981" s="294" t="s">
        <v>671</v>
      </c>
      <c r="B3981" s="410" t="s">
        <v>672</v>
      </c>
      <c r="C3981" s="247"/>
      <c r="D3981" s="247"/>
      <c r="E3981" s="372"/>
      <c r="F3981" s="360"/>
      <c r="G3981" s="248"/>
    </row>
    <row r="3982" spans="1:7">
      <c r="A3982" s="294"/>
      <c r="B3982" s="410" t="s">
        <v>673</v>
      </c>
      <c r="C3982" s="247" t="s">
        <v>674</v>
      </c>
      <c r="D3982" s="247" t="s">
        <v>675</v>
      </c>
      <c r="E3982" s="372">
        <v>0.05</v>
      </c>
      <c r="F3982" s="360">
        <f>'UPAD-BAHAN-ALAT'!$I$12</f>
        <v>110000</v>
      </c>
      <c r="G3982" s="248">
        <f>F3982*E3982</f>
        <v>5500</v>
      </c>
    </row>
    <row r="3983" spans="1:7">
      <c r="A3983" s="294"/>
      <c r="B3983" s="410" t="s">
        <v>677</v>
      </c>
      <c r="C3983" s="247" t="s">
        <v>678</v>
      </c>
      <c r="D3983" s="247" t="s">
        <v>675</v>
      </c>
      <c r="E3983" s="372">
        <v>0.05</v>
      </c>
      <c r="F3983" s="360">
        <f>'UPAD-BAHAN-ALAT'!$I$13</f>
        <v>140000</v>
      </c>
      <c r="G3983" s="248">
        <f>F3983*E3983</f>
        <v>7000</v>
      </c>
    </row>
    <row r="3984" spans="1:7">
      <c r="A3984" s="294"/>
      <c r="B3984" s="410" t="s">
        <v>751</v>
      </c>
      <c r="C3984" s="247" t="s">
        <v>681</v>
      </c>
      <c r="D3984" s="247" t="s">
        <v>675</v>
      </c>
      <c r="E3984" s="372">
        <v>5.0000000000000001E-3</v>
      </c>
      <c r="F3984" s="360">
        <f>'UPAD-BAHAN-ALAT'!$I$15</f>
        <v>150000</v>
      </c>
      <c r="G3984" s="248">
        <f>F3984*E3984</f>
        <v>750</v>
      </c>
    </row>
    <row r="3985" spans="1:7">
      <c r="A3985" s="294"/>
      <c r="B3985" s="410" t="s">
        <v>683</v>
      </c>
      <c r="C3985" s="247" t="s">
        <v>684</v>
      </c>
      <c r="D3985" s="247" t="s">
        <v>675</v>
      </c>
      <c r="E3985" s="372">
        <v>3.0000000000000001E-3</v>
      </c>
      <c r="F3985" s="360">
        <f>'UPAD-BAHAN-ALAT'!$I$14</f>
        <v>140000</v>
      </c>
      <c r="G3985" s="248">
        <f>F3985*E3985</f>
        <v>420</v>
      </c>
    </row>
    <row r="3986" spans="1:7">
      <c r="A3986" s="294"/>
      <c r="B3986" s="410"/>
      <c r="C3986" s="247"/>
      <c r="D3986" s="247"/>
      <c r="E3986" s="1144" t="s">
        <v>685</v>
      </c>
      <c r="F3986" s="1144"/>
      <c r="G3986" s="248">
        <f>SUM(G3982:G3985)</f>
        <v>13670</v>
      </c>
    </row>
    <row r="3987" spans="1:7">
      <c r="A3987" s="294" t="s">
        <v>686</v>
      </c>
      <c r="B3987" s="410" t="s">
        <v>687</v>
      </c>
      <c r="C3987" s="247"/>
      <c r="D3987" s="247"/>
      <c r="E3987" s="372"/>
      <c r="F3987" s="360"/>
      <c r="G3987" s="248"/>
    </row>
    <row r="3988" spans="1:7">
      <c r="A3988" s="294"/>
      <c r="B3988" s="410" t="s">
        <v>1200</v>
      </c>
      <c r="C3988" s="247"/>
      <c r="D3988" s="247" t="s">
        <v>853</v>
      </c>
      <c r="E3988" s="372">
        <v>1.05</v>
      </c>
      <c r="F3988" s="360">
        <f>'UPAD-BAHAN-ALAT'!$I$92</f>
        <v>4900</v>
      </c>
      <c r="G3988" s="248">
        <f>F3988*E3988</f>
        <v>5145</v>
      </c>
    </row>
    <row r="3989" spans="1:7">
      <c r="A3989" s="294"/>
      <c r="B3989" s="410" t="s">
        <v>1201</v>
      </c>
      <c r="C3989" s="247"/>
      <c r="D3989" s="247" t="s">
        <v>773</v>
      </c>
      <c r="E3989" s="372">
        <v>0.01</v>
      </c>
      <c r="F3989" s="360">
        <f>'UPAD-BAHAN-ALAT'!$I$139</f>
        <v>21000</v>
      </c>
      <c r="G3989" s="248">
        <f>F3989*E3989</f>
        <v>210</v>
      </c>
    </row>
    <row r="3990" spans="1:7">
      <c r="A3990" s="294"/>
      <c r="B3990" s="410"/>
      <c r="C3990" s="247"/>
      <c r="D3990" s="247"/>
      <c r="E3990" s="1144" t="s">
        <v>702</v>
      </c>
      <c r="F3990" s="1144"/>
      <c r="G3990" s="248">
        <f>SUM(G3988:G3989)</f>
        <v>5355</v>
      </c>
    </row>
    <row r="3991" spans="1:7" s="265" customFormat="1">
      <c r="A3991" s="294" t="s">
        <v>703</v>
      </c>
      <c r="B3991" s="1147" t="s">
        <v>3910</v>
      </c>
      <c r="C3991" s="1147"/>
      <c r="D3991" s="1147"/>
      <c r="E3991" s="1147"/>
      <c r="F3991" s="1147"/>
      <c r="G3991" s="255">
        <f>G3986+G3990</f>
        <v>19025</v>
      </c>
    </row>
    <row r="3992" spans="1:7" s="265" customFormat="1">
      <c r="A3992" s="294" t="s">
        <v>706</v>
      </c>
      <c r="B3992" s="1148" t="s">
        <v>876</v>
      </c>
      <c r="C3992" s="1148"/>
      <c r="D3992" s="1148"/>
      <c r="E3992" s="1147" t="s">
        <v>4030</v>
      </c>
      <c r="F3992" s="1147"/>
      <c r="G3992" s="255">
        <f>G3991*0.15</f>
        <v>2853.75</v>
      </c>
    </row>
    <row r="3993" spans="1:7" s="265" customFormat="1">
      <c r="A3993" s="294" t="s">
        <v>708</v>
      </c>
      <c r="B3993" s="1147" t="s">
        <v>3911</v>
      </c>
      <c r="C3993" s="1147"/>
      <c r="D3993" s="1147"/>
      <c r="E3993" s="1147"/>
      <c r="F3993" s="1147"/>
      <c r="G3993" s="255">
        <f>ROUND(SUM(G3991:G3992),2)</f>
        <v>21878.75</v>
      </c>
    </row>
    <row r="3995" spans="1:7">
      <c r="A3995" s="286" t="s">
        <v>4560</v>
      </c>
      <c r="B3995" s="265" t="s">
        <v>4614</v>
      </c>
    </row>
    <row r="3996" spans="1:7" ht="24.95" customHeight="1">
      <c r="A3996" s="290" t="s">
        <v>1003</v>
      </c>
      <c r="B3996" s="290" t="s">
        <v>1004</v>
      </c>
      <c r="C3996" s="290" t="s">
        <v>1005</v>
      </c>
      <c r="D3996" s="290" t="s">
        <v>1006</v>
      </c>
      <c r="E3996" s="373" t="s">
        <v>1007</v>
      </c>
      <c r="F3996" s="363" t="s">
        <v>2637</v>
      </c>
      <c r="G3996" s="291" t="s">
        <v>2638</v>
      </c>
    </row>
    <row r="3997" spans="1:7">
      <c r="A3997" s="294" t="s">
        <v>671</v>
      </c>
      <c r="B3997" s="410" t="s">
        <v>672</v>
      </c>
      <c r="C3997" s="247"/>
      <c r="D3997" s="247"/>
      <c r="E3997" s="372"/>
      <c r="F3997" s="360"/>
      <c r="G3997" s="248"/>
    </row>
    <row r="3998" spans="1:7">
      <c r="A3998" s="294"/>
      <c r="B3998" s="410" t="s">
        <v>673</v>
      </c>
      <c r="C3998" s="247" t="s">
        <v>674</v>
      </c>
      <c r="D3998" s="247" t="s">
        <v>675</v>
      </c>
      <c r="E3998" s="372">
        <v>0.05</v>
      </c>
      <c r="F3998" s="360">
        <f>'UPAD-BAHAN-ALAT'!$I$12</f>
        <v>110000</v>
      </c>
      <c r="G3998" s="248">
        <f>F3998*E3998</f>
        <v>5500</v>
      </c>
    </row>
    <row r="3999" spans="1:7">
      <c r="A3999" s="294"/>
      <c r="B3999" s="410" t="s">
        <v>871</v>
      </c>
      <c r="C3999" s="247" t="s">
        <v>678</v>
      </c>
      <c r="D3999" s="247" t="s">
        <v>675</v>
      </c>
      <c r="E3999" s="372">
        <v>0.05</v>
      </c>
      <c r="F3999" s="360">
        <f>'UPAD-BAHAN-ALAT'!$I$13</f>
        <v>140000</v>
      </c>
      <c r="G3999" s="248">
        <f>F3999*E3999</f>
        <v>7000</v>
      </c>
    </row>
    <row r="4000" spans="1:7">
      <c r="A4000" s="294"/>
      <c r="B4000" s="410" t="s">
        <v>751</v>
      </c>
      <c r="C4000" s="247" t="s">
        <v>681</v>
      </c>
      <c r="D4000" s="247" t="s">
        <v>675</v>
      </c>
      <c r="E4000" s="372">
        <v>5.0000000000000001E-3</v>
      </c>
      <c r="F4000" s="360">
        <f>'UPAD-BAHAN-ALAT'!$I$15</f>
        <v>150000</v>
      </c>
      <c r="G4000" s="248">
        <f>F4000*E4000</f>
        <v>750</v>
      </c>
    </row>
    <row r="4001" spans="1:7">
      <c r="A4001" s="294"/>
      <c r="B4001" s="410" t="s">
        <v>683</v>
      </c>
      <c r="C4001" s="247" t="s">
        <v>684</v>
      </c>
      <c r="D4001" s="247" t="s">
        <v>675</v>
      </c>
      <c r="E4001" s="372">
        <v>3.0000000000000001E-3</v>
      </c>
      <c r="F4001" s="360">
        <f>'UPAD-BAHAN-ALAT'!$I$14</f>
        <v>140000</v>
      </c>
      <c r="G4001" s="248">
        <f>F4001*E4001</f>
        <v>420</v>
      </c>
    </row>
    <row r="4002" spans="1:7">
      <c r="A4002" s="294"/>
      <c r="B4002" s="410"/>
      <c r="C4002" s="247"/>
      <c r="D4002" s="247"/>
      <c r="E4002" s="1146" t="s">
        <v>685</v>
      </c>
      <c r="F4002" s="1146"/>
      <c r="G4002" s="248">
        <f>SUM(G3998:G4001)</f>
        <v>13670</v>
      </c>
    </row>
    <row r="4003" spans="1:7">
      <c r="A4003" s="294" t="s">
        <v>686</v>
      </c>
      <c r="B4003" s="410" t="s">
        <v>687</v>
      </c>
      <c r="C4003" s="247"/>
      <c r="D4003" s="247"/>
      <c r="E4003" s="372"/>
      <c r="F4003" s="360"/>
      <c r="G4003" s="248"/>
    </row>
    <row r="4004" spans="1:7">
      <c r="A4004" s="294"/>
      <c r="B4004" s="410" t="s">
        <v>4561</v>
      </c>
      <c r="C4004" s="247"/>
      <c r="D4004" s="247" t="s">
        <v>853</v>
      </c>
      <c r="E4004" s="372">
        <v>1.05</v>
      </c>
      <c r="F4004" s="360">
        <f>'UPAD-BAHAN-ALAT'!$I$343</f>
        <v>12155</v>
      </c>
      <c r="G4004" s="248">
        <f>F4004*E4004</f>
        <v>12762.75</v>
      </c>
    </row>
    <row r="4005" spans="1:7">
      <c r="A4005" s="294"/>
      <c r="B4005" s="410" t="s">
        <v>3651</v>
      </c>
      <c r="C4005" s="247"/>
      <c r="D4005" s="247" t="s">
        <v>773</v>
      </c>
      <c r="E4005" s="372">
        <v>0.15</v>
      </c>
      <c r="F4005" s="360">
        <f>'UPAD-BAHAN-ALAT'!$I$376</f>
        <v>16500</v>
      </c>
      <c r="G4005" s="248">
        <f>F4005*E4005</f>
        <v>2475</v>
      </c>
    </row>
    <row r="4006" spans="1:7">
      <c r="A4006" s="294"/>
      <c r="B4006" s="295"/>
      <c r="C4006" s="296"/>
      <c r="D4006" s="296"/>
      <c r="E4006" s="1146" t="s">
        <v>702</v>
      </c>
      <c r="F4006" s="1146"/>
      <c r="G4006" s="248">
        <f>SUM(G4004:G4005)</f>
        <v>15237.75</v>
      </c>
    </row>
    <row r="4007" spans="1:7">
      <c r="A4007" s="294" t="s">
        <v>703</v>
      </c>
      <c r="B4007" s="1147" t="s">
        <v>3910</v>
      </c>
      <c r="C4007" s="1147"/>
      <c r="D4007" s="1147"/>
      <c r="E4007" s="1147"/>
      <c r="F4007" s="1147"/>
      <c r="G4007" s="255">
        <f>G4002+G4006</f>
        <v>28907.75</v>
      </c>
    </row>
    <row r="4008" spans="1:7">
      <c r="A4008" s="294" t="s">
        <v>706</v>
      </c>
      <c r="B4008" s="1148" t="s">
        <v>876</v>
      </c>
      <c r="C4008" s="1148"/>
      <c r="D4008" s="1148"/>
      <c r="E4008" s="1147" t="s">
        <v>4030</v>
      </c>
      <c r="F4008" s="1147"/>
      <c r="G4008" s="255">
        <f>G4007*0.15</f>
        <v>4336.1624999999995</v>
      </c>
    </row>
    <row r="4009" spans="1:7">
      <c r="A4009" s="294" t="s">
        <v>708</v>
      </c>
      <c r="B4009" s="1149" t="s">
        <v>3911</v>
      </c>
      <c r="C4009" s="1149"/>
      <c r="D4009" s="1149"/>
      <c r="E4009" s="1149"/>
      <c r="F4009" s="1149"/>
      <c r="G4009" s="255">
        <f>ROUND(SUM(G4007:G4008),2)</f>
        <v>33243.910000000003</v>
      </c>
    </row>
    <row r="4011" spans="1:7">
      <c r="A4011" s="286" t="s">
        <v>4562</v>
      </c>
      <c r="B4011" s="265" t="s">
        <v>4615</v>
      </c>
    </row>
    <row r="4012" spans="1:7" ht="24.95" customHeight="1">
      <c r="A4012" s="290" t="s">
        <v>1003</v>
      </c>
      <c r="B4012" s="290" t="s">
        <v>1004</v>
      </c>
      <c r="C4012" s="290" t="s">
        <v>1005</v>
      </c>
      <c r="D4012" s="290" t="s">
        <v>1006</v>
      </c>
      <c r="E4012" s="373" t="s">
        <v>1007</v>
      </c>
      <c r="F4012" s="363" t="s">
        <v>2637</v>
      </c>
      <c r="G4012" s="291" t="s">
        <v>2638</v>
      </c>
    </row>
    <row r="4013" spans="1:7">
      <c r="A4013" s="294" t="s">
        <v>671</v>
      </c>
      <c r="B4013" s="410" t="s">
        <v>672</v>
      </c>
      <c r="C4013" s="247"/>
      <c r="D4013" s="247"/>
      <c r="E4013" s="372"/>
      <c r="F4013" s="360"/>
      <c r="G4013" s="248"/>
    </row>
    <row r="4014" spans="1:7">
      <c r="A4014" s="294"/>
      <c r="B4014" s="410" t="s">
        <v>673</v>
      </c>
      <c r="C4014" s="247" t="s">
        <v>674</v>
      </c>
      <c r="D4014" s="247" t="s">
        <v>675</v>
      </c>
      <c r="E4014" s="372">
        <v>0.05</v>
      </c>
      <c r="F4014" s="360">
        <f>'UPAD-BAHAN-ALAT'!$I$12</f>
        <v>110000</v>
      </c>
      <c r="G4014" s="248">
        <f>F4014*E4014</f>
        <v>5500</v>
      </c>
    </row>
    <row r="4015" spans="1:7">
      <c r="A4015" s="294"/>
      <c r="B4015" s="410" t="s">
        <v>871</v>
      </c>
      <c r="C4015" s="247" t="s">
        <v>678</v>
      </c>
      <c r="D4015" s="247" t="s">
        <v>675</v>
      </c>
      <c r="E4015" s="372">
        <v>0.05</v>
      </c>
      <c r="F4015" s="360">
        <f>'UPAD-BAHAN-ALAT'!$I$13</f>
        <v>140000</v>
      </c>
      <c r="G4015" s="248">
        <f>F4015*E4015</f>
        <v>7000</v>
      </c>
    </row>
    <row r="4016" spans="1:7">
      <c r="A4016" s="294"/>
      <c r="B4016" s="410" t="s">
        <v>751</v>
      </c>
      <c r="C4016" s="247" t="s">
        <v>681</v>
      </c>
      <c r="D4016" s="247" t="s">
        <v>675</v>
      </c>
      <c r="E4016" s="372">
        <v>5.0000000000000001E-3</v>
      </c>
      <c r="F4016" s="360">
        <f>'UPAD-BAHAN-ALAT'!$I$15</f>
        <v>150000</v>
      </c>
      <c r="G4016" s="248">
        <f>F4016*E4016</f>
        <v>750</v>
      </c>
    </row>
    <row r="4017" spans="1:7">
      <c r="A4017" s="294"/>
      <c r="B4017" s="410" t="s">
        <v>683</v>
      </c>
      <c r="C4017" s="247" t="s">
        <v>684</v>
      </c>
      <c r="D4017" s="247" t="s">
        <v>675</v>
      </c>
      <c r="E4017" s="372">
        <v>3.0000000000000001E-3</v>
      </c>
      <c r="F4017" s="360">
        <f>'UPAD-BAHAN-ALAT'!$I$14</f>
        <v>140000</v>
      </c>
      <c r="G4017" s="248">
        <f>F4017*E4017</f>
        <v>420</v>
      </c>
    </row>
    <row r="4018" spans="1:7">
      <c r="A4018" s="294"/>
      <c r="B4018" s="410"/>
      <c r="C4018" s="247"/>
      <c r="D4018" s="247"/>
      <c r="E4018" s="1146" t="s">
        <v>685</v>
      </c>
      <c r="F4018" s="1146"/>
      <c r="G4018" s="248">
        <f>SUM(G4014:G4017)</f>
        <v>13670</v>
      </c>
    </row>
    <row r="4019" spans="1:7">
      <c r="A4019" s="294" t="s">
        <v>686</v>
      </c>
      <c r="B4019" s="410" t="s">
        <v>687</v>
      </c>
      <c r="C4019" s="247"/>
      <c r="D4019" s="247"/>
      <c r="E4019" s="372"/>
      <c r="F4019" s="360"/>
      <c r="G4019" s="248"/>
    </row>
    <row r="4020" spans="1:7">
      <c r="A4020" s="294"/>
      <c r="B4020" s="410" t="s">
        <v>3650</v>
      </c>
      <c r="C4020" s="247"/>
      <c r="D4020" s="247" t="s">
        <v>853</v>
      </c>
      <c r="E4020" s="372">
        <v>1.05</v>
      </c>
      <c r="F4020" s="360">
        <f>'UPAD-BAHAN-ALAT'!$I$344</f>
        <v>10200</v>
      </c>
      <c r="G4020" s="248">
        <f>F4020*E4020</f>
        <v>10710</v>
      </c>
    </row>
    <row r="4021" spans="1:7">
      <c r="A4021" s="294"/>
      <c r="B4021" s="410" t="s">
        <v>3651</v>
      </c>
      <c r="C4021" s="247"/>
      <c r="D4021" s="247" t="s">
        <v>773</v>
      </c>
      <c r="E4021" s="372">
        <v>0.15</v>
      </c>
      <c r="F4021" s="360">
        <f>'UPAD-BAHAN-ALAT'!$I$376</f>
        <v>16500</v>
      </c>
      <c r="G4021" s="248">
        <f>F4021*E4021</f>
        <v>2475</v>
      </c>
    </row>
    <row r="4022" spans="1:7">
      <c r="A4022" s="294"/>
      <c r="B4022" s="295"/>
      <c r="C4022" s="296"/>
      <c r="D4022" s="296"/>
      <c r="E4022" s="1146" t="s">
        <v>702</v>
      </c>
      <c r="F4022" s="1146"/>
      <c r="G4022" s="248">
        <f>SUM(G4020:G4021)</f>
        <v>13185</v>
      </c>
    </row>
    <row r="4023" spans="1:7">
      <c r="A4023" s="294" t="s">
        <v>703</v>
      </c>
      <c r="B4023" s="1147" t="s">
        <v>3910</v>
      </c>
      <c r="C4023" s="1147"/>
      <c r="D4023" s="1147"/>
      <c r="E4023" s="1147"/>
      <c r="F4023" s="1147"/>
      <c r="G4023" s="255">
        <f>G4018+G4022</f>
        <v>26855</v>
      </c>
    </row>
    <row r="4024" spans="1:7">
      <c r="A4024" s="294" t="s">
        <v>706</v>
      </c>
      <c r="B4024" s="1148" t="s">
        <v>876</v>
      </c>
      <c r="C4024" s="1148"/>
      <c r="D4024" s="1148"/>
      <c r="E4024" s="1147" t="s">
        <v>4030</v>
      </c>
      <c r="F4024" s="1147"/>
      <c r="G4024" s="255">
        <f>G4023*0.15</f>
        <v>4028.25</v>
      </c>
    </row>
    <row r="4025" spans="1:7">
      <c r="A4025" s="294" t="s">
        <v>708</v>
      </c>
      <c r="B4025" s="1149" t="s">
        <v>3911</v>
      </c>
      <c r="C4025" s="1149"/>
      <c r="D4025" s="1149"/>
      <c r="E4025" s="1149"/>
      <c r="F4025" s="1149"/>
      <c r="G4025" s="255">
        <f>ROUND(SUM(G4023:G4024),2)</f>
        <v>30883.25</v>
      </c>
    </row>
    <row r="4027" spans="1:7">
      <c r="A4027" s="286" t="s">
        <v>4563</v>
      </c>
      <c r="B4027" s="265" t="s">
        <v>4616</v>
      </c>
    </row>
    <row r="4028" spans="1:7" ht="24.95" customHeight="1">
      <c r="A4028" s="290" t="s">
        <v>1003</v>
      </c>
      <c r="B4028" s="290" t="s">
        <v>1004</v>
      </c>
      <c r="C4028" s="290" t="s">
        <v>1005</v>
      </c>
      <c r="D4028" s="290" t="s">
        <v>1006</v>
      </c>
      <c r="E4028" s="373" t="s">
        <v>1007</v>
      </c>
      <c r="F4028" s="363" t="s">
        <v>2637</v>
      </c>
      <c r="G4028" s="291" t="s">
        <v>2638</v>
      </c>
    </row>
    <row r="4029" spans="1:7">
      <c r="A4029" s="294" t="s">
        <v>671</v>
      </c>
      <c r="B4029" s="410" t="s">
        <v>672</v>
      </c>
      <c r="C4029" s="247"/>
      <c r="D4029" s="247"/>
      <c r="E4029" s="372"/>
      <c r="F4029" s="360"/>
      <c r="G4029" s="248"/>
    </row>
    <row r="4030" spans="1:7">
      <c r="A4030" s="294"/>
      <c r="B4030" s="410" t="s">
        <v>673</v>
      </c>
      <c r="C4030" s="247" t="s">
        <v>674</v>
      </c>
      <c r="D4030" s="247" t="s">
        <v>675</v>
      </c>
      <c r="E4030" s="372">
        <v>0.05</v>
      </c>
      <c r="F4030" s="360">
        <f>'UPAD-BAHAN-ALAT'!$I$12</f>
        <v>110000</v>
      </c>
      <c r="G4030" s="248">
        <f>F4030*E4030</f>
        <v>5500</v>
      </c>
    </row>
    <row r="4031" spans="1:7">
      <c r="A4031" s="294"/>
      <c r="B4031" s="410" t="s">
        <v>871</v>
      </c>
      <c r="C4031" s="247" t="s">
        <v>678</v>
      </c>
      <c r="D4031" s="247" t="s">
        <v>675</v>
      </c>
      <c r="E4031" s="372">
        <v>0.05</v>
      </c>
      <c r="F4031" s="360">
        <f>'UPAD-BAHAN-ALAT'!$I$13</f>
        <v>140000</v>
      </c>
      <c r="G4031" s="248">
        <f>F4031*E4031</f>
        <v>7000</v>
      </c>
    </row>
    <row r="4032" spans="1:7">
      <c r="A4032" s="294"/>
      <c r="B4032" s="410" t="s">
        <v>751</v>
      </c>
      <c r="C4032" s="247" t="s">
        <v>681</v>
      </c>
      <c r="D4032" s="247" t="s">
        <v>675</v>
      </c>
      <c r="E4032" s="372">
        <v>5.0000000000000001E-3</v>
      </c>
      <c r="F4032" s="360">
        <f>'UPAD-BAHAN-ALAT'!$I$15</f>
        <v>150000</v>
      </c>
      <c r="G4032" s="248">
        <f>F4032*E4032</f>
        <v>750</v>
      </c>
    </row>
    <row r="4033" spans="1:7">
      <c r="A4033" s="294"/>
      <c r="B4033" s="410" t="s">
        <v>683</v>
      </c>
      <c r="C4033" s="247" t="s">
        <v>684</v>
      </c>
      <c r="D4033" s="247" t="s">
        <v>675</v>
      </c>
      <c r="E4033" s="372">
        <v>3.0000000000000001E-3</v>
      </c>
      <c r="F4033" s="360">
        <f>'UPAD-BAHAN-ALAT'!$I$14</f>
        <v>140000</v>
      </c>
      <c r="G4033" s="248">
        <f>F4033*E4033</f>
        <v>420</v>
      </c>
    </row>
    <row r="4034" spans="1:7">
      <c r="A4034" s="294"/>
      <c r="B4034" s="410"/>
      <c r="C4034" s="247"/>
      <c r="D4034" s="247"/>
      <c r="E4034" s="1146" t="s">
        <v>685</v>
      </c>
      <c r="F4034" s="1146"/>
      <c r="G4034" s="248">
        <f>SUM(G4030:G4033)</f>
        <v>13670</v>
      </c>
    </row>
    <row r="4035" spans="1:7">
      <c r="A4035" s="294" t="s">
        <v>686</v>
      </c>
      <c r="B4035" s="410" t="s">
        <v>687</v>
      </c>
      <c r="C4035" s="247"/>
      <c r="D4035" s="247"/>
      <c r="E4035" s="372"/>
      <c r="F4035" s="360"/>
      <c r="G4035" s="248"/>
    </row>
    <row r="4036" spans="1:7">
      <c r="A4036" s="294"/>
      <c r="B4036" s="410" t="s">
        <v>4564</v>
      </c>
      <c r="C4036" s="247"/>
      <c r="D4036" s="247" t="s">
        <v>853</v>
      </c>
      <c r="E4036" s="372">
        <v>1.05</v>
      </c>
      <c r="F4036" s="360">
        <f>'UPAD-BAHAN-ALAT'!$I$345</f>
        <v>7012</v>
      </c>
      <c r="G4036" s="248">
        <f>F4036*E4036</f>
        <v>7362.6</v>
      </c>
    </row>
    <row r="4037" spans="1:7">
      <c r="A4037" s="294"/>
      <c r="B4037" s="410" t="s">
        <v>3651</v>
      </c>
      <c r="C4037" s="247"/>
      <c r="D4037" s="247" t="s">
        <v>773</v>
      </c>
      <c r="E4037" s="372">
        <v>0.15</v>
      </c>
      <c r="F4037" s="360">
        <f>'UPAD-BAHAN-ALAT'!$I$376</f>
        <v>16500</v>
      </c>
      <c r="G4037" s="248">
        <f>F4037*E4037</f>
        <v>2475</v>
      </c>
    </row>
    <row r="4038" spans="1:7">
      <c r="A4038" s="294"/>
      <c r="B4038" s="295"/>
      <c r="C4038" s="296"/>
      <c r="D4038" s="296"/>
      <c r="E4038" s="1146" t="s">
        <v>702</v>
      </c>
      <c r="F4038" s="1146"/>
      <c r="G4038" s="248">
        <f>SUM(G4036:G4037)</f>
        <v>9837.6</v>
      </c>
    </row>
    <row r="4039" spans="1:7">
      <c r="A4039" s="294" t="s">
        <v>703</v>
      </c>
      <c r="B4039" s="1147" t="s">
        <v>3910</v>
      </c>
      <c r="C4039" s="1147"/>
      <c r="D4039" s="1147"/>
      <c r="E4039" s="1147"/>
      <c r="F4039" s="1147"/>
      <c r="G4039" s="255">
        <f>G4034+G4038</f>
        <v>23507.599999999999</v>
      </c>
    </row>
    <row r="4040" spans="1:7">
      <c r="A4040" s="294" t="s">
        <v>706</v>
      </c>
      <c r="B4040" s="1148" t="s">
        <v>876</v>
      </c>
      <c r="C4040" s="1148"/>
      <c r="D4040" s="1148"/>
      <c r="E4040" s="1147" t="s">
        <v>4030</v>
      </c>
      <c r="F4040" s="1147"/>
      <c r="G4040" s="255">
        <f>G4039*0.15</f>
        <v>3526.14</v>
      </c>
    </row>
    <row r="4041" spans="1:7">
      <c r="A4041" s="294" t="s">
        <v>708</v>
      </c>
      <c r="B4041" s="1149" t="s">
        <v>3911</v>
      </c>
      <c r="C4041" s="1149"/>
      <c r="D4041" s="1149"/>
      <c r="E4041" s="1149"/>
      <c r="F4041" s="1149"/>
      <c r="G4041" s="255">
        <f>ROUND(SUM(G4039:G4040),2)</f>
        <v>27033.74</v>
      </c>
    </row>
    <row r="4043" spans="1:7">
      <c r="A4043" s="286" t="s">
        <v>4565</v>
      </c>
      <c r="B4043" s="265" t="s">
        <v>4617</v>
      </c>
    </row>
    <row r="4044" spans="1:7" ht="24.95" customHeight="1">
      <c r="A4044" s="290" t="s">
        <v>1003</v>
      </c>
      <c r="B4044" s="290" t="s">
        <v>1004</v>
      </c>
      <c r="C4044" s="290" t="s">
        <v>1005</v>
      </c>
      <c r="D4044" s="290" t="s">
        <v>1006</v>
      </c>
      <c r="E4044" s="373" t="s">
        <v>1007</v>
      </c>
      <c r="F4044" s="363" t="s">
        <v>2637</v>
      </c>
      <c r="G4044" s="291" t="s">
        <v>2638</v>
      </c>
    </row>
    <row r="4045" spans="1:7">
      <c r="A4045" s="294" t="s">
        <v>671</v>
      </c>
      <c r="B4045" s="410" t="s">
        <v>672</v>
      </c>
      <c r="C4045" s="247"/>
      <c r="D4045" s="247"/>
      <c r="E4045" s="372"/>
      <c r="F4045" s="360"/>
      <c r="G4045" s="248"/>
    </row>
    <row r="4046" spans="1:7">
      <c r="A4046" s="294"/>
      <c r="B4046" s="410" t="s">
        <v>673</v>
      </c>
      <c r="C4046" s="247" t="s">
        <v>674</v>
      </c>
      <c r="D4046" s="247" t="s">
        <v>675</v>
      </c>
      <c r="E4046" s="372">
        <v>0.05</v>
      </c>
      <c r="F4046" s="360">
        <f>'UPAD-BAHAN-ALAT'!$I$12</f>
        <v>110000</v>
      </c>
      <c r="G4046" s="248">
        <f>F4046*E4046</f>
        <v>5500</v>
      </c>
    </row>
    <row r="4047" spans="1:7">
      <c r="A4047" s="294"/>
      <c r="B4047" s="410" t="s">
        <v>871</v>
      </c>
      <c r="C4047" s="247" t="s">
        <v>678</v>
      </c>
      <c r="D4047" s="247" t="s">
        <v>675</v>
      </c>
      <c r="E4047" s="372">
        <v>0.05</v>
      </c>
      <c r="F4047" s="360">
        <f>'UPAD-BAHAN-ALAT'!$I$13</f>
        <v>140000</v>
      </c>
      <c r="G4047" s="248">
        <f>F4047*E4047</f>
        <v>7000</v>
      </c>
    </row>
    <row r="4048" spans="1:7">
      <c r="A4048" s="294"/>
      <c r="B4048" s="410" t="s">
        <v>751</v>
      </c>
      <c r="C4048" s="247" t="s">
        <v>681</v>
      </c>
      <c r="D4048" s="247" t="s">
        <v>675</v>
      </c>
      <c r="E4048" s="372">
        <v>5.0000000000000001E-3</v>
      </c>
      <c r="F4048" s="360">
        <f>'UPAD-BAHAN-ALAT'!$I$15</f>
        <v>150000</v>
      </c>
      <c r="G4048" s="248">
        <f>F4048*E4048</f>
        <v>750</v>
      </c>
    </row>
    <row r="4049" spans="1:7">
      <c r="A4049" s="294"/>
      <c r="B4049" s="410" t="s">
        <v>683</v>
      </c>
      <c r="C4049" s="247" t="s">
        <v>684</v>
      </c>
      <c r="D4049" s="247" t="s">
        <v>675</v>
      </c>
      <c r="E4049" s="372">
        <v>3.0000000000000001E-3</v>
      </c>
      <c r="F4049" s="360">
        <f>'UPAD-BAHAN-ALAT'!$I$14</f>
        <v>140000</v>
      </c>
      <c r="G4049" s="248">
        <f>F4049*E4049</f>
        <v>420</v>
      </c>
    </row>
    <row r="4050" spans="1:7">
      <c r="A4050" s="294"/>
      <c r="B4050" s="410"/>
      <c r="C4050" s="247"/>
      <c r="D4050" s="247"/>
      <c r="E4050" s="1146" t="s">
        <v>685</v>
      </c>
      <c r="F4050" s="1146"/>
      <c r="G4050" s="248">
        <f>SUM(G4046:G4049)</f>
        <v>13670</v>
      </c>
    </row>
    <row r="4051" spans="1:7">
      <c r="A4051" s="294" t="s">
        <v>686</v>
      </c>
      <c r="B4051" s="410" t="s">
        <v>687</v>
      </c>
      <c r="C4051" s="247"/>
      <c r="D4051" s="247"/>
      <c r="E4051" s="372"/>
      <c r="F4051" s="360"/>
      <c r="G4051" s="248"/>
    </row>
    <row r="4052" spans="1:7">
      <c r="A4052" s="294"/>
      <c r="B4052" s="410" t="s">
        <v>4566</v>
      </c>
      <c r="C4052" s="247"/>
      <c r="D4052" s="247" t="s">
        <v>853</v>
      </c>
      <c r="E4052" s="372">
        <v>1.05</v>
      </c>
      <c r="F4052" s="360">
        <f>'UPAD-BAHAN-ALAT'!$I$346</f>
        <v>5100</v>
      </c>
      <c r="G4052" s="248">
        <f>F4052*E4052</f>
        <v>5355</v>
      </c>
    </row>
    <row r="4053" spans="1:7">
      <c r="A4053" s="294"/>
      <c r="B4053" s="410" t="s">
        <v>3651</v>
      </c>
      <c r="C4053" s="247"/>
      <c r="D4053" s="247" t="s">
        <v>773</v>
      </c>
      <c r="E4053" s="372">
        <v>0.15</v>
      </c>
      <c r="F4053" s="360">
        <f>'UPAD-BAHAN-ALAT'!$I$376</f>
        <v>16500</v>
      </c>
      <c r="G4053" s="248">
        <f>F4053*E4053</f>
        <v>2475</v>
      </c>
    </row>
    <row r="4054" spans="1:7">
      <c r="A4054" s="294"/>
      <c r="B4054" s="295"/>
      <c r="C4054" s="296"/>
      <c r="D4054" s="296"/>
      <c r="E4054" s="1146" t="s">
        <v>702</v>
      </c>
      <c r="F4054" s="1146"/>
      <c r="G4054" s="248">
        <f>SUM(G4052:G4053)</f>
        <v>7830</v>
      </c>
    </row>
    <row r="4055" spans="1:7">
      <c r="A4055" s="294" t="s">
        <v>703</v>
      </c>
      <c r="B4055" s="1147" t="s">
        <v>3910</v>
      </c>
      <c r="C4055" s="1147"/>
      <c r="D4055" s="1147"/>
      <c r="E4055" s="1147"/>
      <c r="F4055" s="1147"/>
      <c r="G4055" s="255">
        <f>G4050+G4054</f>
        <v>21500</v>
      </c>
    </row>
    <row r="4056" spans="1:7">
      <c r="A4056" s="294" t="s">
        <v>706</v>
      </c>
      <c r="B4056" s="1148" t="s">
        <v>876</v>
      </c>
      <c r="C4056" s="1148"/>
      <c r="D4056" s="1148"/>
      <c r="E4056" s="1147" t="s">
        <v>4030</v>
      </c>
      <c r="F4056" s="1147"/>
      <c r="G4056" s="255">
        <f>G4055*0.15</f>
        <v>3225</v>
      </c>
    </row>
    <row r="4057" spans="1:7">
      <c r="A4057" s="294" t="s">
        <v>708</v>
      </c>
      <c r="B4057" s="1149" t="s">
        <v>3911</v>
      </c>
      <c r="C4057" s="1149"/>
      <c r="D4057" s="1149"/>
      <c r="E4057" s="1149"/>
      <c r="F4057" s="1149"/>
      <c r="G4057" s="255">
        <f>ROUND(SUM(G4055:G4056),2)</f>
        <v>24725</v>
      </c>
    </row>
    <row r="4059" spans="1:7">
      <c r="A4059" s="286" t="s">
        <v>4567</v>
      </c>
      <c r="B4059" s="265" t="s">
        <v>4618</v>
      </c>
    </row>
    <row r="4060" spans="1:7" ht="24.95" customHeight="1">
      <c r="A4060" s="290" t="s">
        <v>1003</v>
      </c>
      <c r="B4060" s="290" t="s">
        <v>1004</v>
      </c>
      <c r="C4060" s="290" t="s">
        <v>1005</v>
      </c>
      <c r="D4060" s="290" t="s">
        <v>1006</v>
      </c>
      <c r="E4060" s="373" t="s">
        <v>1007</v>
      </c>
      <c r="F4060" s="363" t="s">
        <v>2637</v>
      </c>
      <c r="G4060" s="291" t="s">
        <v>2638</v>
      </c>
    </row>
    <row r="4061" spans="1:7">
      <c r="A4061" s="294" t="s">
        <v>671</v>
      </c>
      <c r="B4061" s="410" t="s">
        <v>672</v>
      </c>
      <c r="C4061" s="247"/>
      <c r="D4061" s="247"/>
      <c r="E4061" s="372"/>
      <c r="F4061" s="360"/>
      <c r="G4061" s="248"/>
    </row>
    <row r="4062" spans="1:7">
      <c r="A4062" s="294"/>
      <c r="B4062" s="410" t="s">
        <v>673</v>
      </c>
      <c r="C4062" s="247" t="s">
        <v>674</v>
      </c>
      <c r="D4062" s="247" t="s">
        <v>675</v>
      </c>
      <c r="E4062" s="372">
        <v>0.05</v>
      </c>
      <c r="F4062" s="360">
        <f>'UPAD-BAHAN-ALAT'!$I$12</f>
        <v>110000</v>
      </c>
      <c r="G4062" s="248">
        <f>F4062*E4062</f>
        <v>5500</v>
      </c>
    </row>
    <row r="4063" spans="1:7">
      <c r="A4063" s="294"/>
      <c r="B4063" s="410" t="s">
        <v>4559</v>
      </c>
      <c r="C4063" s="247" t="s">
        <v>678</v>
      </c>
      <c r="D4063" s="247" t="s">
        <v>675</v>
      </c>
      <c r="E4063" s="372">
        <v>0.05</v>
      </c>
      <c r="F4063" s="360">
        <f>'UPAD-BAHAN-ALAT'!$I$13</f>
        <v>140000</v>
      </c>
      <c r="G4063" s="248">
        <f>F4063*E4063</f>
        <v>7000</v>
      </c>
    </row>
    <row r="4064" spans="1:7">
      <c r="A4064" s="294"/>
      <c r="B4064" s="410" t="s">
        <v>751</v>
      </c>
      <c r="C4064" s="247" t="s">
        <v>681</v>
      </c>
      <c r="D4064" s="247" t="s">
        <v>675</v>
      </c>
      <c r="E4064" s="372">
        <v>5.0000000000000001E-3</v>
      </c>
      <c r="F4064" s="360">
        <f>'UPAD-BAHAN-ALAT'!$I$15</f>
        <v>150000</v>
      </c>
      <c r="G4064" s="248">
        <f>F4064*E4064</f>
        <v>750</v>
      </c>
    </row>
    <row r="4065" spans="1:7">
      <c r="A4065" s="294"/>
      <c r="B4065" s="410" t="s">
        <v>683</v>
      </c>
      <c r="C4065" s="247" t="s">
        <v>684</v>
      </c>
      <c r="D4065" s="247" t="s">
        <v>675</v>
      </c>
      <c r="E4065" s="372">
        <v>3.0000000000000001E-3</v>
      </c>
      <c r="F4065" s="360">
        <f>'UPAD-BAHAN-ALAT'!$I$14</f>
        <v>140000</v>
      </c>
      <c r="G4065" s="248">
        <f>F4065*E4065</f>
        <v>420</v>
      </c>
    </row>
    <row r="4066" spans="1:7">
      <c r="A4066" s="294"/>
      <c r="B4066" s="410"/>
      <c r="C4066" s="247"/>
      <c r="D4066" s="247"/>
      <c r="E4066" s="1146" t="s">
        <v>685</v>
      </c>
      <c r="F4066" s="1146"/>
      <c r="G4066" s="248">
        <f>SUM(G4062:G4065)</f>
        <v>13670</v>
      </c>
    </row>
    <row r="4067" spans="1:7">
      <c r="A4067" s="294" t="s">
        <v>686</v>
      </c>
      <c r="B4067" s="410" t="s">
        <v>687</v>
      </c>
      <c r="C4067" s="247"/>
      <c r="D4067" s="247"/>
      <c r="E4067" s="372"/>
      <c r="F4067" s="360"/>
      <c r="G4067" s="248"/>
    </row>
    <row r="4068" spans="1:7">
      <c r="A4068" s="294"/>
      <c r="B4068" s="410" t="s">
        <v>4568</v>
      </c>
      <c r="C4068" s="247"/>
      <c r="D4068" s="247" t="s">
        <v>853</v>
      </c>
      <c r="E4068" s="372">
        <v>1.05</v>
      </c>
      <c r="F4068" s="360">
        <f>'UPAD-BAHAN-ALAT'!$I$347</f>
        <v>20500</v>
      </c>
      <c r="G4068" s="248">
        <f>F4068*E4068</f>
        <v>21525</v>
      </c>
    </row>
    <row r="4069" spans="1:7">
      <c r="A4069" s="294"/>
      <c r="B4069" s="410" t="s">
        <v>3549</v>
      </c>
      <c r="C4069" s="247"/>
      <c r="D4069" s="247" t="s">
        <v>3659</v>
      </c>
      <c r="E4069" s="372">
        <v>1</v>
      </c>
      <c r="F4069" s="360">
        <v>1000</v>
      </c>
      <c r="G4069" s="248">
        <f>F4069*E4069</f>
        <v>1000</v>
      </c>
    </row>
    <row r="4070" spans="1:7">
      <c r="A4070" s="294"/>
      <c r="B4070" s="295"/>
      <c r="C4070" s="296"/>
      <c r="D4070" s="296"/>
      <c r="E4070" s="1146" t="s">
        <v>702</v>
      </c>
      <c r="F4070" s="1146"/>
      <c r="G4070" s="248">
        <f>SUM(G4068:G4069)</f>
        <v>22525</v>
      </c>
    </row>
    <row r="4071" spans="1:7">
      <c r="A4071" s="294" t="s">
        <v>703</v>
      </c>
      <c r="B4071" s="1147" t="s">
        <v>3910</v>
      </c>
      <c r="C4071" s="1147"/>
      <c r="D4071" s="1147"/>
      <c r="E4071" s="1147"/>
      <c r="F4071" s="1147"/>
      <c r="G4071" s="255">
        <f>G4066+G4070</f>
        <v>36195</v>
      </c>
    </row>
    <row r="4072" spans="1:7">
      <c r="A4072" s="294" t="s">
        <v>706</v>
      </c>
      <c r="B4072" s="1148" t="s">
        <v>876</v>
      </c>
      <c r="C4072" s="1148"/>
      <c r="D4072" s="1148"/>
      <c r="E4072" s="1147" t="s">
        <v>4030</v>
      </c>
      <c r="F4072" s="1147"/>
      <c r="G4072" s="255">
        <f>G4071*0.15</f>
        <v>5429.25</v>
      </c>
    </row>
    <row r="4073" spans="1:7">
      <c r="A4073" s="294" t="s">
        <v>708</v>
      </c>
      <c r="B4073" s="1149" t="s">
        <v>3911</v>
      </c>
      <c r="C4073" s="1149"/>
      <c r="D4073" s="1149"/>
      <c r="E4073" s="1149"/>
      <c r="F4073" s="1149"/>
      <c r="G4073" s="255">
        <f>ROUND(SUM(G4071:G4072),2)</f>
        <v>41624.25</v>
      </c>
    </row>
    <row r="4075" spans="1:7">
      <c r="A4075" s="285" t="s">
        <v>4239</v>
      </c>
      <c r="B4075" s="263" t="s">
        <v>2783</v>
      </c>
      <c r="C4075" s="276"/>
      <c r="D4075" s="276"/>
      <c r="E4075" s="383"/>
      <c r="F4075" s="656"/>
      <c r="G4075" s="264"/>
    </row>
    <row r="4076" spans="1:7">
      <c r="A4076" s="285" t="s">
        <v>4240</v>
      </c>
      <c r="B4076" s="250" t="s">
        <v>2782</v>
      </c>
      <c r="C4076" s="252"/>
      <c r="D4076" s="252"/>
      <c r="E4076" s="374"/>
      <c r="F4076" s="361"/>
      <c r="G4076" s="253"/>
    </row>
    <row r="4077" spans="1:7" s="292" customFormat="1" ht="24.95" customHeight="1">
      <c r="A4077" s="290" t="s">
        <v>1003</v>
      </c>
      <c r="B4077" s="290" t="s">
        <v>1004</v>
      </c>
      <c r="C4077" s="290" t="s">
        <v>1005</v>
      </c>
      <c r="D4077" s="290" t="s">
        <v>1006</v>
      </c>
      <c r="E4077" s="373" t="s">
        <v>1007</v>
      </c>
      <c r="F4077" s="363" t="s">
        <v>2637</v>
      </c>
      <c r="G4077" s="291" t="s">
        <v>2638</v>
      </c>
    </row>
    <row r="4078" spans="1:7">
      <c r="A4078" s="294" t="s">
        <v>671</v>
      </c>
      <c r="B4078" s="410" t="s">
        <v>672</v>
      </c>
      <c r="C4078" s="247"/>
      <c r="D4078" s="247"/>
      <c r="E4078" s="372"/>
      <c r="F4078" s="360"/>
      <c r="G4078" s="248"/>
    </row>
    <row r="4079" spans="1:7">
      <c r="A4079" s="294"/>
      <c r="B4079" s="410" t="s">
        <v>673</v>
      </c>
      <c r="C4079" s="247" t="s">
        <v>674</v>
      </c>
      <c r="D4079" s="247" t="s">
        <v>675</v>
      </c>
      <c r="E4079" s="372">
        <v>0.14000000000000001</v>
      </c>
      <c r="F4079" s="360">
        <f>'UPAD-BAHAN-ALAT'!$I$12</f>
        <v>110000</v>
      </c>
      <c r="G4079" s="248">
        <f>F4079*E4079</f>
        <v>15400.000000000002</v>
      </c>
    </row>
    <row r="4080" spans="1:7">
      <c r="A4080" s="294"/>
      <c r="B4080" s="410" t="s">
        <v>677</v>
      </c>
      <c r="C4080" s="247" t="s">
        <v>678</v>
      </c>
      <c r="D4080" s="247" t="s">
        <v>675</v>
      </c>
      <c r="E4080" s="372">
        <v>6.7000000000000004E-2</v>
      </c>
      <c r="F4080" s="360">
        <f>'UPAD-BAHAN-ALAT'!$I$13</f>
        <v>140000</v>
      </c>
      <c r="G4080" s="248">
        <f>F4080*E4080</f>
        <v>9380</v>
      </c>
    </row>
    <row r="4081" spans="1:8">
      <c r="A4081" s="294"/>
      <c r="B4081" s="410" t="s">
        <v>751</v>
      </c>
      <c r="C4081" s="247" t="s">
        <v>681</v>
      </c>
      <c r="D4081" s="247" t="s">
        <v>675</v>
      </c>
      <c r="E4081" s="372">
        <v>7.0000000000000001E-3</v>
      </c>
      <c r="F4081" s="360">
        <f>'UPAD-BAHAN-ALAT'!$I$15</f>
        <v>150000</v>
      </c>
      <c r="G4081" s="248">
        <f>F4081*E4081</f>
        <v>1050</v>
      </c>
    </row>
    <row r="4082" spans="1:8">
      <c r="A4082" s="294"/>
      <c r="B4082" s="410" t="s">
        <v>683</v>
      </c>
      <c r="C4082" s="247" t="s">
        <v>684</v>
      </c>
      <c r="D4082" s="247" t="s">
        <v>675</v>
      </c>
      <c r="E4082" s="372">
        <v>7.0000000000000001E-3</v>
      </c>
      <c r="F4082" s="360">
        <f>'UPAD-BAHAN-ALAT'!$I$14</f>
        <v>140000</v>
      </c>
      <c r="G4082" s="248">
        <f>F4082*E4082</f>
        <v>980</v>
      </c>
    </row>
    <row r="4083" spans="1:8">
      <c r="A4083" s="294"/>
      <c r="B4083" s="410"/>
      <c r="C4083" s="247"/>
      <c r="D4083" s="247"/>
      <c r="E4083" s="1146" t="s">
        <v>685</v>
      </c>
      <c r="F4083" s="1146"/>
      <c r="G4083" s="248">
        <f>SUM(G4079:G4082)</f>
        <v>26810</v>
      </c>
    </row>
    <row r="4084" spans="1:8">
      <c r="A4084" s="294" t="s">
        <v>686</v>
      </c>
      <c r="B4084" s="410" t="s">
        <v>687</v>
      </c>
      <c r="C4084" s="247"/>
      <c r="D4084" s="247"/>
      <c r="E4084" s="372"/>
      <c r="F4084" s="360"/>
      <c r="G4084" s="248"/>
    </row>
    <row r="4085" spans="1:8">
      <c r="A4085" s="294"/>
      <c r="B4085" s="410" t="s">
        <v>1214</v>
      </c>
      <c r="C4085" s="247"/>
      <c r="D4085" s="247" t="s">
        <v>715</v>
      </c>
      <c r="E4085" s="372">
        <v>0.6</v>
      </c>
      <c r="F4085" s="360">
        <f>'UPAD-BAHAN-ALAT'!$I$302</f>
        <v>53550</v>
      </c>
      <c r="G4085" s="248">
        <f>F4085*E4085</f>
        <v>32130</v>
      </c>
    </row>
    <row r="4086" spans="1:8">
      <c r="A4086" s="294"/>
      <c r="B4086" s="410" t="s">
        <v>1215</v>
      </c>
      <c r="C4086" s="247"/>
      <c r="D4086" s="247" t="s">
        <v>690</v>
      </c>
      <c r="E4086" s="372">
        <v>0.05</v>
      </c>
      <c r="F4086" s="360">
        <f>'UPAD-BAHAN-ALAT'!$I$139</f>
        <v>21000</v>
      </c>
      <c r="G4086" s="248">
        <f>F4086*E4086</f>
        <v>1050</v>
      </c>
    </row>
    <row r="4087" spans="1:8">
      <c r="A4087" s="294"/>
      <c r="B4087" s="295"/>
      <c r="C4087" s="296"/>
      <c r="D4087" s="296"/>
      <c r="E4087" s="1146" t="s">
        <v>702</v>
      </c>
      <c r="F4087" s="1146"/>
      <c r="G4087" s="248">
        <f>SUM(G4085:G4086)</f>
        <v>33180</v>
      </c>
    </row>
    <row r="4088" spans="1:8" s="265" customFormat="1">
      <c r="A4088" s="294" t="s">
        <v>703</v>
      </c>
      <c r="B4088" s="1147" t="s">
        <v>3910</v>
      </c>
      <c r="C4088" s="1147"/>
      <c r="D4088" s="1147"/>
      <c r="E4088" s="1147"/>
      <c r="F4088" s="1147"/>
      <c r="G4088" s="255">
        <f>G4083+G4087</f>
        <v>59990</v>
      </c>
    </row>
    <row r="4089" spans="1:8" s="265" customFormat="1">
      <c r="A4089" s="294" t="s">
        <v>706</v>
      </c>
      <c r="B4089" s="1148" t="s">
        <v>876</v>
      </c>
      <c r="C4089" s="1148"/>
      <c r="D4089" s="1148"/>
      <c r="E4089" s="1147" t="s">
        <v>4030</v>
      </c>
      <c r="F4089" s="1147"/>
      <c r="G4089" s="255">
        <f>G4088*0.15</f>
        <v>8998.5</v>
      </c>
    </row>
    <row r="4090" spans="1:8" s="265" customFormat="1">
      <c r="A4090" s="294" t="s">
        <v>708</v>
      </c>
      <c r="B4090" s="1149" t="s">
        <v>3911</v>
      </c>
      <c r="C4090" s="1149"/>
      <c r="D4090" s="1149"/>
      <c r="E4090" s="1149"/>
      <c r="F4090" s="1149"/>
      <c r="G4090" s="255">
        <f>ROUND(SUM(G4088:G4089),2)</f>
        <v>68988.5</v>
      </c>
      <c r="H4090" s="255">
        <f>SUM(G4088:G4089)</f>
        <v>68988.5</v>
      </c>
    </row>
    <row r="4092" spans="1:8">
      <c r="A4092" s="286" t="s">
        <v>4241</v>
      </c>
      <c r="B4092" s="265" t="s">
        <v>2781</v>
      </c>
    </row>
    <row r="4093" spans="1:8" s="292" customFormat="1" ht="24.95" customHeight="1">
      <c r="A4093" s="290" t="s">
        <v>1003</v>
      </c>
      <c r="B4093" s="290" t="s">
        <v>1004</v>
      </c>
      <c r="C4093" s="290" t="s">
        <v>1005</v>
      </c>
      <c r="D4093" s="290" t="s">
        <v>1006</v>
      </c>
      <c r="E4093" s="373" t="s">
        <v>1007</v>
      </c>
      <c r="F4093" s="363" t="s">
        <v>2637</v>
      </c>
      <c r="G4093" s="291" t="s">
        <v>2638</v>
      </c>
    </row>
    <row r="4094" spans="1:8">
      <c r="A4094" s="294" t="s">
        <v>671</v>
      </c>
      <c r="B4094" s="410" t="s">
        <v>672</v>
      </c>
      <c r="C4094" s="247"/>
      <c r="D4094" s="247"/>
      <c r="E4094" s="372"/>
      <c r="F4094" s="360"/>
      <c r="G4094" s="248"/>
    </row>
    <row r="4095" spans="1:8">
      <c r="A4095" s="294"/>
      <c r="B4095" s="410" t="s">
        <v>673</v>
      </c>
      <c r="C4095" s="247" t="s">
        <v>674</v>
      </c>
      <c r="D4095" s="247" t="s">
        <v>675</v>
      </c>
      <c r="E4095" s="372">
        <v>0.14000000000000001</v>
      </c>
      <c r="F4095" s="360">
        <f>'UPAD-BAHAN-ALAT'!$I$12</f>
        <v>110000</v>
      </c>
      <c r="G4095" s="248">
        <f>F4095*E4095</f>
        <v>15400.000000000002</v>
      </c>
    </row>
    <row r="4096" spans="1:8">
      <c r="A4096" s="294"/>
      <c r="B4096" s="410" t="s">
        <v>677</v>
      </c>
      <c r="C4096" s="247" t="s">
        <v>678</v>
      </c>
      <c r="D4096" s="247" t="s">
        <v>675</v>
      </c>
      <c r="E4096" s="372">
        <v>7.0000000000000007E-2</v>
      </c>
      <c r="F4096" s="360">
        <f>'UPAD-BAHAN-ALAT'!$I$13</f>
        <v>140000</v>
      </c>
      <c r="G4096" s="248">
        <f>F4096*E4096</f>
        <v>9800.0000000000018</v>
      </c>
    </row>
    <row r="4097" spans="1:8">
      <c r="A4097" s="294"/>
      <c r="B4097" s="410" t="s">
        <v>751</v>
      </c>
      <c r="C4097" s="247" t="s">
        <v>681</v>
      </c>
      <c r="D4097" s="247" t="s">
        <v>675</v>
      </c>
      <c r="E4097" s="372">
        <v>7.0000000000000001E-3</v>
      </c>
      <c r="F4097" s="360">
        <f>'UPAD-BAHAN-ALAT'!$I$15</f>
        <v>150000</v>
      </c>
      <c r="G4097" s="248">
        <f>F4097*E4097</f>
        <v>1050</v>
      </c>
    </row>
    <row r="4098" spans="1:8">
      <c r="A4098" s="294"/>
      <c r="B4098" s="410" t="s">
        <v>683</v>
      </c>
      <c r="C4098" s="247" t="s">
        <v>684</v>
      </c>
      <c r="D4098" s="247" t="s">
        <v>675</v>
      </c>
      <c r="E4098" s="372">
        <v>7.0000000000000001E-3</v>
      </c>
      <c r="F4098" s="360">
        <f>'UPAD-BAHAN-ALAT'!$I$14</f>
        <v>140000</v>
      </c>
      <c r="G4098" s="248">
        <f>F4098*E4098</f>
        <v>980</v>
      </c>
    </row>
    <row r="4099" spans="1:8">
      <c r="A4099" s="294"/>
      <c r="B4099" s="410"/>
      <c r="C4099" s="247"/>
      <c r="D4099" s="247"/>
      <c r="E4099" s="1146" t="s">
        <v>685</v>
      </c>
      <c r="F4099" s="1146"/>
      <c r="G4099" s="248">
        <f>SUM(G4095:G4098)</f>
        <v>27230.000000000004</v>
      </c>
    </row>
    <row r="4100" spans="1:8">
      <c r="A4100" s="294" t="s">
        <v>686</v>
      </c>
      <c r="B4100" s="410" t="s">
        <v>687</v>
      </c>
      <c r="C4100" s="247"/>
      <c r="D4100" s="247"/>
      <c r="E4100" s="372"/>
      <c r="F4100" s="360"/>
      <c r="G4100" s="248"/>
    </row>
    <row r="4101" spans="1:8">
      <c r="A4101" s="294"/>
      <c r="B4101" s="410" t="s">
        <v>3492</v>
      </c>
      <c r="C4101" s="247"/>
      <c r="D4101" s="247" t="s">
        <v>715</v>
      </c>
      <c r="E4101" s="372">
        <v>0.6</v>
      </c>
      <c r="F4101" s="360">
        <f>'UPAD-BAHAN-ALAT'!$I$299</f>
        <v>34892</v>
      </c>
      <c r="G4101" s="248">
        <f>F4101*E4101</f>
        <v>20935.2</v>
      </c>
    </row>
    <row r="4102" spans="1:8">
      <c r="A4102" s="294"/>
      <c r="B4102" s="410" t="s">
        <v>1217</v>
      </c>
      <c r="C4102" s="247"/>
      <c r="D4102" s="247" t="s">
        <v>690</v>
      </c>
      <c r="E4102" s="372">
        <v>0.12</v>
      </c>
      <c r="F4102" s="360">
        <f>'UPAD-BAHAN-ALAT'!$I$143</f>
        <v>37800</v>
      </c>
      <c r="G4102" s="248">
        <f>F4102*E4102</f>
        <v>4536</v>
      </c>
    </row>
    <row r="4103" spans="1:8">
      <c r="A4103" s="294"/>
      <c r="B4103" s="295"/>
      <c r="C4103" s="296"/>
      <c r="D4103" s="296"/>
      <c r="E4103" s="1146" t="s">
        <v>702</v>
      </c>
      <c r="F4103" s="1146"/>
      <c r="G4103" s="248">
        <f>SUM(G4101:G4102)</f>
        <v>25471.200000000001</v>
      </c>
    </row>
    <row r="4104" spans="1:8" s="265" customFormat="1">
      <c r="A4104" s="294" t="s">
        <v>703</v>
      </c>
      <c r="B4104" s="1147" t="s">
        <v>3910</v>
      </c>
      <c r="C4104" s="1147"/>
      <c r="D4104" s="1147"/>
      <c r="E4104" s="1147"/>
      <c r="F4104" s="1147"/>
      <c r="G4104" s="255">
        <f>G4099+G4103</f>
        <v>52701.200000000004</v>
      </c>
    </row>
    <row r="4105" spans="1:8" s="265" customFormat="1">
      <c r="A4105" s="294" t="s">
        <v>706</v>
      </c>
      <c r="B4105" s="1148" t="s">
        <v>876</v>
      </c>
      <c r="C4105" s="1148"/>
      <c r="D4105" s="1148"/>
      <c r="E4105" s="1147" t="s">
        <v>4030</v>
      </c>
      <c r="F4105" s="1147"/>
      <c r="G4105" s="255">
        <f>G4104*0.15</f>
        <v>7905.18</v>
      </c>
    </row>
    <row r="4106" spans="1:8" s="265" customFormat="1">
      <c r="A4106" s="294" t="s">
        <v>708</v>
      </c>
      <c r="B4106" s="1149" t="s">
        <v>3911</v>
      </c>
      <c r="C4106" s="1149"/>
      <c r="D4106" s="1149"/>
      <c r="E4106" s="1149"/>
      <c r="F4106" s="1149"/>
      <c r="G4106" s="255">
        <f>ROUND(SUM(G4104:G4105),2)</f>
        <v>60606.38</v>
      </c>
      <c r="H4106" s="255">
        <f>SUM(G4104:G4105)</f>
        <v>60606.380000000005</v>
      </c>
    </row>
    <row r="4107" spans="1:8">
      <c r="A4107" s="268"/>
      <c r="B4107" s="269"/>
      <c r="C4107" s="268"/>
      <c r="D4107" s="268"/>
      <c r="E4107" s="380"/>
      <c r="F4107" s="365"/>
      <c r="G4107" s="270"/>
    </row>
    <row r="4108" spans="1:8">
      <c r="A4108" s="285" t="s">
        <v>4242</v>
      </c>
      <c r="B4108" s="250" t="s">
        <v>2780</v>
      </c>
      <c r="C4108" s="252"/>
      <c r="D4108" s="252"/>
      <c r="E4108" s="374"/>
      <c r="F4108" s="361"/>
      <c r="G4108" s="253"/>
    </row>
    <row r="4109" spans="1:8" s="292" customFormat="1" ht="24.95" customHeight="1">
      <c r="A4109" s="290" t="s">
        <v>1003</v>
      </c>
      <c r="B4109" s="290" t="s">
        <v>1004</v>
      </c>
      <c r="C4109" s="290" t="s">
        <v>1005</v>
      </c>
      <c r="D4109" s="290" t="s">
        <v>1006</v>
      </c>
      <c r="E4109" s="373" t="s">
        <v>1007</v>
      </c>
      <c r="F4109" s="363" t="s">
        <v>2637</v>
      </c>
      <c r="G4109" s="291" t="s">
        <v>2638</v>
      </c>
    </row>
    <row r="4110" spans="1:8">
      <c r="A4110" s="294" t="s">
        <v>671</v>
      </c>
      <c r="B4110" s="410" t="s">
        <v>672</v>
      </c>
      <c r="C4110" s="247"/>
      <c r="D4110" s="247"/>
      <c r="E4110" s="372"/>
      <c r="F4110" s="360"/>
      <c r="G4110" s="248"/>
    </row>
    <row r="4111" spans="1:8">
      <c r="A4111" s="294"/>
      <c r="B4111" s="410" t="s">
        <v>673</v>
      </c>
      <c r="C4111" s="247" t="s">
        <v>674</v>
      </c>
      <c r="D4111" s="247" t="s">
        <v>675</v>
      </c>
      <c r="E4111" s="372">
        <v>8.4000000000000005E-2</v>
      </c>
      <c r="F4111" s="360">
        <f>'UPAD-BAHAN-ALAT'!$I$12</f>
        <v>110000</v>
      </c>
      <c r="G4111" s="248">
        <f>F4111*E4111</f>
        <v>9240</v>
      </c>
    </row>
    <row r="4112" spans="1:8">
      <c r="A4112" s="294"/>
      <c r="B4112" s="410" t="s">
        <v>677</v>
      </c>
      <c r="C4112" s="247" t="s">
        <v>678</v>
      </c>
      <c r="D4112" s="247" t="s">
        <v>675</v>
      </c>
      <c r="E4112" s="372">
        <v>0.125</v>
      </c>
      <c r="F4112" s="360">
        <f>'UPAD-BAHAN-ALAT'!$I$13</f>
        <v>140000</v>
      </c>
      <c r="G4112" s="248">
        <f>F4112*E4112</f>
        <v>17500</v>
      </c>
    </row>
    <row r="4113" spans="1:8">
      <c r="A4113" s="294"/>
      <c r="B4113" s="410" t="s">
        <v>751</v>
      </c>
      <c r="C4113" s="247" t="s">
        <v>681</v>
      </c>
      <c r="D4113" s="247" t="s">
        <v>675</v>
      </c>
      <c r="E4113" s="372">
        <v>1.2999999999999999E-2</v>
      </c>
      <c r="F4113" s="360">
        <f>'UPAD-BAHAN-ALAT'!$I$15</f>
        <v>150000</v>
      </c>
      <c r="G4113" s="248">
        <f>F4113*E4113</f>
        <v>1950</v>
      </c>
    </row>
    <row r="4114" spans="1:8">
      <c r="A4114" s="294"/>
      <c r="B4114" s="410" t="s">
        <v>683</v>
      </c>
      <c r="C4114" s="247" t="s">
        <v>684</v>
      </c>
      <c r="D4114" s="247" t="s">
        <v>675</v>
      </c>
      <c r="E4114" s="372">
        <v>4.0000000000000001E-3</v>
      </c>
      <c r="F4114" s="360">
        <f>'UPAD-BAHAN-ALAT'!$I$14</f>
        <v>140000</v>
      </c>
      <c r="G4114" s="248">
        <f>F4114*E4114</f>
        <v>560</v>
      </c>
    </row>
    <row r="4115" spans="1:8">
      <c r="A4115" s="294"/>
      <c r="B4115" s="410"/>
      <c r="C4115" s="247"/>
      <c r="D4115" s="247"/>
      <c r="E4115" s="1146" t="s">
        <v>685</v>
      </c>
      <c r="F4115" s="1146"/>
      <c r="G4115" s="248">
        <f>SUM(G4111:G4114)</f>
        <v>29250</v>
      </c>
    </row>
    <row r="4116" spans="1:8">
      <c r="A4116" s="294" t="s">
        <v>686</v>
      </c>
      <c r="B4116" s="410" t="s">
        <v>687</v>
      </c>
      <c r="C4116" s="247"/>
      <c r="D4116" s="247"/>
      <c r="E4116" s="372"/>
      <c r="F4116" s="360"/>
      <c r="G4116" s="248"/>
    </row>
    <row r="4117" spans="1:8">
      <c r="A4117" s="294"/>
      <c r="B4117" s="410" t="s">
        <v>1227</v>
      </c>
      <c r="C4117" s="247"/>
      <c r="D4117" s="247" t="s">
        <v>715</v>
      </c>
      <c r="E4117" s="372">
        <v>1.1000000000000001</v>
      </c>
      <c r="F4117" s="360">
        <f>'UPAD-BAHAN-ALAT'!$I$308</f>
        <v>33000</v>
      </c>
      <c r="G4117" s="248">
        <f>F4117*E4117</f>
        <v>36300</v>
      </c>
    </row>
    <row r="4118" spans="1:8">
      <c r="A4118" s="294"/>
      <c r="B4118" s="410" t="s">
        <v>2655</v>
      </c>
      <c r="C4118" s="247"/>
      <c r="D4118" s="247" t="s">
        <v>743</v>
      </c>
      <c r="E4118" s="372">
        <v>6</v>
      </c>
      <c r="F4118" s="360">
        <f>'UPAD-BAHAN-ALAT'!$I$142</f>
        <v>550</v>
      </c>
      <c r="G4118" s="248">
        <f>F4118*E4118</f>
        <v>3300</v>
      </c>
    </row>
    <row r="4119" spans="1:8">
      <c r="A4119" s="294"/>
      <c r="B4119" s="410"/>
      <c r="C4119" s="247"/>
      <c r="D4119" s="247"/>
      <c r="E4119" s="1155" t="s">
        <v>702</v>
      </c>
      <c r="F4119" s="1155"/>
      <c r="G4119" s="248">
        <f>SUM(G4117:G4118)</f>
        <v>39600</v>
      </c>
    </row>
    <row r="4120" spans="1:8" s="265" customFormat="1">
      <c r="A4120" s="294" t="s">
        <v>703</v>
      </c>
      <c r="B4120" s="1151" t="s">
        <v>3910</v>
      </c>
      <c r="C4120" s="1151"/>
      <c r="D4120" s="1151"/>
      <c r="E4120" s="1151"/>
      <c r="F4120" s="1151"/>
      <c r="G4120" s="255">
        <f>G4115+G4119</f>
        <v>68850</v>
      </c>
    </row>
    <row r="4121" spans="1:8" s="265" customFormat="1">
      <c r="A4121" s="294" t="s">
        <v>706</v>
      </c>
      <c r="B4121" s="1148" t="s">
        <v>876</v>
      </c>
      <c r="C4121" s="1148"/>
      <c r="D4121" s="1148"/>
      <c r="E4121" s="1147" t="s">
        <v>4030</v>
      </c>
      <c r="F4121" s="1147"/>
      <c r="G4121" s="255">
        <f>G4120*0.15</f>
        <v>10327.5</v>
      </c>
    </row>
    <row r="4122" spans="1:8" s="265" customFormat="1">
      <c r="A4122" s="294" t="s">
        <v>708</v>
      </c>
      <c r="B4122" s="1149" t="s">
        <v>3911</v>
      </c>
      <c r="C4122" s="1149"/>
      <c r="D4122" s="1149"/>
      <c r="E4122" s="1149"/>
      <c r="F4122" s="1149"/>
      <c r="G4122" s="255">
        <f>ROUND(SUM(G4120:G4121),2)</f>
        <v>79177.5</v>
      </c>
      <c r="H4122" s="255">
        <f>SUM(G4120:G4121)</f>
        <v>79177.5</v>
      </c>
    </row>
    <row r="4124" spans="1:8">
      <c r="A4124" s="284" t="s">
        <v>4243</v>
      </c>
      <c r="B4124" s="250" t="s">
        <v>2779</v>
      </c>
      <c r="C4124" s="252"/>
      <c r="D4124" s="252"/>
      <c r="E4124" s="374"/>
      <c r="F4124" s="361"/>
      <c r="G4124" s="253"/>
    </row>
    <row r="4125" spans="1:8" s="292" customFormat="1" ht="24.95" customHeight="1">
      <c r="A4125" s="290" t="s">
        <v>1003</v>
      </c>
      <c r="B4125" s="290" t="s">
        <v>1004</v>
      </c>
      <c r="C4125" s="290" t="s">
        <v>1005</v>
      </c>
      <c r="D4125" s="290" t="s">
        <v>1006</v>
      </c>
      <c r="E4125" s="373" t="s">
        <v>1007</v>
      </c>
      <c r="F4125" s="363" t="s">
        <v>2637</v>
      </c>
      <c r="G4125" s="291" t="s">
        <v>2638</v>
      </c>
    </row>
    <row r="4126" spans="1:8">
      <c r="A4126" s="294" t="s">
        <v>671</v>
      </c>
      <c r="B4126" s="410" t="s">
        <v>672</v>
      </c>
      <c r="C4126" s="247"/>
      <c r="D4126" s="247"/>
      <c r="E4126" s="372"/>
      <c r="F4126" s="360"/>
      <c r="G4126" s="248"/>
    </row>
    <row r="4127" spans="1:8">
      <c r="A4127" s="294"/>
      <c r="B4127" s="410" t="s">
        <v>673</v>
      </c>
      <c r="C4127" s="247" t="s">
        <v>674</v>
      </c>
      <c r="D4127" s="247" t="s">
        <v>675</v>
      </c>
      <c r="E4127" s="372">
        <v>8.4000000000000005E-2</v>
      </c>
      <c r="F4127" s="360">
        <f>'UPAD-BAHAN-ALAT'!$I$12</f>
        <v>110000</v>
      </c>
      <c r="G4127" s="248">
        <f>F4127*E4127</f>
        <v>9240</v>
      </c>
    </row>
    <row r="4128" spans="1:8">
      <c r="A4128" s="294"/>
      <c r="B4128" s="410" t="s">
        <v>677</v>
      </c>
      <c r="C4128" s="247" t="s">
        <v>678</v>
      </c>
      <c r="D4128" s="247" t="s">
        <v>675</v>
      </c>
      <c r="E4128" s="372">
        <v>0.125</v>
      </c>
      <c r="F4128" s="360">
        <f>'UPAD-BAHAN-ALAT'!$I$13</f>
        <v>140000</v>
      </c>
      <c r="G4128" s="248">
        <f>F4128*E4128</f>
        <v>17500</v>
      </c>
    </row>
    <row r="4129" spans="1:8">
      <c r="A4129" s="294"/>
      <c r="B4129" s="410" t="s">
        <v>751</v>
      </c>
      <c r="C4129" s="247" t="s">
        <v>681</v>
      </c>
      <c r="D4129" s="247" t="s">
        <v>675</v>
      </c>
      <c r="E4129" s="372">
        <v>1.2999999999999999E-2</v>
      </c>
      <c r="F4129" s="360">
        <f>'UPAD-BAHAN-ALAT'!$I$15</f>
        <v>150000</v>
      </c>
      <c r="G4129" s="248">
        <f>F4129*E4129</f>
        <v>1950</v>
      </c>
    </row>
    <row r="4130" spans="1:8">
      <c r="A4130" s="294"/>
      <c r="B4130" s="410" t="s">
        <v>683</v>
      </c>
      <c r="C4130" s="247" t="s">
        <v>684</v>
      </c>
      <c r="D4130" s="247" t="s">
        <v>675</v>
      </c>
      <c r="E4130" s="372">
        <v>4.0000000000000001E-3</v>
      </c>
      <c r="F4130" s="360">
        <f>'UPAD-BAHAN-ALAT'!$I$14</f>
        <v>140000</v>
      </c>
      <c r="G4130" s="248">
        <f>F4130*E4130</f>
        <v>560</v>
      </c>
    </row>
    <row r="4131" spans="1:8">
      <c r="A4131" s="294"/>
      <c r="B4131" s="410"/>
      <c r="C4131" s="247"/>
      <c r="D4131" s="247"/>
      <c r="E4131" s="1146" t="s">
        <v>685</v>
      </c>
      <c r="F4131" s="1146"/>
      <c r="G4131" s="248">
        <f>SUM(G4127:G4130)</f>
        <v>29250</v>
      </c>
    </row>
    <row r="4132" spans="1:8">
      <c r="A4132" s="294" t="s">
        <v>686</v>
      </c>
      <c r="B4132" s="410" t="s">
        <v>687</v>
      </c>
      <c r="C4132" s="247"/>
      <c r="D4132" s="247"/>
      <c r="E4132" s="372"/>
      <c r="F4132" s="360"/>
      <c r="G4132" s="248"/>
    </row>
    <row r="4133" spans="1:8">
      <c r="A4133" s="294"/>
      <c r="B4133" s="410" t="s">
        <v>1233</v>
      </c>
      <c r="C4133" s="247"/>
      <c r="D4133" s="247" t="s">
        <v>715</v>
      </c>
      <c r="E4133" s="372">
        <v>1.1000000000000001</v>
      </c>
      <c r="F4133" s="360">
        <f>'UPAD-BAHAN-ALAT'!$I$309</f>
        <v>26350</v>
      </c>
      <c r="G4133" s="248">
        <f>F4133*E4133</f>
        <v>28985.000000000004</v>
      </c>
    </row>
    <row r="4134" spans="1:8">
      <c r="A4134" s="294"/>
      <c r="B4134" s="410" t="s">
        <v>2655</v>
      </c>
      <c r="C4134" s="247"/>
      <c r="D4134" s="247" t="s">
        <v>743</v>
      </c>
      <c r="E4134" s="372">
        <v>6</v>
      </c>
      <c r="F4134" s="360">
        <f>'UPAD-BAHAN-ALAT'!$I$142</f>
        <v>550</v>
      </c>
      <c r="G4134" s="248">
        <f>F4134*E4134</f>
        <v>3300</v>
      </c>
    </row>
    <row r="4135" spans="1:8">
      <c r="A4135" s="294"/>
      <c r="B4135" s="295"/>
      <c r="C4135" s="296"/>
      <c r="D4135" s="296"/>
      <c r="E4135" s="1146" t="s">
        <v>702</v>
      </c>
      <c r="F4135" s="1146"/>
      <c r="G4135" s="248">
        <f>SUM(G4133:G4134)</f>
        <v>32285.000000000004</v>
      </c>
    </row>
    <row r="4136" spans="1:8" s="265" customFormat="1">
      <c r="A4136" s="294" t="s">
        <v>703</v>
      </c>
      <c r="B4136" s="1147" t="s">
        <v>3910</v>
      </c>
      <c r="C4136" s="1147"/>
      <c r="D4136" s="1147"/>
      <c r="E4136" s="1147"/>
      <c r="F4136" s="1147"/>
      <c r="G4136" s="255">
        <f>G4131+G4135</f>
        <v>61535</v>
      </c>
    </row>
    <row r="4137" spans="1:8" s="265" customFormat="1">
      <c r="A4137" s="294" t="s">
        <v>706</v>
      </c>
      <c r="B4137" s="1148" t="s">
        <v>876</v>
      </c>
      <c r="C4137" s="1148"/>
      <c r="D4137" s="1148"/>
      <c r="E4137" s="1147" t="s">
        <v>4030</v>
      </c>
      <c r="F4137" s="1147"/>
      <c r="G4137" s="255">
        <f>G4136*0.15</f>
        <v>9230.25</v>
      </c>
    </row>
    <row r="4138" spans="1:8" s="265" customFormat="1">
      <c r="A4138" s="294" t="s">
        <v>708</v>
      </c>
      <c r="B4138" s="1149" t="s">
        <v>3911</v>
      </c>
      <c r="C4138" s="1149"/>
      <c r="D4138" s="1149"/>
      <c r="E4138" s="1149"/>
      <c r="F4138" s="1149"/>
      <c r="G4138" s="255">
        <f>ROUND(SUM(G4136:G4137),2)</f>
        <v>70765.25</v>
      </c>
      <c r="H4138" s="255">
        <f>SUM(G4136:G4137)</f>
        <v>70765.25</v>
      </c>
    </row>
    <row r="4140" spans="1:8">
      <c r="A4140" s="286" t="s">
        <v>4244</v>
      </c>
      <c r="B4140" s="265" t="s">
        <v>2778</v>
      </c>
    </row>
    <row r="4141" spans="1:8" s="292" customFormat="1" ht="24.95" customHeight="1">
      <c r="A4141" s="290" t="s">
        <v>1003</v>
      </c>
      <c r="B4141" s="290" t="s">
        <v>1004</v>
      </c>
      <c r="C4141" s="290" t="s">
        <v>1005</v>
      </c>
      <c r="D4141" s="290" t="s">
        <v>1006</v>
      </c>
      <c r="E4141" s="373" t="s">
        <v>1007</v>
      </c>
      <c r="F4141" s="363" t="s">
        <v>2637</v>
      </c>
      <c r="G4141" s="291" t="s">
        <v>2638</v>
      </c>
    </row>
    <row r="4142" spans="1:8">
      <c r="A4142" s="294" t="s">
        <v>671</v>
      </c>
      <c r="B4142" s="410" t="s">
        <v>672</v>
      </c>
      <c r="C4142" s="247"/>
      <c r="D4142" s="247"/>
      <c r="E4142" s="372"/>
      <c r="F4142" s="360"/>
      <c r="G4142" s="248"/>
    </row>
    <row r="4143" spans="1:8">
      <c r="A4143" s="294"/>
      <c r="B4143" s="410" t="s">
        <v>673</v>
      </c>
      <c r="C4143" s="247" t="s">
        <v>674</v>
      </c>
      <c r="D4143" s="247" t="s">
        <v>675</v>
      </c>
      <c r="E4143" s="372">
        <v>0.2</v>
      </c>
      <c r="F4143" s="360">
        <f>'UPAD-BAHAN-ALAT'!$I$12</f>
        <v>110000</v>
      </c>
      <c r="G4143" s="248">
        <f>F4143*E4143</f>
        <v>22000</v>
      </c>
    </row>
    <row r="4144" spans="1:8">
      <c r="A4144" s="294"/>
      <c r="B4144" s="410" t="s">
        <v>677</v>
      </c>
      <c r="C4144" s="247" t="s">
        <v>678</v>
      </c>
      <c r="D4144" s="247" t="s">
        <v>675</v>
      </c>
      <c r="E4144" s="372">
        <v>0.1</v>
      </c>
      <c r="F4144" s="360">
        <f>'UPAD-BAHAN-ALAT'!$I$13</f>
        <v>140000</v>
      </c>
      <c r="G4144" s="248">
        <f>F4144*E4144</f>
        <v>14000</v>
      </c>
    </row>
    <row r="4145" spans="1:8">
      <c r="A4145" s="294"/>
      <c r="B4145" s="410" t="s">
        <v>751</v>
      </c>
      <c r="C4145" s="247" t="s">
        <v>681</v>
      </c>
      <c r="D4145" s="247" t="s">
        <v>675</v>
      </c>
      <c r="E4145" s="372">
        <v>0.01</v>
      </c>
      <c r="F4145" s="360">
        <f>'UPAD-BAHAN-ALAT'!$I$15</f>
        <v>150000</v>
      </c>
      <c r="G4145" s="248">
        <f>F4145*E4145</f>
        <v>1500</v>
      </c>
    </row>
    <row r="4146" spans="1:8">
      <c r="A4146" s="294"/>
      <c r="B4146" s="410" t="s">
        <v>683</v>
      </c>
      <c r="C4146" s="247" t="s">
        <v>684</v>
      </c>
      <c r="D4146" s="247" t="s">
        <v>675</v>
      </c>
      <c r="E4146" s="372">
        <v>0.01</v>
      </c>
      <c r="F4146" s="360">
        <f>'UPAD-BAHAN-ALAT'!$I$14</f>
        <v>140000</v>
      </c>
      <c r="G4146" s="248">
        <f>F4146*E4146</f>
        <v>1400</v>
      </c>
    </row>
    <row r="4147" spans="1:8">
      <c r="A4147" s="294"/>
      <c r="B4147" s="410"/>
      <c r="C4147" s="247"/>
      <c r="D4147" s="247"/>
      <c r="E4147" s="1146" t="s">
        <v>685</v>
      </c>
      <c r="F4147" s="1146"/>
      <c r="G4147" s="248">
        <f>SUM(G4143:G4146)</f>
        <v>38900</v>
      </c>
    </row>
    <row r="4148" spans="1:8">
      <c r="A4148" s="294" t="s">
        <v>686</v>
      </c>
      <c r="B4148" s="410" t="s">
        <v>687</v>
      </c>
      <c r="C4148" s="247"/>
      <c r="D4148" s="247"/>
      <c r="E4148" s="372"/>
      <c r="F4148" s="360"/>
      <c r="G4148" s="248"/>
    </row>
    <row r="4149" spans="1:8">
      <c r="A4149" s="294"/>
      <c r="B4149" s="410" t="s">
        <v>1235</v>
      </c>
      <c r="C4149" s="247"/>
      <c r="D4149" s="247" t="s">
        <v>743</v>
      </c>
      <c r="E4149" s="372">
        <v>11</v>
      </c>
      <c r="F4149" s="360">
        <f>'UPAD-BAHAN-ALAT'!$I$305</f>
        <v>6850</v>
      </c>
      <c r="G4149" s="248">
        <f>F4149*E4149</f>
        <v>75350</v>
      </c>
    </row>
    <row r="4150" spans="1:8">
      <c r="A4150" s="294"/>
      <c r="B4150" s="410" t="s">
        <v>1237</v>
      </c>
      <c r="C4150" s="247"/>
      <c r="D4150" s="247" t="s">
        <v>690</v>
      </c>
      <c r="E4150" s="372">
        <v>0.03</v>
      </c>
      <c r="F4150" s="360">
        <f>'UPAD-BAHAN-ALAT'!I$139</f>
        <v>21000</v>
      </c>
      <c r="G4150" s="248">
        <f>F4150*E4150</f>
        <v>630</v>
      </c>
    </row>
    <row r="4151" spans="1:8">
      <c r="A4151" s="294"/>
      <c r="B4151" s="295"/>
      <c r="C4151" s="296"/>
      <c r="D4151" s="296"/>
      <c r="E4151" s="1146" t="s">
        <v>702</v>
      </c>
      <c r="F4151" s="1146"/>
      <c r="G4151" s="248">
        <f>SUM(G4149:G4150)</f>
        <v>75980</v>
      </c>
    </row>
    <row r="4152" spans="1:8" s="265" customFormat="1">
      <c r="A4152" s="294" t="s">
        <v>703</v>
      </c>
      <c r="B4152" s="1147" t="s">
        <v>3910</v>
      </c>
      <c r="C4152" s="1147"/>
      <c r="D4152" s="1147"/>
      <c r="E4152" s="1147"/>
      <c r="F4152" s="1147"/>
      <c r="G4152" s="255">
        <f>G4147+G4151</f>
        <v>114880</v>
      </c>
    </row>
    <row r="4153" spans="1:8" s="265" customFormat="1">
      <c r="A4153" s="294" t="s">
        <v>706</v>
      </c>
      <c r="B4153" s="1148" t="s">
        <v>876</v>
      </c>
      <c r="C4153" s="1148"/>
      <c r="D4153" s="1148"/>
      <c r="E4153" s="1147" t="s">
        <v>4030</v>
      </c>
      <c r="F4153" s="1147"/>
      <c r="G4153" s="255">
        <f>G4152*0.15</f>
        <v>17232</v>
      </c>
    </row>
    <row r="4154" spans="1:8" s="265" customFormat="1">
      <c r="A4154" s="294" t="s">
        <v>708</v>
      </c>
      <c r="B4154" s="1149" t="s">
        <v>3911</v>
      </c>
      <c r="C4154" s="1149"/>
      <c r="D4154" s="1149"/>
      <c r="E4154" s="1149"/>
      <c r="F4154" s="1149"/>
      <c r="G4154" s="255">
        <f>ROUND(SUM(G4152:G4153),2)</f>
        <v>132112</v>
      </c>
      <c r="H4154" s="255">
        <f>SUM(G4152:G4153)</f>
        <v>132112</v>
      </c>
    </row>
    <row r="4155" spans="1:8">
      <c r="A4155" s="252"/>
      <c r="B4155" s="251"/>
      <c r="C4155" s="252"/>
      <c r="D4155" s="251"/>
      <c r="E4155" s="378"/>
      <c r="F4155" s="364"/>
      <c r="G4155" s="264"/>
      <c r="H4155" s="253"/>
    </row>
    <row r="4156" spans="1:8">
      <c r="A4156" s="286" t="s">
        <v>4245</v>
      </c>
      <c r="B4156" s="265" t="s">
        <v>3493</v>
      </c>
    </row>
    <row r="4157" spans="1:8" s="292" customFormat="1" ht="24.95" customHeight="1">
      <c r="A4157" s="290" t="s">
        <v>1003</v>
      </c>
      <c r="B4157" s="290" t="s">
        <v>1004</v>
      </c>
      <c r="C4157" s="290" t="s">
        <v>1005</v>
      </c>
      <c r="D4157" s="290" t="s">
        <v>1006</v>
      </c>
      <c r="E4157" s="373" t="s">
        <v>1007</v>
      </c>
      <c r="F4157" s="363" t="s">
        <v>2637</v>
      </c>
      <c r="G4157" s="291" t="s">
        <v>2638</v>
      </c>
    </row>
    <row r="4158" spans="1:8">
      <c r="A4158" s="294" t="s">
        <v>671</v>
      </c>
      <c r="B4158" s="410" t="s">
        <v>672</v>
      </c>
      <c r="C4158" s="247"/>
      <c r="D4158" s="247"/>
      <c r="E4158" s="372"/>
      <c r="F4158" s="360"/>
      <c r="G4158" s="248"/>
    </row>
    <row r="4159" spans="1:8">
      <c r="A4159" s="294"/>
      <c r="B4159" s="410" t="s">
        <v>673</v>
      </c>
      <c r="C4159" s="247" t="s">
        <v>674</v>
      </c>
      <c r="D4159" s="247" t="s">
        <v>675</v>
      </c>
      <c r="E4159" s="372">
        <v>0.2</v>
      </c>
      <c r="F4159" s="360">
        <f>'UPAD-BAHAN-ALAT'!$I$12</f>
        <v>110000</v>
      </c>
      <c r="G4159" s="248">
        <f>F4159*E4159</f>
        <v>22000</v>
      </c>
    </row>
    <row r="4160" spans="1:8">
      <c r="A4160" s="294"/>
      <c r="B4160" s="410" t="s">
        <v>677</v>
      </c>
      <c r="C4160" s="247" t="s">
        <v>678</v>
      </c>
      <c r="D4160" s="247" t="s">
        <v>675</v>
      </c>
      <c r="E4160" s="372">
        <v>0.1</v>
      </c>
      <c r="F4160" s="360">
        <f>'UPAD-BAHAN-ALAT'!$I$13</f>
        <v>140000</v>
      </c>
      <c r="G4160" s="248">
        <f>F4160*E4160</f>
        <v>14000</v>
      </c>
    </row>
    <row r="4161" spans="1:8">
      <c r="A4161" s="294"/>
      <c r="B4161" s="410" t="s">
        <v>751</v>
      </c>
      <c r="C4161" s="247" t="s">
        <v>681</v>
      </c>
      <c r="D4161" s="247" t="s">
        <v>675</v>
      </c>
      <c r="E4161" s="372">
        <v>0.01</v>
      </c>
      <c r="F4161" s="360">
        <f>'UPAD-BAHAN-ALAT'!$I$15</f>
        <v>150000</v>
      </c>
      <c r="G4161" s="248">
        <f>F4161*E4161</f>
        <v>1500</v>
      </c>
    </row>
    <row r="4162" spans="1:8">
      <c r="A4162" s="294"/>
      <c r="B4162" s="410" t="s">
        <v>683</v>
      </c>
      <c r="C4162" s="247" t="s">
        <v>684</v>
      </c>
      <c r="D4162" s="247" t="s">
        <v>675</v>
      </c>
      <c r="E4162" s="372">
        <v>0.01</v>
      </c>
      <c r="F4162" s="360">
        <f>'UPAD-BAHAN-ALAT'!$I$14</f>
        <v>140000</v>
      </c>
      <c r="G4162" s="248">
        <f>F4162*E4162</f>
        <v>1400</v>
      </c>
    </row>
    <row r="4163" spans="1:8">
      <c r="A4163" s="294"/>
      <c r="B4163" s="410"/>
      <c r="C4163" s="247"/>
      <c r="D4163" s="247"/>
      <c r="E4163" s="1146" t="s">
        <v>685</v>
      </c>
      <c r="F4163" s="1146"/>
      <c r="G4163" s="248">
        <f>SUM(G4159:G4162)</f>
        <v>38900</v>
      </c>
    </row>
    <row r="4164" spans="1:8">
      <c r="A4164" s="294" t="s">
        <v>686</v>
      </c>
      <c r="B4164" s="410" t="s">
        <v>687</v>
      </c>
      <c r="C4164" s="247"/>
      <c r="D4164" s="247"/>
      <c r="E4164" s="372"/>
      <c r="F4164" s="360"/>
      <c r="G4164" s="248"/>
    </row>
    <row r="4165" spans="1:8">
      <c r="A4165" s="294"/>
      <c r="B4165" s="410" t="s">
        <v>1235</v>
      </c>
      <c r="C4165" s="247"/>
      <c r="D4165" s="247" t="s">
        <v>743</v>
      </c>
      <c r="E4165" s="372">
        <v>14</v>
      </c>
      <c r="F4165" s="360">
        <f>'UPAD-BAHAN-ALAT'!$I$304</f>
        <v>15000</v>
      </c>
      <c r="G4165" s="248">
        <f>F4165*E4165</f>
        <v>210000</v>
      </c>
    </row>
    <row r="4166" spans="1:8">
      <c r="A4166" s="294"/>
      <c r="B4166" s="410" t="s">
        <v>1237</v>
      </c>
      <c r="C4166" s="247"/>
      <c r="D4166" s="247" t="s">
        <v>690</v>
      </c>
      <c r="E4166" s="372">
        <v>0.03</v>
      </c>
      <c r="F4166" s="360">
        <f>'UPAD-BAHAN-ALAT'!$I$139</f>
        <v>21000</v>
      </c>
      <c r="G4166" s="248">
        <f>F4166*E4166</f>
        <v>630</v>
      </c>
    </row>
    <row r="4167" spans="1:8">
      <c r="A4167" s="294"/>
      <c r="B4167" s="295"/>
      <c r="C4167" s="296"/>
      <c r="D4167" s="296"/>
      <c r="E4167" s="1146" t="s">
        <v>702</v>
      </c>
      <c r="F4167" s="1146"/>
      <c r="G4167" s="248">
        <f>SUM(G4165:G4166)</f>
        <v>210630</v>
      </c>
    </row>
    <row r="4168" spans="1:8" s="265" customFormat="1">
      <c r="A4168" s="294" t="s">
        <v>703</v>
      </c>
      <c r="B4168" s="1147" t="s">
        <v>3910</v>
      </c>
      <c r="C4168" s="1147"/>
      <c r="D4168" s="1147"/>
      <c r="E4168" s="1147"/>
      <c r="F4168" s="1147"/>
      <c r="G4168" s="255">
        <f>G4163+G4167</f>
        <v>249530</v>
      </c>
    </row>
    <row r="4169" spans="1:8" s="265" customFormat="1">
      <c r="A4169" s="294" t="s">
        <v>706</v>
      </c>
      <c r="B4169" s="1148" t="s">
        <v>876</v>
      </c>
      <c r="C4169" s="1148"/>
      <c r="D4169" s="1148"/>
      <c r="E4169" s="1147" t="s">
        <v>4030</v>
      </c>
      <c r="F4169" s="1147"/>
      <c r="G4169" s="255">
        <f>G4168*0.15</f>
        <v>37429.5</v>
      </c>
    </row>
    <row r="4170" spans="1:8" s="265" customFormat="1">
      <c r="A4170" s="294" t="s">
        <v>708</v>
      </c>
      <c r="B4170" s="1149" t="s">
        <v>3911</v>
      </c>
      <c r="C4170" s="1149"/>
      <c r="D4170" s="1149"/>
      <c r="E4170" s="1149"/>
      <c r="F4170" s="1149"/>
      <c r="G4170" s="255">
        <f>ROUND(SUM(G4168:G4169),2)</f>
        <v>286959.5</v>
      </c>
      <c r="H4170" s="255">
        <f>SUM(G4168:G4169)</f>
        <v>286959.5</v>
      </c>
    </row>
    <row r="4171" spans="1:8">
      <c r="A4171" s="268"/>
      <c r="B4171" s="269"/>
      <c r="C4171" s="268"/>
      <c r="D4171" s="268"/>
      <c r="E4171" s="380"/>
      <c r="F4171" s="365"/>
      <c r="G4171" s="270"/>
    </row>
    <row r="4172" spans="1:8">
      <c r="A4172" s="285" t="s">
        <v>4246</v>
      </c>
      <c r="B4172" s="250" t="s">
        <v>3562</v>
      </c>
      <c r="C4172" s="252"/>
      <c r="D4172" s="252"/>
      <c r="E4172" s="374"/>
      <c r="F4172" s="361"/>
      <c r="G4172" s="253"/>
    </row>
    <row r="4173" spans="1:8" s="292" customFormat="1" ht="24.95" customHeight="1">
      <c r="A4173" s="290" t="s">
        <v>1003</v>
      </c>
      <c r="B4173" s="290" t="s">
        <v>1004</v>
      </c>
      <c r="C4173" s="290" t="s">
        <v>1005</v>
      </c>
      <c r="D4173" s="290" t="s">
        <v>1006</v>
      </c>
      <c r="E4173" s="373" t="s">
        <v>1007</v>
      </c>
      <c r="F4173" s="363" t="s">
        <v>2637</v>
      </c>
      <c r="G4173" s="291" t="s">
        <v>2638</v>
      </c>
    </row>
    <row r="4174" spans="1:8">
      <c r="A4174" s="294" t="s">
        <v>671</v>
      </c>
      <c r="B4174" s="410" t="s">
        <v>672</v>
      </c>
      <c r="C4174" s="247"/>
      <c r="D4174" s="247"/>
      <c r="E4174" s="372"/>
      <c r="F4174" s="360"/>
      <c r="G4174" s="248"/>
    </row>
    <row r="4175" spans="1:8">
      <c r="A4175" s="294"/>
      <c r="B4175" s="410" t="s">
        <v>673</v>
      </c>
      <c r="C4175" s="247" t="s">
        <v>674</v>
      </c>
      <c r="D4175" s="247" t="s">
        <v>675</v>
      </c>
      <c r="E4175" s="372">
        <v>0.2</v>
      </c>
      <c r="F4175" s="360">
        <f>'UPAD-BAHAN-ALAT'!$I$12</f>
        <v>110000</v>
      </c>
      <c r="G4175" s="248">
        <f>F4175*E4175</f>
        <v>22000</v>
      </c>
    </row>
    <row r="4176" spans="1:8">
      <c r="A4176" s="294"/>
      <c r="B4176" s="410" t="s">
        <v>677</v>
      </c>
      <c r="C4176" s="247" t="s">
        <v>678</v>
      </c>
      <c r="D4176" s="247" t="s">
        <v>675</v>
      </c>
      <c r="E4176" s="372">
        <v>0.3</v>
      </c>
      <c r="F4176" s="360">
        <f>'UPAD-BAHAN-ALAT'!$I$13</f>
        <v>140000</v>
      </c>
      <c r="G4176" s="248">
        <f>F4176*E4176</f>
        <v>42000</v>
      </c>
    </row>
    <row r="4177" spans="1:8">
      <c r="A4177" s="294"/>
      <c r="B4177" s="410" t="s">
        <v>751</v>
      </c>
      <c r="C4177" s="247" t="s">
        <v>681</v>
      </c>
      <c r="D4177" s="247" t="s">
        <v>675</v>
      </c>
      <c r="E4177" s="372">
        <v>3.0000000000000001E-3</v>
      </c>
      <c r="F4177" s="360">
        <f>'UPAD-BAHAN-ALAT'!$I$15</f>
        <v>150000</v>
      </c>
      <c r="G4177" s="248">
        <f>F4177*E4177</f>
        <v>450</v>
      </c>
    </row>
    <row r="4178" spans="1:8">
      <c r="A4178" s="294"/>
      <c r="B4178" s="410" t="s">
        <v>683</v>
      </c>
      <c r="C4178" s="247" t="s">
        <v>684</v>
      </c>
      <c r="D4178" s="247" t="s">
        <v>675</v>
      </c>
      <c r="E4178" s="372">
        <v>0.01</v>
      </c>
      <c r="F4178" s="360">
        <f>'UPAD-BAHAN-ALAT'!$I$14</f>
        <v>140000</v>
      </c>
      <c r="G4178" s="248">
        <f>F4178*E4178</f>
        <v>1400</v>
      </c>
    </row>
    <row r="4179" spans="1:8">
      <c r="A4179" s="294"/>
      <c r="B4179" s="410"/>
      <c r="C4179" s="247"/>
      <c r="D4179" s="247"/>
      <c r="E4179" s="1146" t="s">
        <v>685</v>
      </c>
      <c r="F4179" s="1146"/>
      <c r="G4179" s="248">
        <f>SUM(G4175:G4178)</f>
        <v>65850</v>
      </c>
    </row>
    <row r="4180" spans="1:8">
      <c r="A4180" s="294" t="s">
        <v>686</v>
      </c>
      <c r="B4180" s="410" t="s">
        <v>687</v>
      </c>
      <c r="C4180" s="247"/>
      <c r="D4180" s="247"/>
      <c r="E4180" s="372"/>
      <c r="F4180" s="360"/>
      <c r="G4180" s="248"/>
    </row>
    <row r="4181" spans="1:8">
      <c r="A4181" s="294"/>
      <c r="B4181" s="410" t="s">
        <v>3563</v>
      </c>
      <c r="C4181" s="247"/>
      <c r="D4181" s="247" t="s">
        <v>743</v>
      </c>
      <c r="E4181" s="372">
        <v>6.6</v>
      </c>
      <c r="F4181" s="360">
        <f>'UPAD-BAHAN-ALAT'!$I$326</f>
        <v>33000</v>
      </c>
      <c r="G4181" s="248">
        <f>F4181*E4181</f>
        <v>217800</v>
      </c>
    </row>
    <row r="4182" spans="1:8">
      <c r="A4182" s="294"/>
      <c r="B4182" s="410" t="s">
        <v>4619</v>
      </c>
      <c r="C4182" s="247"/>
      <c r="D4182" s="247" t="s">
        <v>715</v>
      </c>
      <c r="E4182" s="372">
        <v>0.35</v>
      </c>
      <c r="F4182" s="360">
        <f>'UPAD-BAHAN-ALAT'!$I$103</f>
        <v>121000</v>
      </c>
      <c r="G4182" s="248">
        <f>F4182*E4182</f>
        <v>42350</v>
      </c>
    </row>
    <row r="4183" spans="1:8">
      <c r="A4183" s="294"/>
      <c r="B4183" s="410" t="s">
        <v>1215</v>
      </c>
      <c r="C4183" s="247"/>
      <c r="D4183" s="247" t="s">
        <v>690</v>
      </c>
      <c r="E4183" s="372">
        <v>0.03</v>
      </c>
      <c r="F4183" s="360">
        <f>'UPAD-BAHAN-ALAT'!$I$139</f>
        <v>21000</v>
      </c>
      <c r="G4183" s="248">
        <f>F4183*E4183</f>
        <v>630</v>
      </c>
    </row>
    <row r="4184" spans="1:8">
      <c r="A4184" s="294"/>
      <c r="B4184" s="410" t="s">
        <v>1241</v>
      </c>
      <c r="C4184" s="247"/>
      <c r="D4184" s="247" t="s">
        <v>743</v>
      </c>
      <c r="E4184" s="372">
        <v>0.5</v>
      </c>
      <c r="F4184" s="360">
        <f>'UPAD-BAHAN-ALAT'!$I$336</f>
        <v>10000</v>
      </c>
      <c r="G4184" s="248">
        <f>F4184*E4184</f>
        <v>5000</v>
      </c>
    </row>
    <row r="4185" spans="1:8">
      <c r="A4185" s="294"/>
      <c r="B4185" s="295"/>
      <c r="C4185" s="296"/>
      <c r="D4185" s="296"/>
      <c r="E4185" s="1146" t="s">
        <v>702</v>
      </c>
      <c r="F4185" s="1146"/>
      <c r="G4185" s="248">
        <f>SUM(G4181:G4184)</f>
        <v>265780</v>
      </c>
    </row>
    <row r="4186" spans="1:8" s="265" customFormat="1">
      <c r="A4186" s="294" t="s">
        <v>703</v>
      </c>
      <c r="B4186" s="1147" t="s">
        <v>3910</v>
      </c>
      <c r="C4186" s="1147"/>
      <c r="D4186" s="1147"/>
      <c r="E4186" s="1147"/>
      <c r="F4186" s="1147"/>
      <c r="G4186" s="255">
        <f>G4179+G4185</f>
        <v>331630</v>
      </c>
    </row>
    <row r="4187" spans="1:8" s="265" customFormat="1">
      <c r="A4187" s="294" t="s">
        <v>706</v>
      </c>
      <c r="B4187" s="1148" t="s">
        <v>876</v>
      </c>
      <c r="C4187" s="1148"/>
      <c r="D4187" s="1148"/>
      <c r="E4187" s="1147" t="s">
        <v>4030</v>
      </c>
      <c r="F4187" s="1147"/>
      <c r="G4187" s="255">
        <f>G4186*0.15</f>
        <v>49744.5</v>
      </c>
    </row>
    <row r="4188" spans="1:8" s="265" customFormat="1">
      <c r="A4188" s="294" t="s">
        <v>708</v>
      </c>
      <c r="B4188" s="1149" t="s">
        <v>3911</v>
      </c>
      <c r="C4188" s="1149"/>
      <c r="D4188" s="1149"/>
      <c r="E4188" s="1149"/>
      <c r="F4188" s="1149"/>
      <c r="G4188" s="255">
        <f>ROUND(SUM(G4186:G4187),2)</f>
        <v>381374.5</v>
      </c>
      <c r="H4188" s="255">
        <f>SUM(G4186:G4187)</f>
        <v>381374.5</v>
      </c>
    </row>
    <row r="4189" spans="1:8">
      <c r="A4189" s="252"/>
      <c r="B4189" s="251"/>
      <c r="C4189" s="252"/>
      <c r="D4189" s="251"/>
      <c r="E4189" s="378"/>
      <c r="F4189" s="364"/>
      <c r="G4189" s="264"/>
      <c r="H4189" s="253"/>
    </row>
    <row r="4190" spans="1:8">
      <c r="A4190" s="285" t="s">
        <v>4247</v>
      </c>
      <c r="B4190" s="250" t="s">
        <v>3565</v>
      </c>
      <c r="C4190" s="252"/>
      <c r="D4190" s="252"/>
      <c r="E4190" s="374"/>
      <c r="F4190" s="361"/>
      <c r="G4190" s="253"/>
    </row>
    <row r="4191" spans="1:8" s="292" customFormat="1" ht="24.95" customHeight="1">
      <c r="A4191" s="290" t="s">
        <v>1003</v>
      </c>
      <c r="B4191" s="290" t="s">
        <v>1004</v>
      </c>
      <c r="C4191" s="290" t="s">
        <v>1005</v>
      </c>
      <c r="D4191" s="290" t="s">
        <v>1006</v>
      </c>
      <c r="E4191" s="373" t="s">
        <v>1007</v>
      </c>
      <c r="F4191" s="363" t="s">
        <v>2637</v>
      </c>
      <c r="G4191" s="291" t="s">
        <v>2638</v>
      </c>
    </row>
    <row r="4192" spans="1:8">
      <c r="A4192" s="294" t="s">
        <v>671</v>
      </c>
      <c r="B4192" s="410" t="s">
        <v>672</v>
      </c>
      <c r="C4192" s="247"/>
      <c r="D4192" s="247"/>
      <c r="E4192" s="372"/>
      <c r="F4192" s="360"/>
      <c r="G4192" s="248"/>
    </row>
    <row r="4193" spans="1:8">
      <c r="A4193" s="294"/>
      <c r="B4193" s="410" t="s">
        <v>673</v>
      </c>
      <c r="C4193" s="247" t="s">
        <v>674</v>
      </c>
      <c r="D4193" s="247" t="s">
        <v>675</v>
      </c>
      <c r="E4193" s="372">
        <v>0.2</v>
      </c>
      <c r="F4193" s="360">
        <f>'UPAD-BAHAN-ALAT'!$I$12</f>
        <v>110000</v>
      </c>
      <c r="G4193" s="248">
        <f>F4193*E4193</f>
        <v>22000</v>
      </c>
    </row>
    <row r="4194" spans="1:8">
      <c r="A4194" s="294"/>
      <c r="B4194" s="410" t="s">
        <v>677</v>
      </c>
      <c r="C4194" s="247" t="s">
        <v>678</v>
      </c>
      <c r="D4194" s="247" t="s">
        <v>675</v>
      </c>
      <c r="E4194" s="372">
        <v>0.3</v>
      </c>
      <c r="F4194" s="360">
        <f>'UPAD-BAHAN-ALAT'!$I$13</f>
        <v>140000</v>
      </c>
      <c r="G4194" s="248">
        <f>F4194*E4194</f>
        <v>42000</v>
      </c>
    </row>
    <row r="4195" spans="1:8">
      <c r="A4195" s="294"/>
      <c r="B4195" s="410" t="s">
        <v>751</v>
      </c>
      <c r="C4195" s="247" t="s">
        <v>681</v>
      </c>
      <c r="D4195" s="247" t="s">
        <v>675</v>
      </c>
      <c r="E4195" s="372">
        <v>3.0000000000000001E-3</v>
      </c>
      <c r="F4195" s="360">
        <f>'UPAD-BAHAN-ALAT'!$I$15</f>
        <v>150000</v>
      </c>
      <c r="G4195" s="248">
        <f>F4195*E4195</f>
        <v>450</v>
      </c>
    </row>
    <row r="4196" spans="1:8">
      <c r="A4196" s="294"/>
      <c r="B4196" s="410" t="s">
        <v>683</v>
      </c>
      <c r="C4196" s="247" t="s">
        <v>684</v>
      </c>
      <c r="D4196" s="247" t="s">
        <v>675</v>
      </c>
      <c r="E4196" s="372">
        <v>0.01</v>
      </c>
      <c r="F4196" s="360">
        <f>'UPAD-BAHAN-ALAT'!$I$14</f>
        <v>140000</v>
      </c>
      <c r="G4196" s="248">
        <f>F4196*E4196</f>
        <v>1400</v>
      </c>
    </row>
    <row r="4197" spans="1:8">
      <c r="A4197" s="294"/>
      <c r="B4197" s="410"/>
      <c r="C4197" s="247"/>
      <c r="D4197" s="247"/>
      <c r="E4197" s="1146" t="s">
        <v>685</v>
      </c>
      <c r="F4197" s="1146"/>
      <c r="G4197" s="248">
        <f>SUM(G4193:G4196)</f>
        <v>65850</v>
      </c>
    </row>
    <row r="4198" spans="1:8">
      <c r="A4198" s="294" t="s">
        <v>686</v>
      </c>
      <c r="B4198" s="410" t="s">
        <v>687</v>
      </c>
      <c r="C4198" s="247"/>
      <c r="D4198" s="247"/>
      <c r="E4198" s="372"/>
      <c r="F4198" s="360"/>
      <c r="G4198" s="248"/>
    </row>
    <row r="4199" spans="1:8">
      <c r="A4199" s="294"/>
      <c r="B4199" s="410" t="s">
        <v>3566</v>
      </c>
      <c r="C4199" s="247"/>
      <c r="D4199" s="247" t="s">
        <v>743</v>
      </c>
      <c r="E4199" s="372">
        <v>0.64900000000000002</v>
      </c>
      <c r="F4199" s="360">
        <f>'UPAD-BAHAN-ALAT'!$I$327</f>
        <v>184000</v>
      </c>
      <c r="G4199" s="248">
        <f>F4199*E4199</f>
        <v>119416</v>
      </c>
    </row>
    <row r="4200" spans="1:8">
      <c r="A4200" s="294"/>
      <c r="B4200" s="267" t="s">
        <v>3713</v>
      </c>
      <c r="C4200" s="247"/>
      <c r="D4200" s="247" t="s">
        <v>690</v>
      </c>
      <c r="E4200" s="372">
        <v>0.03</v>
      </c>
      <c r="F4200" s="360">
        <f>'UPAD-BAHAN-ALAT'!$I$143</f>
        <v>37800</v>
      </c>
      <c r="G4200" s="248">
        <f>F4200*E4200</f>
        <v>1134</v>
      </c>
    </row>
    <row r="4201" spans="1:8">
      <c r="A4201" s="294"/>
      <c r="B4201" s="295"/>
      <c r="C4201" s="296"/>
      <c r="D4201" s="296"/>
      <c r="E4201" s="1146" t="s">
        <v>702</v>
      </c>
      <c r="F4201" s="1146"/>
      <c r="G4201" s="248">
        <f>SUM(G4199:G4200)</f>
        <v>120550</v>
      </c>
    </row>
    <row r="4202" spans="1:8" s="265" customFormat="1">
      <c r="A4202" s="294" t="s">
        <v>703</v>
      </c>
      <c r="B4202" s="1147" t="s">
        <v>3910</v>
      </c>
      <c r="C4202" s="1147"/>
      <c r="D4202" s="1147"/>
      <c r="E4202" s="1147"/>
      <c r="F4202" s="1147"/>
      <c r="G4202" s="255">
        <f>G4197+G4201</f>
        <v>186400</v>
      </c>
    </row>
    <row r="4203" spans="1:8" s="265" customFormat="1">
      <c r="A4203" s="294" t="s">
        <v>706</v>
      </c>
      <c r="B4203" s="1148" t="s">
        <v>876</v>
      </c>
      <c r="C4203" s="1148"/>
      <c r="D4203" s="1148"/>
      <c r="E4203" s="1147" t="s">
        <v>4030</v>
      </c>
      <c r="F4203" s="1147"/>
      <c r="G4203" s="255">
        <f>G4202*0.15</f>
        <v>27960</v>
      </c>
    </row>
    <row r="4204" spans="1:8" s="265" customFormat="1">
      <c r="A4204" s="294" t="s">
        <v>708</v>
      </c>
      <c r="B4204" s="1149" t="s">
        <v>3911</v>
      </c>
      <c r="C4204" s="1149"/>
      <c r="D4204" s="1149"/>
      <c r="E4204" s="1149"/>
      <c r="F4204" s="1149"/>
      <c r="G4204" s="255">
        <f>ROUND(SUM(G4202:G4203),2)</f>
        <v>214360</v>
      </c>
      <c r="H4204" s="255">
        <f>SUM(G4202:G4203)</f>
        <v>214360</v>
      </c>
    </row>
    <row r="4206" spans="1:8">
      <c r="A4206" s="286" t="s">
        <v>4248</v>
      </c>
      <c r="B4206" s="265" t="s">
        <v>2777</v>
      </c>
    </row>
    <row r="4207" spans="1:8" s="292" customFormat="1" ht="24.95" customHeight="1">
      <c r="A4207" s="290" t="s">
        <v>1003</v>
      </c>
      <c r="B4207" s="290" t="s">
        <v>1004</v>
      </c>
      <c r="C4207" s="290" t="s">
        <v>1005</v>
      </c>
      <c r="D4207" s="290" t="s">
        <v>1006</v>
      </c>
      <c r="E4207" s="373" t="s">
        <v>1007</v>
      </c>
      <c r="F4207" s="363" t="s">
        <v>2637</v>
      </c>
      <c r="G4207" s="291" t="s">
        <v>2638</v>
      </c>
    </row>
    <row r="4208" spans="1:8">
      <c r="A4208" s="294" t="s">
        <v>671</v>
      </c>
      <c r="B4208" s="410" t="s">
        <v>672</v>
      </c>
      <c r="C4208" s="247"/>
      <c r="D4208" s="247"/>
      <c r="E4208" s="372"/>
      <c r="F4208" s="360"/>
      <c r="G4208" s="248"/>
    </row>
    <row r="4209" spans="1:8">
      <c r="A4209" s="294"/>
      <c r="B4209" s="410" t="s">
        <v>673</v>
      </c>
      <c r="C4209" s="247" t="s">
        <v>674</v>
      </c>
      <c r="D4209" s="247" t="s">
        <v>675</v>
      </c>
      <c r="E4209" s="372">
        <v>0.2</v>
      </c>
      <c r="F4209" s="360">
        <f>'UPAD-BAHAN-ALAT'!$I$12</f>
        <v>110000</v>
      </c>
      <c r="G4209" s="248">
        <f>F4209*E4209</f>
        <v>22000</v>
      </c>
    </row>
    <row r="4210" spans="1:8">
      <c r="A4210" s="294"/>
      <c r="B4210" s="410" t="s">
        <v>677</v>
      </c>
      <c r="C4210" s="247" t="s">
        <v>678</v>
      </c>
      <c r="D4210" s="247" t="s">
        <v>675</v>
      </c>
      <c r="E4210" s="372">
        <v>0.1</v>
      </c>
      <c r="F4210" s="360">
        <f>'UPAD-BAHAN-ALAT'!$I$13</f>
        <v>140000</v>
      </c>
      <c r="G4210" s="248">
        <f>F4210*E4210</f>
        <v>14000</v>
      </c>
    </row>
    <row r="4211" spans="1:8">
      <c r="A4211" s="294"/>
      <c r="B4211" s="410" t="s">
        <v>751</v>
      </c>
      <c r="C4211" s="247" t="s">
        <v>681</v>
      </c>
      <c r="D4211" s="247" t="s">
        <v>675</v>
      </c>
      <c r="E4211" s="372">
        <v>0.01</v>
      </c>
      <c r="F4211" s="360">
        <f>'UPAD-BAHAN-ALAT'!$I$15</f>
        <v>150000</v>
      </c>
      <c r="G4211" s="248">
        <f>F4211*E4211</f>
        <v>1500</v>
      </c>
    </row>
    <row r="4212" spans="1:8">
      <c r="A4212" s="294"/>
      <c r="B4212" s="410" t="s">
        <v>683</v>
      </c>
      <c r="C4212" s="247" t="s">
        <v>684</v>
      </c>
      <c r="D4212" s="247" t="s">
        <v>675</v>
      </c>
      <c r="E4212" s="372">
        <v>1E-3</v>
      </c>
      <c r="F4212" s="360">
        <f>'UPAD-BAHAN-ALAT'!$I$14</f>
        <v>140000</v>
      </c>
      <c r="G4212" s="248">
        <f>F4212*E4212</f>
        <v>140</v>
      </c>
    </row>
    <row r="4213" spans="1:8">
      <c r="A4213" s="294"/>
      <c r="B4213" s="410"/>
      <c r="C4213" s="247"/>
      <c r="D4213" s="247"/>
      <c r="E4213" s="1146" t="s">
        <v>685</v>
      </c>
      <c r="F4213" s="1146"/>
      <c r="G4213" s="248">
        <f>SUM(G4209:G4212)</f>
        <v>37640</v>
      </c>
    </row>
    <row r="4214" spans="1:8">
      <c r="A4214" s="294" t="s">
        <v>686</v>
      </c>
      <c r="B4214" s="410" t="s">
        <v>687</v>
      </c>
      <c r="C4214" s="247"/>
      <c r="D4214" s="247"/>
      <c r="E4214" s="372"/>
      <c r="F4214" s="360"/>
      <c r="G4214" s="248"/>
    </row>
    <row r="4215" spans="1:8">
      <c r="A4215" s="294"/>
      <c r="B4215" s="410" t="s">
        <v>1242</v>
      </c>
      <c r="C4215" s="247"/>
      <c r="D4215" s="247" t="s">
        <v>743</v>
      </c>
      <c r="E4215" s="372">
        <v>1.02</v>
      </c>
      <c r="F4215" s="360">
        <f>'UPAD-BAHAN-ALAT'!$I$303</f>
        <v>82000</v>
      </c>
      <c r="G4215" s="248">
        <f>F4215*E4215</f>
        <v>83640</v>
      </c>
    </row>
    <row r="4216" spans="1:8">
      <c r="A4216" s="294"/>
      <c r="B4216" s="267" t="s">
        <v>3713</v>
      </c>
      <c r="C4216" s="247"/>
      <c r="D4216" s="247" t="s">
        <v>690</v>
      </c>
      <c r="E4216" s="372">
        <v>0.2</v>
      </c>
      <c r="F4216" s="360">
        <f>'UPAD-BAHAN-ALAT'!$I$143</f>
        <v>37800</v>
      </c>
      <c r="G4216" s="248">
        <f>F4216*E4216</f>
        <v>7560</v>
      </c>
    </row>
    <row r="4217" spans="1:8">
      <c r="A4217" s="294"/>
      <c r="B4217" s="295"/>
      <c r="C4217" s="296"/>
      <c r="D4217" s="296"/>
      <c r="E4217" s="1146" t="s">
        <v>702</v>
      </c>
      <c r="F4217" s="1146"/>
      <c r="G4217" s="248">
        <f>SUM(G4215:G4216)</f>
        <v>91200</v>
      </c>
    </row>
    <row r="4218" spans="1:8" s="265" customFormat="1">
      <c r="A4218" s="294" t="s">
        <v>703</v>
      </c>
      <c r="B4218" s="1147" t="s">
        <v>3910</v>
      </c>
      <c r="C4218" s="1147"/>
      <c r="D4218" s="1147"/>
      <c r="E4218" s="1147"/>
      <c r="F4218" s="1147"/>
      <c r="G4218" s="255">
        <f>G4213+G4217</f>
        <v>128840</v>
      </c>
    </row>
    <row r="4219" spans="1:8" s="265" customFormat="1">
      <c r="A4219" s="294" t="s">
        <v>706</v>
      </c>
      <c r="B4219" s="1148" t="s">
        <v>876</v>
      </c>
      <c r="C4219" s="1148"/>
      <c r="D4219" s="1148"/>
      <c r="E4219" s="1147" t="s">
        <v>4030</v>
      </c>
      <c r="F4219" s="1147"/>
      <c r="G4219" s="255">
        <f>G4218*0.15</f>
        <v>19326</v>
      </c>
    </row>
    <row r="4220" spans="1:8" s="265" customFormat="1">
      <c r="A4220" s="294" t="s">
        <v>708</v>
      </c>
      <c r="B4220" s="1149" t="s">
        <v>3911</v>
      </c>
      <c r="C4220" s="1149"/>
      <c r="D4220" s="1149"/>
      <c r="E4220" s="1149"/>
      <c r="F4220" s="1149"/>
      <c r="G4220" s="255">
        <f>ROUND(SUM(G4218:G4219),2)</f>
        <v>148166</v>
      </c>
      <c r="H4220" s="255">
        <f>SUM(G4218:G4219)</f>
        <v>148166</v>
      </c>
    </row>
    <row r="4221" spans="1:8">
      <c r="A4221" s="268"/>
      <c r="B4221" s="269"/>
      <c r="C4221" s="268"/>
      <c r="D4221" s="268"/>
      <c r="E4221" s="380"/>
      <c r="F4221" s="365"/>
      <c r="G4221" s="270"/>
    </row>
    <row r="4222" spans="1:8" s="720" customFormat="1">
      <c r="A4222" s="286" t="s">
        <v>4249</v>
      </c>
      <c r="B4222" s="718" t="s">
        <v>3683</v>
      </c>
      <c r="C4222" s="719"/>
      <c r="D4222" s="719"/>
      <c r="E4222" s="376"/>
      <c r="F4222" s="362"/>
      <c r="G4222" s="277"/>
    </row>
    <row r="4223" spans="1:8" s="722" customFormat="1" ht="24.95" customHeight="1">
      <c r="A4223" s="721" t="s">
        <v>1003</v>
      </c>
      <c r="B4223" s="721" t="s">
        <v>1004</v>
      </c>
      <c r="C4223" s="721" t="s">
        <v>1005</v>
      </c>
      <c r="D4223" s="721" t="s">
        <v>1006</v>
      </c>
      <c r="E4223" s="373" t="s">
        <v>1007</v>
      </c>
      <c r="F4223" s="363" t="s">
        <v>2637</v>
      </c>
      <c r="G4223" s="353" t="s">
        <v>2638</v>
      </c>
    </row>
    <row r="4224" spans="1:8" s="720" customFormat="1">
      <c r="A4224" s="723" t="s">
        <v>671</v>
      </c>
      <c r="B4224" s="267" t="s">
        <v>672</v>
      </c>
      <c r="C4224" s="724"/>
      <c r="D4224" s="724"/>
      <c r="E4224" s="372"/>
      <c r="F4224" s="360"/>
      <c r="G4224" s="274"/>
    </row>
    <row r="4225" spans="1:8" s="720" customFormat="1">
      <c r="A4225" s="723"/>
      <c r="B4225" s="267" t="s">
        <v>673</v>
      </c>
      <c r="C4225" s="724" t="s">
        <v>674</v>
      </c>
      <c r="D4225" s="724" t="s">
        <v>675</v>
      </c>
      <c r="E4225" s="372">
        <v>0.2</v>
      </c>
      <c r="F4225" s="360">
        <f>'UPAD-BAHAN-ALAT'!$I$12</f>
        <v>110000</v>
      </c>
      <c r="G4225" s="274">
        <f>F4225*E4225</f>
        <v>22000</v>
      </c>
    </row>
    <row r="4226" spans="1:8" s="720" customFormat="1">
      <c r="A4226" s="723"/>
      <c r="B4226" s="267" t="s">
        <v>677</v>
      </c>
      <c r="C4226" s="724" t="s">
        <v>678</v>
      </c>
      <c r="D4226" s="724" t="s">
        <v>675</v>
      </c>
      <c r="E4226" s="372">
        <v>0.1</v>
      </c>
      <c r="F4226" s="360">
        <f>'UPAD-BAHAN-ALAT'!$I$13</f>
        <v>140000</v>
      </c>
      <c r="G4226" s="274">
        <f>F4226*E4226</f>
        <v>14000</v>
      </c>
    </row>
    <row r="4227" spans="1:8" s="720" customFormat="1">
      <c r="A4227" s="723"/>
      <c r="B4227" s="267" t="s">
        <v>751</v>
      </c>
      <c r="C4227" s="724" t="s">
        <v>681</v>
      </c>
      <c r="D4227" s="724" t="s">
        <v>675</v>
      </c>
      <c r="E4227" s="372">
        <v>0.01</v>
      </c>
      <c r="F4227" s="360">
        <f>'UPAD-BAHAN-ALAT'!$I$15</f>
        <v>150000</v>
      </c>
      <c r="G4227" s="274">
        <f>F4227*E4227</f>
        <v>1500</v>
      </c>
    </row>
    <row r="4228" spans="1:8" s="720" customFormat="1">
      <c r="A4228" s="723"/>
      <c r="B4228" s="267" t="s">
        <v>683</v>
      </c>
      <c r="C4228" s="724" t="s">
        <v>684</v>
      </c>
      <c r="D4228" s="724" t="s">
        <v>675</v>
      </c>
      <c r="E4228" s="372">
        <v>1E-3</v>
      </c>
      <c r="F4228" s="360">
        <f>'UPAD-BAHAN-ALAT'!$I$14</f>
        <v>140000</v>
      </c>
      <c r="G4228" s="274">
        <f>F4228*E4228</f>
        <v>140</v>
      </c>
    </row>
    <row r="4229" spans="1:8" s="720" customFormat="1">
      <c r="A4229" s="723"/>
      <c r="B4229" s="267"/>
      <c r="C4229" s="724"/>
      <c r="D4229" s="724"/>
      <c r="E4229" s="1189" t="s">
        <v>685</v>
      </c>
      <c r="F4229" s="1189"/>
      <c r="G4229" s="274">
        <f>SUM(G4225:G4228)</f>
        <v>37640</v>
      </c>
    </row>
    <row r="4230" spans="1:8" s="720" customFormat="1">
      <c r="A4230" s="723" t="s">
        <v>686</v>
      </c>
      <c r="B4230" s="267" t="s">
        <v>687</v>
      </c>
      <c r="C4230" s="724"/>
      <c r="D4230" s="724"/>
      <c r="E4230" s="372"/>
      <c r="F4230" s="360"/>
      <c r="G4230" s="274"/>
    </row>
    <row r="4231" spans="1:8" s="720" customFormat="1">
      <c r="A4231" s="723"/>
      <c r="B4231" s="267" t="s">
        <v>3684</v>
      </c>
      <c r="C4231" s="724"/>
      <c r="D4231" s="724" t="s">
        <v>3128</v>
      </c>
      <c r="E4231" s="372">
        <v>5.04</v>
      </c>
      <c r="F4231" s="360">
        <f>'UPAD-BAHAN-ALAT'!$I$300</f>
        <v>11475</v>
      </c>
      <c r="G4231" s="274">
        <f>F4231*E4231</f>
        <v>57834</v>
      </c>
    </row>
    <row r="4232" spans="1:8" s="720" customFormat="1">
      <c r="A4232" s="723"/>
      <c r="B4232" s="267" t="s">
        <v>3713</v>
      </c>
      <c r="C4232" s="724"/>
      <c r="D4232" s="724" t="s">
        <v>690</v>
      </c>
      <c r="E4232" s="372">
        <v>0.2</v>
      </c>
      <c r="F4232" s="360">
        <f>'UPAD-BAHAN-ALAT'!$I$143</f>
        <v>37800</v>
      </c>
      <c r="G4232" s="274">
        <f>F4232*E4232</f>
        <v>7560</v>
      </c>
    </row>
    <row r="4233" spans="1:8" s="720" customFormat="1">
      <c r="A4233" s="723"/>
      <c r="B4233" s="725"/>
      <c r="C4233" s="726"/>
      <c r="D4233" s="726"/>
      <c r="E4233" s="1189" t="s">
        <v>702</v>
      </c>
      <c r="F4233" s="1189"/>
      <c r="G4233" s="274">
        <f>SUM(G4231:G4232)</f>
        <v>65394</v>
      </c>
    </row>
    <row r="4234" spans="1:8" s="718" customFormat="1">
      <c r="A4234" s="723" t="s">
        <v>703</v>
      </c>
      <c r="B4234" s="1169" t="s">
        <v>3910</v>
      </c>
      <c r="C4234" s="1169"/>
      <c r="D4234" s="1169"/>
      <c r="E4234" s="1169"/>
      <c r="F4234" s="1169"/>
      <c r="G4234" s="273">
        <f>G4229+G4233</f>
        <v>103034</v>
      </c>
    </row>
    <row r="4235" spans="1:8" s="718" customFormat="1">
      <c r="A4235" s="723" t="s">
        <v>706</v>
      </c>
      <c r="B4235" s="1170" t="s">
        <v>876</v>
      </c>
      <c r="C4235" s="1170"/>
      <c r="D4235" s="1170"/>
      <c r="E4235" s="1169" t="s">
        <v>4030</v>
      </c>
      <c r="F4235" s="1169"/>
      <c r="G4235" s="255">
        <f>G4234*0.15</f>
        <v>15455.099999999999</v>
      </c>
    </row>
    <row r="4236" spans="1:8" s="718" customFormat="1">
      <c r="A4236" s="723" t="s">
        <v>708</v>
      </c>
      <c r="B4236" s="1188" t="s">
        <v>3911</v>
      </c>
      <c r="C4236" s="1188"/>
      <c r="D4236" s="1188"/>
      <c r="E4236" s="1188"/>
      <c r="F4236" s="1188"/>
      <c r="G4236" s="255">
        <f>ROUND(SUM(G4234:G4235),2)</f>
        <v>118489.1</v>
      </c>
      <c r="H4236" s="273">
        <f>SUM(G4234:G4235)</f>
        <v>118489.1</v>
      </c>
    </row>
    <row r="4237" spans="1:8" s="720" customFormat="1">
      <c r="A4237" s="727"/>
      <c r="B4237" s="728"/>
      <c r="C4237" s="727"/>
      <c r="D4237" s="728"/>
      <c r="E4237" s="378"/>
      <c r="F4237" s="364"/>
      <c r="G4237" s="289"/>
      <c r="H4237" s="272"/>
    </row>
    <row r="4238" spans="1:8">
      <c r="A4238" s="284" t="s">
        <v>4250</v>
      </c>
      <c r="B4238" s="250" t="s">
        <v>2776</v>
      </c>
      <c r="C4238" s="252"/>
      <c r="D4238" s="252"/>
      <c r="E4238" s="374"/>
      <c r="F4238" s="361"/>
      <c r="G4238" s="253"/>
    </row>
    <row r="4239" spans="1:8" s="292" customFormat="1" ht="24.95" customHeight="1">
      <c r="A4239" s="290" t="s">
        <v>1003</v>
      </c>
      <c r="B4239" s="290" t="s">
        <v>1004</v>
      </c>
      <c r="C4239" s="290" t="s">
        <v>1005</v>
      </c>
      <c r="D4239" s="290" t="s">
        <v>1006</v>
      </c>
      <c r="E4239" s="373" t="s">
        <v>1007</v>
      </c>
      <c r="F4239" s="363" t="s">
        <v>2637</v>
      </c>
      <c r="G4239" s="291" t="s">
        <v>2638</v>
      </c>
    </row>
    <row r="4240" spans="1:8">
      <c r="A4240" s="294" t="s">
        <v>671</v>
      </c>
      <c r="B4240" s="410" t="s">
        <v>672</v>
      </c>
      <c r="C4240" s="247"/>
      <c r="D4240" s="247"/>
      <c r="E4240" s="372"/>
      <c r="F4240" s="360"/>
      <c r="G4240" s="248"/>
    </row>
    <row r="4241" spans="1:8">
      <c r="A4241" s="294"/>
      <c r="B4241" s="410" t="s">
        <v>673</v>
      </c>
      <c r="C4241" s="247" t="s">
        <v>674</v>
      </c>
      <c r="D4241" s="247" t="s">
        <v>675</v>
      </c>
      <c r="E4241" s="372">
        <v>0.16600000000000001</v>
      </c>
      <c r="F4241" s="360">
        <f>'UPAD-BAHAN-ALAT'!$I$12</f>
        <v>110000</v>
      </c>
      <c r="G4241" s="248">
        <f>F4241*E4241</f>
        <v>18260</v>
      </c>
    </row>
    <row r="4242" spans="1:8">
      <c r="A4242" s="294"/>
      <c r="B4242" s="410" t="s">
        <v>677</v>
      </c>
      <c r="C4242" s="247" t="s">
        <v>678</v>
      </c>
      <c r="D4242" s="247" t="s">
        <v>675</v>
      </c>
      <c r="E4242" s="372">
        <v>0.25</v>
      </c>
      <c r="F4242" s="360">
        <f>'UPAD-BAHAN-ALAT'!$I$13</f>
        <v>140000</v>
      </c>
      <c r="G4242" s="248">
        <f>F4242*E4242</f>
        <v>35000</v>
      </c>
    </row>
    <row r="4243" spans="1:8">
      <c r="A4243" s="294"/>
      <c r="B4243" s="410" t="s">
        <v>751</v>
      </c>
      <c r="C4243" s="247" t="s">
        <v>681</v>
      </c>
      <c r="D4243" s="247" t="s">
        <v>675</v>
      </c>
      <c r="E4243" s="372">
        <v>2.5000000000000001E-2</v>
      </c>
      <c r="F4243" s="360">
        <f>'UPAD-BAHAN-ALAT'!$I$15</f>
        <v>150000</v>
      </c>
      <c r="G4243" s="248">
        <f>F4243*E4243</f>
        <v>3750</v>
      </c>
    </row>
    <row r="4244" spans="1:8">
      <c r="A4244" s="294"/>
      <c r="B4244" s="410" t="s">
        <v>683</v>
      </c>
      <c r="C4244" s="247" t="s">
        <v>684</v>
      </c>
      <c r="D4244" s="247" t="s">
        <v>675</v>
      </c>
      <c r="E4244" s="372">
        <v>8.0000000000000002E-3</v>
      </c>
      <c r="F4244" s="360">
        <f>'UPAD-BAHAN-ALAT'!$I$14</f>
        <v>140000</v>
      </c>
      <c r="G4244" s="248">
        <f>F4244*E4244</f>
        <v>1120</v>
      </c>
    </row>
    <row r="4245" spans="1:8">
      <c r="A4245" s="294"/>
      <c r="B4245" s="410"/>
      <c r="C4245" s="247"/>
      <c r="D4245" s="247"/>
      <c r="E4245" s="1146" t="s">
        <v>685</v>
      </c>
      <c r="F4245" s="1146"/>
      <c r="G4245" s="248">
        <f>SUM(G4241:G4244)</f>
        <v>58130</v>
      </c>
    </row>
    <row r="4246" spans="1:8">
      <c r="A4246" s="294" t="s">
        <v>686</v>
      </c>
      <c r="B4246" s="410" t="s">
        <v>687</v>
      </c>
      <c r="C4246" s="247"/>
      <c r="D4246" s="247"/>
      <c r="E4246" s="372"/>
      <c r="F4246" s="360"/>
      <c r="G4246" s="248"/>
    </row>
    <row r="4247" spans="1:8">
      <c r="A4247" s="294"/>
      <c r="B4247" s="410" t="s">
        <v>1244</v>
      </c>
      <c r="C4247" s="247"/>
      <c r="D4247" s="247" t="s">
        <v>743</v>
      </c>
      <c r="E4247" s="372">
        <v>30</v>
      </c>
      <c r="F4247" s="360">
        <f>'UPAD-BAHAN-ALAT'!$I$333</f>
        <v>5000</v>
      </c>
      <c r="G4247" s="248">
        <f>F4247*E4247</f>
        <v>150000</v>
      </c>
    </row>
    <row r="4248" spans="1:8">
      <c r="A4248" s="294"/>
      <c r="B4248" s="410" t="s">
        <v>1215</v>
      </c>
      <c r="C4248" s="247"/>
      <c r="D4248" s="247" t="s">
        <v>690</v>
      </c>
      <c r="E4248" s="372">
        <v>0.2</v>
      </c>
      <c r="F4248" s="360">
        <f>'UPAD-BAHAN-ALAT'!$I$139</f>
        <v>21000</v>
      </c>
      <c r="G4248" s="248">
        <f>F4248*E4248</f>
        <v>4200</v>
      </c>
    </row>
    <row r="4249" spans="1:8">
      <c r="A4249" s="294"/>
      <c r="B4249" s="410"/>
      <c r="C4249" s="247"/>
      <c r="D4249" s="247"/>
      <c r="E4249" s="1155" t="s">
        <v>702</v>
      </c>
      <c r="F4249" s="1155"/>
      <c r="G4249" s="248">
        <f>SUM(G4247:G4248)</f>
        <v>154200</v>
      </c>
    </row>
    <row r="4250" spans="1:8" s="265" customFormat="1">
      <c r="A4250" s="294" t="s">
        <v>703</v>
      </c>
      <c r="B4250" s="1151" t="s">
        <v>3910</v>
      </c>
      <c r="C4250" s="1151"/>
      <c r="D4250" s="1151"/>
      <c r="E4250" s="1151"/>
      <c r="F4250" s="1151"/>
      <c r="G4250" s="255">
        <f>G4245+G4249</f>
        <v>212330</v>
      </c>
    </row>
    <row r="4251" spans="1:8" s="265" customFormat="1">
      <c r="A4251" s="294" t="s">
        <v>706</v>
      </c>
      <c r="B4251" s="1148" t="s">
        <v>876</v>
      </c>
      <c r="C4251" s="1148"/>
      <c r="D4251" s="1148"/>
      <c r="E4251" s="1147" t="s">
        <v>4030</v>
      </c>
      <c r="F4251" s="1147"/>
      <c r="G4251" s="255">
        <f>G4250*0.15</f>
        <v>31849.5</v>
      </c>
    </row>
    <row r="4252" spans="1:8" s="265" customFormat="1">
      <c r="A4252" s="294" t="s">
        <v>708</v>
      </c>
      <c r="B4252" s="1149" t="s">
        <v>3911</v>
      </c>
      <c r="C4252" s="1149"/>
      <c r="D4252" s="1149"/>
      <c r="E4252" s="1149"/>
      <c r="F4252" s="1149"/>
      <c r="G4252" s="255">
        <f>ROUND(SUM(G4250:G4251),2)</f>
        <v>244179.5</v>
      </c>
      <c r="H4252" s="255">
        <f>SUM(G4250:G4251)</f>
        <v>244179.5</v>
      </c>
    </row>
    <row r="4254" spans="1:8">
      <c r="A4254" s="286" t="s">
        <v>4251</v>
      </c>
      <c r="B4254" s="265" t="s">
        <v>2775</v>
      </c>
    </row>
    <row r="4255" spans="1:8" s="292" customFormat="1" ht="24.95" customHeight="1">
      <c r="A4255" s="290" t="s">
        <v>1003</v>
      </c>
      <c r="B4255" s="290" t="s">
        <v>1004</v>
      </c>
      <c r="C4255" s="290" t="s">
        <v>1005</v>
      </c>
      <c r="D4255" s="290" t="s">
        <v>1006</v>
      </c>
      <c r="E4255" s="373" t="s">
        <v>1007</v>
      </c>
      <c r="F4255" s="363" t="s">
        <v>2637</v>
      </c>
      <c r="G4255" s="291" t="s">
        <v>2638</v>
      </c>
    </row>
    <row r="4256" spans="1:8">
      <c r="A4256" s="294" t="s">
        <v>671</v>
      </c>
      <c r="B4256" s="410" t="s">
        <v>672</v>
      </c>
      <c r="C4256" s="247"/>
      <c r="D4256" s="247"/>
      <c r="E4256" s="372"/>
      <c r="F4256" s="360"/>
      <c r="G4256" s="248"/>
    </row>
    <row r="4257" spans="1:8">
      <c r="A4257" s="294"/>
      <c r="B4257" s="410" t="s">
        <v>673</v>
      </c>
      <c r="C4257" s="247" t="s">
        <v>674</v>
      </c>
      <c r="D4257" s="247" t="s">
        <v>675</v>
      </c>
      <c r="E4257" s="372">
        <v>0.4</v>
      </c>
      <c r="F4257" s="360">
        <f>'UPAD-BAHAN-ALAT'!$I$12</f>
        <v>110000</v>
      </c>
      <c r="G4257" s="248">
        <f>F4257*E4257</f>
        <v>44000</v>
      </c>
    </row>
    <row r="4258" spans="1:8">
      <c r="A4258" s="294"/>
      <c r="B4258" s="410" t="s">
        <v>677</v>
      </c>
      <c r="C4258" s="247" t="s">
        <v>678</v>
      </c>
      <c r="D4258" s="247" t="s">
        <v>675</v>
      </c>
      <c r="E4258" s="372">
        <v>0.2</v>
      </c>
      <c r="F4258" s="360">
        <f>'UPAD-BAHAN-ALAT'!$I$13</f>
        <v>140000</v>
      </c>
      <c r="G4258" s="248">
        <f>F4258*E4258</f>
        <v>28000</v>
      </c>
    </row>
    <row r="4259" spans="1:8">
      <c r="A4259" s="294"/>
      <c r="B4259" s="410" t="s">
        <v>751</v>
      </c>
      <c r="C4259" s="247" t="s">
        <v>681</v>
      </c>
      <c r="D4259" s="247" t="s">
        <v>675</v>
      </c>
      <c r="E4259" s="372">
        <v>0.02</v>
      </c>
      <c r="F4259" s="360">
        <f>'UPAD-BAHAN-ALAT'!$I$15</f>
        <v>150000</v>
      </c>
      <c r="G4259" s="248">
        <f>F4259*E4259</f>
        <v>3000</v>
      </c>
    </row>
    <row r="4260" spans="1:8">
      <c r="A4260" s="294"/>
      <c r="B4260" s="410" t="s">
        <v>683</v>
      </c>
      <c r="C4260" s="247" t="s">
        <v>684</v>
      </c>
      <c r="D4260" s="247" t="s">
        <v>675</v>
      </c>
      <c r="E4260" s="372">
        <v>0.02</v>
      </c>
      <c r="F4260" s="360">
        <f>'UPAD-BAHAN-ALAT'!$I$14</f>
        <v>140000</v>
      </c>
      <c r="G4260" s="248">
        <f>F4260*E4260</f>
        <v>2800</v>
      </c>
    </row>
    <row r="4261" spans="1:8">
      <c r="A4261" s="294"/>
      <c r="B4261" s="410"/>
      <c r="C4261" s="247"/>
      <c r="D4261" s="247"/>
      <c r="E4261" s="1146" t="s">
        <v>685</v>
      </c>
      <c r="F4261" s="1146"/>
      <c r="G4261" s="248">
        <f>SUM(G4257:G4260)</f>
        <v>77800</v>
      </c>
    </row>
    <row r="4262" spans="1:8">
      <c r="A4262" s="294" t="s">
        <v>686</v>
      </c>
      <c r="B4262" s="410" t="s">
        <v>687</v>
      </c>
      <c r="C4262" s="247"/>
      <c r="D4262" s="247"/>
      <c r="E4262" s="372"/>
      <c r="F4262" s="360"/>
      <c r="G4262" s="248"/>
    </row>
    <row r="4263" spans="1:8">
      <c r="A4263" s="294"/>
      <c r="B4263" s="410" t="s">
        <v>1246</v>
      </c>
      <c r="C4263" s="247"/>
      <c r="D4263" s="247" t="s">
        <v>743</v>
      </c>
      <c r="E4263" s="372">
        <v>3.5</v>
      </c>
      <c r="F4263" s="360">
        <f>'UPAD-BAHAN-ALAT'!$I$306</f>
        <v>10200</v>
      </c>
      <c r="G4263" s="248">
        <f>F4263*E4263</f>
        <v>35700</v>
      </c>
    </row>
    <row r="4264" spans="1:8">
      <c r="A4264" s="294"/>
      <c r="B4264" s="410" t="s">
        <v>1215</v>
      </c>
      <c r="C4264" s="247"/>
      <c r="D4264" s="247" t="s">
        <v>690</v>
      </c>
      <c r="E4264" s="372">
        <v>0.05</v>
      </c>
      <c r="F4264" s="360">
        <f>'UPAD-BAHAN-ALAT'!$I$139</f>
        <v>21000</v>
      </c>
      <c r="G4264" s="248">
        <f>F4264*E4264</f>
        <v>1050</v>
      </c>
    </row>
    <row r="4265" spans="1:8">
      <c r="A4265" s="294"/>
      <c r="B4265" s="410" t="s">
        <v>790</v>
      </c>
      <c r="C4265" s="247"/>
      <c r="D4265" s="247" t="s">
        <v>690</v>
      </c>
      <c r="E4265" s="372">
        <v>10.8</v>
      </c>
      <c r="F4265" s="360">
        <f>'UPAD-BAHAN-ALAT'!$I$77</f>
        <v>1625</v>
      </c>
      <c r="G4265" s="248">
        <f>F4265*E4265</f>
        <v>17550</v>
      </c>
    </row>
    <row r="4266" spans="1:8">
      <c r="A4266" s="294"/>
      <c r="B4266" s="410" t="s">
        <v>739</v>
      </c>
      <c r="C4266" s="247"/>
      <c r="D4266" s="247" t="s">
        <v>881</v>
      </c>
      <c r="E4266" s="372">
        <v>3.2000000000000001E-2</v>
      </c>
      <c r="F4266" s="360">
        <f>'UPAD-BAHAN-ALAT'!$I$71</f>
        <v>176000</v>
      </c>
      <c r="G4266" s="248">
        <f>F4266*E4266</f>
        <v>5632</v>
      </c>
    </row>
    <row r="4267" spans="1:8">
      <c r="A4267" s="294"/>
      <c r="B4267" s="410" t="s">
        <v>1100</v>
      </c>
      <c r="C4267" s="247"/>
      <c r="D4267" s="247" t="s">
        <v>690</v>
      </c>
      <c r="E4267" s="372">
        <v>1</v>
      </c>
      <c r="F4267" s="360">
        <f>'UPAD-BAHAN-ALAT'!$I$75</f>
        <v>3437.5</v>
      </c>
      <c r="G4267" s="248">
        <f>F4267*E4267</f>
        <v>3437.5</v>
      </c>
    </row>
    <row r="4268" spans="1:8">
      <c r="A4268" s="294"/>
      <c r="B4268" s="295"/>
      <c r="C4268" s="296"/>
      <c r="D4268" s="296"/>
      <c r="E4268" s="1146" t="s">
        <v>702</v>
      </c>
      <c r="F4268" s="1146"/>
      <c r="G4268" s="248">
        <f>SUM(G4263:G4267)</f>
        <v>63369.5</v>
      </c>
    </row>
    <row r="4269" spans="1:8" s="265" customFormat="1">
      <c r="A4269" s="294" t="s">
        <v>703</v>
      </c>
      <c r="B4269" s="1147" t="s">
        <v>3910</v>
      </c>
      <c r="C4269" s="1147"/>
      <c r="D4269" s="1147"/>
      <c r="E4269" s="1147"/>
      <c r="F4269" s="1147"/>
      <c r="G4269" s="255">
        <f>G4261+G4268</f>
        <v>141169.5</v>
      </c>
    </row>
    <row r="4270" spans="1:8" s="265" customFormat="1">
      <c r="A4270" s="294" t="s">
        <v>706</v>
      </c>
      <c r="B4270" s="1148" t="s">
        <v>876</v>
      </c>
      <c r="C4270" s="1148"/>
      <c r="D4270" s="1148"/>
      <c r="E4270" s="1147" t="s">
        <v>4030</v>
      </c>
      <c r="F4270" s="1147"/>
      <c r="G4270" s="255">
        <f>G4269*0.15</f>
        <v>21175.424999999999</v>
      </c>
    </row>
    <row r="4271" spans="1:8" s="265" customFormat="1">
      <c r="A4271" s="294" t="s">
        <v>708</v>
      </c>
      <c r="B4271" s="1149" t="s">
        <v>3911</v>
      </c>
      <c r="C4271" s="1149"/>
      <c r="D4271" s="1149"/>
      <c r="E4271" s="1149"/>
      <c r="F4271" s="1149"/>
      <c r="G4271" s="255">
        <f>ROUND(SUM(G4269:G4270),2)</f>
        <v>162344.93</v>
      </c>
      <c r="H4271" s="255">
        <f>SUM(G4269:G4270)</f>
        <v>162344.92499999999</v>
      </c>
    </row>
    <row r="4272" spans="1:8">
      <c r="A4272" s="268"/>
      <c r="B4272" s="269"/>
      <c r="C4272" s="268"/>
      <c r="D4272" s="268"/>
      <c r="E4272" s="380"/>
      <c r="F4272" s="365"/>
      <c r="G4272" s="270"/>
    </row>
    <row r="4273" spans="1:8">
      <c r="A4273" s="285" t="s">
        <v>4252</v>
      </c>
      <c r="B4273" s="250" t="s">
        <v>2774</v>
      </c>
      <c r="C4273" s="252"/>
      <c r="D4273" s="252"/>
      <c r="E4273" s="374"/>
      <c r="F4273" s="361"/>
      <c r="G4273" s="253"/>
    </row>
    <row r="4274" spans="1:8" s="292" customFormat="1" ht="24.95" customHeight="1">
      <c r="A4274" s="290" t="s">
        <v>1003</v>
      </c>
      <c r="B4274" s="290" t="s">
        <v>1004</v>
      </c>
      <c r="C4274" s="290" t="s">
        <v>1005</v>
      </c>
      <c r="D4274" s="290" t="s">
        <v>1006</v>
      </c>
      <c r="E4274" s="373" t="s">
        <v>1007</v>
      </c>
      <c r="F4274" s="363" t="s">
        <v>2637</v>
      </c>
      <c r="G4274" s="291" t="s">
        <v>2638</v>
      </c>
    </row>
    <row r="4275" spans="1:8">
      <c r="A4275" s="294" t="s">
        <v>671</v>
      </c>
      <c r="B4275" s="410" t="s">
        <v>672</v>
      </c>
      <c r="C4275" s="247"/>
      <c r="D4275" s="247"/>
      <c r="E4275" s="372"/>
      <c r="F4275" s="360"/>
      <c r="G4275" s="248"/>
    </row>
    <row r="4276" spans="1:8">
      <c r="A4276" s="294"/>
      <c r="B4276" s="410" t="s">
        <v>673</v>
      </c>
      <c r="C4276" s="247" t="s">
        <v>674</v>
      </c>
      <c r="D4276" s="247" t="s">
        <v>675</v>
      </c>
      <c r="E4276" s="372">
        <v>0.125</v>
      </c>
      <c r="F4276" s="360">
        <f>'UPAD-BAHAN-ALAT'!$I$12</f>
        <v>110000</v>
      </c>
      <c r="G4276" s="248">
        <f>F4276*E4276</f>
        <v>13750</v>
      </c>
    </row>
    <row r="4277" spans="1:8">
      <c r="A4277" s="294"/>
      <c r="B4277" s="410" t="s">
        <v>677</v>
      </c>
      <c r="C4277" s="247" t="s">
        <v>678</v>
      </c>
      <c r="D4277" s="247" t="s">
        <v>675</v>
      </c>
      <c r="E4277" s="372">
        <v>0.25</v>
      </c>
      <c r="F4277" s="360">
        <f>'UPAD-BAHAN-ALAT'!$I$13</f>
        <v>140000</v>
      </c>
      <c r="G4277" s="248">
        <f>F4277*E4277</f>
        <v>35000</v>
      </c>
    </row>
    <row r="4278" spans="1:8">
      <c r="A4278" s="294"/>
      <c r="B4278" s="410" t="s">
        <v>751</v>
      </c>
      <c r="C4278" s="247" t="s">
        <v>681</v>
      </c>
      <c r="D4278" s="247" t="s">
        <v>675</v>
      </c>
      <c r="E4278" s="372">
        <v>2.5000000000000001E-2</v>
      </c>
      <c r="F4278" s="360">
        <f>'UPAD-BAHAN-ALAT'!$I$15</f>
        <v>150000</v>
      </c>
      <c r="G4278" s="248">
        <f>F4278*E4278</f>
        <v>3750</v>
      </c>
    </row>
    <row r="4279" spans="1:8">
      <c r="A4279" s="294"/>
      <c r="B4279" s="410" t="s">
        <v>683</v>
      </c>
      <c r="C4279" s="247" t="s">
        <v>684</v>
      </c>
      <c r="D4279" s="247" t="s">
        <v>675</v>
      </c>
      <c r="E4279" s="372">
        <v>6.0000000000000001E-3</v>
      </c>
      <c r="F4279" s="360">
        <f>'UPAD-BAHAN-ALAT'!$I$14</f>
        <v>140000</v>
      </c>
      <c r="G4279" s="248">
        <f>F4279*E4279</f>
        <v>840</v>
      </c>
    </row>
    <row r="4280" spans="1:8">
      <c r="A4280" s="294"/>
      <c r="B4280" s="410"/>
      <c r="C4280" s="247"/>
      <c r="D4280" s="247"/>
      <c r="E4280" s="1146" t="s">
        <v>685</v>
      </c>
      <c r="F4280" s="1146"/>
      <c r="G4280" s="248">
        <f>SUM(G4276:G4279)</f>
        <v>53340</v>
      </c>
    </row>
    <row r="4281" spans="1:8">
      <c r="A4281" s="294" t="s">
        <v>686</v>
      </c>
      <c r="B4281" s="410" t="s">
        <v>687</v>
      </c>
      <c r="C4281" s="247"/>
      <c r="D4281" s="247"/>
      <c r="E4281" s="372"/>
      <c r="F4281" s="360"/>
      <c r="G4281" s="248"/>
    </row>
    <row r="4282" spans="1:8">
      <c r="A4282" s="294"/>
      <c r="B4282" s="410" t="s">
        <v>1249</v>
      </c>
      <c r="C4282" s="247"/>
      <c r="D4282" s="247" t="s">
        <v>743</v>
      </c>
      <c r="E4282" s="372">
        <v>1</v>
      </c>
      <c r="F4282" s="360">
        <f>'UPAD-BAHAN-ALAT'!$I$328</f>
        <v>74000</v>
      </c>
      <c r="G4282" s="248">
        <f>F4282*E4282</f>
        <v>74000</v>
      </c>
    </row>
    <row r="4283" spans="1:8">
      <c r="A4283" s="294"/>
      <c r="B4283" s="410" t="s">
        <v>1215</v>
      </c>
      <c r="C4283" s="247"/>
      <c r="D4283" s="247" t="s">
        <v>690</v>
      </c>
      <c r="E4283" s="372">
        <v>0.05</v>
      </c>
      <c r="F4283" s="360">
        <f>'UPAD-BAHAN-ALAT'!$I$139</f>
        <v>21000</v>
      </c>
      <c r="G4283" s="248">
        <f>F4283*E4283</f>
        <v>1050</v>
      </c>
    </row>
    <row r="4284" spans="1:8">
      <c r="A4284" s="294"/>
      <c r="B4284" s="295"/>
      <c r="C4284" s="296"/>
      <c r="D4284" s="296"/>
      <c r="E4284" s="1146" t="s">
        <v>702</v>
      </c>
      <c r="F4284" s="1146"/>
      <c r="G4284" s="248">
        <f>SUM(G4282:G4283)</f>
        <v>75050</v>
      </c>
    </row>
    <row r="4285" spans="1:8" s="265" customFormat="1">
      <c r="A4285" s="294" t="s">
        <v>703</v>
      </c>
      <c r="B4285" s="1147" t="s">
        <v>3910</v>
      </c>
      <c r="C4285" s="1147"/>
      <c r="D4285" s="1147"/>
      <c r="E4285" s="1147"/>
      <c r="F4285" s="1147"/>
      <c r="G4285" s="255">
        <f>G4280+G4284</f>
        <v>128390</v>
      </c>
    </row>
    <row r="4286" spans="1:8" s="265" customFormat="1">
      <c r="A4286" s="294" t="s">
        <v>706</v>
      </c>
      <c r="B4286" s="1148" t="s">
        <v>876</v>
      </c>
      <c r="C4286" s="1148"/>
      <c r="D4286" s="1148"/>
      <c r="E4286" s="1147" t="s">
        <v>4030</v>
      </c>
      <c r="F4286" s="1147"/>
      <c r="G4286" s="255">
        <f>G4285*0.15</f>
        <v>19258.5</v>
      </c>
    </row>
    <row r="4287" spans="1:8" s="265" customFormat="1">
      <c r="A4287" s="294" t="s">
        <v>708</v>
      </c>
      <c r="B4287" s="1149" t="s">
        <v>3911</v>
      </c>
      <c r="C4287" s="1149"/>
      <c r="D4287" s="1149"/>
      <c r="E4287" s="1149"/>
      <c r="F4287" s="1149"/>
      <c r="G4287" s="255">
        <f>ROUND(SUM(G4285:G4286),2)</f>
        <v>147648.5</v>
      </c>
      <c r="H4287" s="255">
        <f>SUM(G4285:G4286)</f>
        <v>147648.5</v>
      </c>
    </row>
    <row r="4289" spans="1:8">
      <c r="A4289" s="600" t="s">
        <v>4253</v>
      </c>
      <c r="B4289" s="265" t="s">
        <v>2773</v>
      </c>
    </row>
    <row r="4290" spans="1:8" s="292" customFormat="1" ht="24.95" customHeight="1">
      <c r="A4290" s="290" t="s">
        <v>1003</v>
      </c>
      <c r="B4290" s="290" t="s">
        <v>1004</v>
      </c>
      <c r="C4290" s="290" t="s">
        <v>1005</v>
      </c>
      <c r="D4290" s="290" t="s">
        <v>1006</v>
      </c>
      <c r="E4290" s="373" t="s">
        <v>1007</v>
      </c>
      <c r="F4290" s="363" t="s">
        <v>2637</v>
      </c>
      <c r="G4290" s="291" t="s">
        <v>2638</v>
      </c>
    </row>
    <row r="4291" spans="1:8">
      <c r="A4291" s="294" t="s">
        <v>671</v>
      </c>
      <c r="B4291" s="410" t="s">
        <v>672</v>
      </c>
      <c r="C4291" s="247"/>
      <c r="D4291" s="247"/>
      <c r="E4291" s="372"/>
      <c r="F4291" s="360"/>
      <c r="G4291" s="248"/>
    </row>
    <row r="4292" spans="1:8">
      <c r="A4292" s="294"/>
      <c r="B4292" s="410" t="s">
        <v>673</v>
      </c>
      <c r="C4292" s="247" t="s">
        <v>674</v>
      </c>
      <c r="D4292" s="247" t="s">
        <v>675</v>
      </c>
      <c r="E4292" s="372">
        <v>0.25</v>
      </c>
      <c r="F4292" s="360">
        <f>'UPAD-BAHAN-ALAT'!$I$12</f>
        <v>110000</v>
      </c>
      <c r="G4292" s="248">
        <f>F4292*E4292</f>
        <v>27500</v>
      </c>
    </row>
    <row r="4293" spans="1:8">
      <c r="A4293" s="294"/>
      <c r="B4293" s="410" t="s">
        <v>677</v>
      </c>
      <c r="C4293" s="247" t="s">
        <v>678</v>
      </c>
      <c r="D4293" s="247" t="s">
        <v>675</v>
      </c>
      <c r="E4293" s="372">
        <v>0.15</v>
      </c>
      <c r="F4293" s="360">
        <f>'UPAD-BAHAN-ALAT'!$I$13</f>
        <v>140000</v>
      </c>
      <c r="G4293" s="248">
        <f>F4293*E4293</f>
        <v>21000</v>
      </c>
    </row>
    <row r="4294" spans="1:8">
      <c r="A4294" s="294"/>
      <c r="B4294" s="410" t="s">
        <v>751</v>
      </c>
      <c r="C4294" s="247" t="s">
        <v>681</v>
      </c>
      <c r="D4294" s="247" t="s">
        <v>675</v>
      </c>
      <c r="E4294" s="372">
        <v>1.4999999999999999E-2</v>
      </c>
      <c r="F4294" s="360">
        <f>'UPAD-BAHAN-ALAT'!$I$15</f>
        <v>150000</v>
      </c>
      <c r="G4294" s="248">
        <f>F4294*E4294</f>
        <v>2250</v>
      </c>
    </row>
    <row r="4295" spans="1:8">
      <c r="A4295" s="294"/>
      <c r="B4295" s="410" t="s">
        <v>683</v>
      </c>
      <c r="C4295" s="247" t="s">
        <v>684</v>
      </c>
      <c r="D4295" s="247" t="s">
        <v>675</v>
      </c>
      <c r="E4295" s="372">
        <v>1.2999999999999999E-2</v>
      </c>
      <c r="F4295" s="360">
        <f>'UPAD-BAHAN-ALAT'!$I$14</f>
        <v>140000</v>
      </c>
      <c r="G4295" s="248">
        <f>F4295*E4295</f>
        <v>1820</v>
      </c>
    </row>
    <row r="4296" spans="1:8">
      <c r="A4296" s="294"/>
      <c r="B4296" s="410"/>
      <c r="C4296" s="247"/>
      <c r="D4296" s="247"/>
      <c r="E4296" s="1146" t="s">
        <v>685</v>
      </c>
      <c r="F4296" s="1146"/>
      <c r="G4296" s="248">
        <f>SUM(G4292:G4295)</f>
        <v>52570</v>
      </c>
    </row>
    <row r="4297" spans="1:8">
      <c r="A4297" s="294" t="s">
        <v>686</v>
      </c>
      <c r="B4297" s="410" t="s">
        <v>687</v>
      </c>
      <c r="C4297" s="247"/>
      <c r="D4297" s="247"/>
      <c r="E4297" s="372"/>
      <c r="F4297" s="360"/>
      <c r="G4297" s="248"/>
    </row>
    <row r="4298" spans="1:8">
      <c r="A4298" s="294"/>
      <c r="B4298" s="410" t="s">
        <v>1252</v>
      </c>
      <c r="C4298" s="247"/>
      <c r="D4298" s="247" t="s">
        <v>743</v>
      </c>
      <c r="E4298" s="372">
        <v>1.1000000000000001</v>
      </c>
      <c r="F4298" s="360">
        <f>'UPAD-BAHAN-ALAT'!$I$307</f>
        <v>44000</v>
      </c>
      <c r="G4298" s="248">
        <f>F4298*E4298</f>
        <v>48400.000000000007</v>
      </c>
    </row>
    <row r="4299" spans="1:8">
      <c r="A4299" s="294"/>
      <c r="B4299" s="267" t="s">
        <v>3713</v>
      </c>
      <c r="C4299" s="247"/>
      <c r="D4299" s="247" t="s">
        <v>690</v>
      </c>
      <c r="E4299" s="372">
        <v>0.05</v>
      </c>
      <c r="F4299" s="360">
        <f>'UPAD-BAHAN-ALAT'!$I$143</f>
        <v>37800</v>
      </c>
      <c r="G4299" s="248">
        <f>F4299*E4299</f>
        <v>1890</v>
      </c>
    </row>
    <row r="4300" spans="1:8">
      <c r="A4300" s="294"/>
      <c r="B4300" s="295"/>
      <c r="C4300" s="296"/>
      <c r="D4300" s="296"/>
      <c r="E4300" s="1146" t="s">
        <v>702</v>
      </c>
      <c r="F4300" s="1146"/>
      <c r="G4300" s="248">
        <f>SUM(G4298:G4299)</f>
        <v>50290.000000000007</v>
      </c>
    </row>
    <row r="4301" spans="1:8" s="265" customFormat="1">
      <c r="A4301" s="294" t="s">
        <v>703</v>
      </c>
      <c r="B4301" s="1147" t="s">
        <v>3910</v>
      </c>
      <c r="C4301" s="1147"/>
      <c r="D4301" s="1147"/>
      <c r="E4301" s="1147"/>
      <c r="F4301" s="1147"/>
      <c r="G4301" s="255">
        <f>G4296+G4300</f>
        <v>102860</v>
      </c>
    </row>
    <row r="4302" spans="1:8" s="265" customFormat="1">
      <c r="A4302" s="294" t="s">
        <v>706</v>
      </c>
      <c r="B4302" s="1148" t="s">
        <v>876</v>
      </c>
      <c r="C4302" s="1148"/>
      <c r="D4302" s="1148"/>
      <c r="E4302" s="1147" t="s">
        <v>4030</v>
      </c>
      <c r="F4302" s="1147"/>
      <c r="G4302" s="255">
        <f>G4301*0.15</f>
        <v>15429</v>
      </c>
    </row>
    <row r="4303" spans="1:8" s="265" customFormat="1">
      <c r="A4303" s="294" t="s">
        <v>708</v>
      </c>
      <c r="B4303" s="1149" t="s">
        <v>3911</v>
      </c>
      <c r="C4303" s="1149"/>
      <c r="D4303" s="1149"/>
      <c r="E4303" s="1149"/>
      <c r="F4303" s="1149"/>
      <c r="G4303" s="255">
        <f>ROUND(SUM(G4301:G4302),2)</f>
        <v>118289</v>
      </c>
      <c r="H4303" s="255">
        <f>SUM(G4301:G4302)</f>
        <v>118289</v>
      </c>
    </row>
    <row r="4304" spans="1:8">
      <c r="A4304" s="268"/>
      <c r="B4304" s="269"/>
      <c r="C4304" s="268"/>
      <c r="D4304" s="268"/>
      <c r="E4304" s="380"/>
      <c r="F4304" s="365"/>
      <c r="G4304" s="270"/>
    </row>
    <row r="4305" spans="1:8" s="720" customFormat="1">
      <c r="A4305" s="600" t="s">
        <v>4254</v>
      </c>
      <c r="B4305" s="718" t="s">
        <v>3685</v>
      </c>
      <c r="C4305" s="719"/>
      <c r="D4305" s="719"/>
      <c r="E4305" s="376"/>
      <c r="F4305" s="362"/>
      <c r="G4305" s="277"/>
    </row>
    <row r="4306" spans="1:8" s="722" customFormat="1" ht="24.95" customHeight="1">
      <c r="A4306" s="721" t="s">
        <v>1003</v>
      </c>
      <c r="B4306" s="721" t="s">
        <v>1004</v>
      </c>
      <c r="C4306" s="721" t="s">
        <v>1005</v>
      </c>
      <c r="D4306" s="721" t="s">
        <v>1006</v>
      </c>
      <c r="E4306" s="373" t="s">
        <v>1007</v>
      </c>
      <c r="F4306" s="363" t="s">
        <v>2637</v>
      </c>
      <c r="G4306" s="353" t="s">
        <v>2638</v>
      </c>
    </row>
    <row r="4307" spans="1:8" s="720" customFormat="1">
      <c r="A4307" s="723" t="s">
        <v>671</v>
      </c>
      <c r="B4307" s="267" t="s">
        <v>672</v>
      </c>
      <c r="C4307" s="724"/>
      <c r="D4307" s="724"/>
      <c r="E4307" s="372"/>
      <c r="F4307" s="360"/>
      <c r="G4307" s="274"/>
    </row>
    <row r="4308" spans="1:8" s="720" customFormat="1">
      <c r="A4308" s="723"/>
      <c r="B4308" s="267" t="s">
        <v>673</v>
      </c>
      <c r="C4308" s="724" t="s">
        <v>674</v>
      </c>
      <c r="D4308" s="724" t="s">
        <v>675</v>
      </c>
      <c r="E4308" s="372">
        <v>0.25</v>
      </c>
      <c r="F4308" s="360">
        <f>'[42]UPAD-BAHAN-ALAT'!$I$12</f>
        <v>96000</v>
      </c>
      <c r="G4308" s="274">
        <f>F4308*E4308</f>
        <v>24000</v>
      </c>
    </row>
    <row r="4309" spans="1:8" s="720" customFormat="1">
      <c r="A4309" s="723"/>
      <c r="B4309" s="267" t="s">
        <v>677</v>
      </c>
      <c r="C4309" s="724" t="s">
        <v>678</v>
      </c>
      <c r="D4309" s="724" t="s">
        <v>675</v>
      </c>
      <c r="E4309" s="372">
        <v>0.15</v>
      </c>
      <c r="F4309" s="360">
        <f>'[42]UPAD-BAHAN-ALAT'!$I$13</f>
        <v>115000</v>
      </c>
      <c r="G4309" s="274">
        <f>F4309*E4309</f>
        <v>17250</v>
      </c>
    </row>
    <row r="4310" spans="1:8" s="720" customFormat="1">
      <c r="A4310" s="723"/>
      <c r="B4310" s="267" t="s">
        <v>751</v>
      </c>
      <c r="C4310" s="724" t="s">
        <v>681</v>
      </c>
      <c r="D4310" s="724" t="s">
        <v>675</v>
      </c>
      <c r="E4310" s="372">
        <v>1.4999999999999999E-2</v>
      </c>
      <c r="F4310" s="360">
        <f>'[42]UPAD-BAHAN-ALAT'!$I$15</f>
        <v>127500</v>
      </c>
      <c r="G4310" s="274">
        <f>F4310*E4310</f>
        <v>1912.5</v>
      </c>
    </row>
    <row r="4311" spans="1:8" s="720" customFormat="1">
      <c r="A4311" s="723"/>
      <c r="B4311" s="267" t="s">
        <v>683</v>
      </c>
      <c r="C4311" s="724" t="s">
        <v>684</v>
      </c>
      <c r="D4311" s="724" t="s">
        <v>675</v>
      </c>
      <c r="E4311" s="372">
        <v>1.2999999999999999E-2</v>
      </c>
      <c r="F4311" s="360">
        <f>'[42]UPAD-BAHAN-ALAT'!$I$14</f>
        <v>115000</v>
      </c>
      <c r="G4311" s="274">
        <f>F4311*E4311</f>
        <v>1495</v>
      </c>
    </row>
    <row r="4312" spans="1:8" s="720" customFormat="1">
      <c r="A4312" s="723"/>
      <c r="B4312" s="267"/>
      <c r="C4312" s="724"/>
      <c r="D4312" s="724"/>
      <c r="E4312" s="1189" t="s">
        <v>685</v>
      </c>
      <c r="F4312" s="1189"/>
      <c r="G4312" s="274">
        <f>SUM(G4308:G4311)</f>
        <v>44657.5</v>
      </c>
    </row>
    <row r="4313" spans="1:8" s="720" customFormat="1">
      <c r="A4313" s="723" t="s">
        <v>686</v>
      </c>
      <c r="B4313" s="267" t="s">
        <v>687</v>
      </c>
      <c r="C4313" s="724"/>
      <c r="D4313" s="724"/>
      <c r="E4313" s="372"/>
      <c r="F4313" s="360"/>
      <c r="G4313" s="274"/>
    </row>
    <row r="4314" spans="1:8" s="720" customFormat="1">
      <c r="A4314" s="723"/>
      <c r="B4314" s="267" t="s">
        <v>3686</v>
      </c>
      <c r="C4314" s="724"/>
      <c r="D4314" s="724" t="s">
        <v>743</v>
      </c>
      <c r="E4314" s="372">
        <v>1.1000000000000001</v>
      </c>
      <c r="F4314" s="360">
        <f>'UPAD-BAHAN-ALAT'!$I$309</f>
        <v>26350</v>
      </c>
      <c r="G4314" s="274">
        <f>F4314*E4314</f>
        <v>28985.000000000004</v>
      </c>
    </row>
    <row r="4315" spans="1:8" s="720" customFormat="1">
      <c r="A4315" s="723"/>
      <c r="B4315" s="267" t="s">
        <v>3713</v>
      </c>
      <c r="C4315" s="724"/>
      <c r="D4315" s="724" t="s">
        <v>690</v>
      </c>
      <c r="E4315" s="372">
        <v>0.05</v>
      </c>
      <c r="F4315" s="360">
        <f>'UPAD-BAHAN-ALAT'!$I$143</f>
        <v>37800</v>
      </c>
      <c r="G4315" s="274">
        <f>F4315*E4315</f>
        <v>1890</v>
      </c>
    </row>
    <row r="4316" spans="1:8" s="720" customFormat="1">
      <c r="A4316" s="723"/>
      <c r="B4316" s="725"/>
      <c r="C4316" s="726"/>
      <c r="D4316" s="726"/>
      <c r="E4316" s="1189" t="s">
        <v>702</v>
      </c>
      <c r="F4316" s="1189"/>
      <c r="G4316" s="274">
        <f>SUM(G4314:G4315)</f>
        <v>30875.000000000004</v>
      </c>
    </row>
    <row r="4317" spans="1:8" s="718" customFormat="1">
      <c r="A4317" s="723" t="s">
        <v>703</v>
      </c>
      <c r="B4317" s="1169" t="s">
        <v>3910</v>
      </c>
      <c r="C4317" s="1169"/>
      <c r="D4317" s="1169"/>
      <c r="E4317" s="1169"/>
      <c r="F4317" s="1169"/>
      <c r="G4317" s="273">
        <f>G4312+G4316</f>
        <v>75532.5</v>
      </c>
    </row>
    <row r="4318" spans="1:8" s="718" customFormat="1">
      <c r="A4318" s="723" t="s">
        <v>706</v>
      </c>
      <c r="B4318" s="1170" t="s">
        <v>876</v>
      </c>
      <c r="C4318" s="1170"/>
      <c r="D4318" s="1170"/>
      <c r="E4318" s="1169" t="s">
        <v>4030</v>
      </c>
      <c r="F4318" s="1169"/>
      <c r="G4318" s="255">
        <f>G4317*0.15</f>
        <v>11329.875</v>
      </c>
    </row>
    <row r="4319" spans="1:8" s="718" customFormat="1">
      <c r="A4319" s="723" t="s">
        <v>708</v>
      </c>
      <c r="B4319" s="1188" t="s">
        <v>3911</v>
      </c>
      <c r="C4319" s="1188"/>
      <c r="D4319" s="1188"/>
      <c r="E4319" s="1188"/>
      <c r="F4319" s="1188"/>
      <c r="G4319" s="255">
        <f>ROUND(SUM(G4317:G4318),2)</f>
        <v>86862.38</v>
      </c>
      <c r="H4319" s="273">
        <f>SUM(G4317:G4318)</f>
        <v>86862.375</v>
      </c>
    </row>
    <row r="4320" spans="1:8" s="720" customFormat="1">
      <c r="A4320" s="727"/>
      <c r="B4320" s="728"/>
      <c r="C4320" s="727"/>
      <c r="D4320" s="728"/>
      <c r="E4320" s="378"/>
      <c r="F4320" s="364"/>
      <c r="G4320" s="289"/>
      <c r="H4320" s="272"/>
    </row>
    <row r="4321" spans="1:8">
      <c r="A4321" s="284" t="s">
        <v>4255</v>
      </c>
      <c r="B4321" s="250" t="s">
        <v>2772</v>
      </c>
      <c r="C4321" s="276"/>
      <c r="D4321" s="252"/>
      <c r="E4321" s="374"/>
      <c r="F4321" s="361"/>
      <c r="G4321" s="253"/>
    </row>
    <row r="4322" spans="1:8" s="292" customFormat="1" ht="24.95" customHeight="1">
      <c r="A4322" s="290" t="s">
        <v>1003</v>
      </c>
      <c r="B4322" s="290" t="s">
        <v>1004</v>
      </c>
      <c r="C4322" s="290" t="s">
        <v>1005</v>
      </c>
      <c r="D4322" s="290" t="s">
        <v>1006</v>
      </c>
      <c r="E4322" s="373" t="s">
        <v>1007</v>
      </c>
      <c r="F4322" s="363" t="s">
        <v>2637</v>
      </c>
      <c r="G4322" s="291" t="s">
        <v>2638</v>
      </c>
    </row>
    <row r="4323" spans="1:8">
      <c r="A4323" s="294" t="s">
        <v>671</v>
      </c>
      <c r="B4323" s="410" t="s">
        <v>672</v>
      </c>
      <c r="C4323" s="247"/>
      <c r="D4323" s="247"/>
      <c r="E4323" s="372"/>
      <c r="F4323" s="360"/>
      <c r="G4323" s="248"/>
    </row>
    <row r="4324" spans="1:8">
      <c r="A4324" s="294"/>
      <c r="B4324" s="410" t="s">
        <v>673</v>
      </c>
      <c r="C4324" s="247" t="s">
        <v>674</v>
      </c>
      <c r="D4324" s="247" t="s">
        <v>675</v>
      </c>
      <c r="E4324" s="372">
        <v>0.125</v>
      </c>
      <c r="F4324" s="360">
        <f>'UPAD-BAHAN-ALAT'!$I$12</f>
        <v>110000</v>
      </c>
      <c r="G4324" s="248">
        <f>F4324*E4324</f>
        <v>13750</v>
      </c>
    </row>
    <row r="4325" spans="1:8">
      <c r="A4325" s="294"/>
      <c r="B4325" s="410" t="s">
        <v>677</v>
      </c>
      <c r="C4325" s="247" t="s">
        <v>678</v>
      </c>
      <c r="D4325" s="247" t="s">
        <v>675</v>
      </c>
      <c r="E4325" s="372">
        <v>0.25</v>
      </c>
      <c r="F4325" s="360">
        <f>'UPAD-BAHAN-ALAT'!$I$13</f>
        <v>140000</v>
      </c>
      <c r="G4325" s="248">
        <f>F4325*E4325</f>
        <v>35000</v>
      </c>
    </row>
    <row r="4326" spans="1:8">
      <c r="A4326" s="294"/>
      <c r="B4326" s="410" t="s">
        <v>751</v>
      </c>
      <c r="C4326" s="247" t="s">
        <v>681</v>
      </c>
      <c r="D4326" s="247" t="s">
        <v>675</v>
      </c>
      <c r="E4326" s="372">
        <v>2.5000000000000001E-2</v>
      </c>
      <c r="F4326" s="360">
        <f>'UPAD-BAHAN-ALAT'!$I$15</f>
        <v>150000</v>
      </c>
      <c r="G4326" s="248">
        <f>F4326*E4326</f>
        <v>3750</v>
      </c>
    </row>
    <row r="4327" spans="1:8">
      <c r="A4327" s="294"/>
      <c r="B4327" s="410" t="s">
        <v>683</v>
      </c>
      <c r="C4327" s="247" t="s">
        <v>684</v>
      </c>
      <c r="D4327" s="247" t="s">
        <v>675</v>
      </c>
      <c r="E4327" s="372">
        <v>6.0000000000000001E-3</v>
      </c>
      <c r="F4327" s="360">
        <f>'UPAD-BAHAN-ALAT'!$I$14</f>
        <v>140000</v>
      </c>
      <c r="G4327" s="248">
        <f>F4327*E4327</f>
        <v>840</v>
      </c>
    </row>
    <row r="4328" spans="1:8">
      <c r="A4328" s="294"/>
      <c r="B4328" s="410"/>
      <c r="C4328" s="247"/>
      <c r="D4328" s="247"/>
      <c r="E4328" s="1146" t="s">
        <v>685</v>
      </c>
      <c r="F4328" s="1146"/>
      <c r="G4328" s="248">
        <f>SUM(G4324:G4327)</f>
        <v>53340</v>
      </c>
    </row>
    <row r="4329" spans="1:8">
      <c r="A4329" s="294" t="s">
        <v>686</v>
      </c>
      <c r="B4329" s="410" t="s">
        <v>687</v>
      </c>
      <c r="C4329" s="247"/>
      <c r="D4329" s="247"/>
      <c r="E4329" s="372"/>
      <c r="F4329" s="360"/>
      <c r="G4329" s="248"/>
    </row>
    <row r="4330" spans="1:8">
      <c r="A4330" s="294"/>
      <c r="B4330" s="410" t="s">
        <v>1253</v>
      </c>
      <c r="C4330" s="247"/>
      <c r="D4330" s="247" t="s">
        <v>715</v>
      </c>
      <c r="E4330" s="372">
        <v>0.4</v>
      </c>
      <c r="F4330" s="360">
        <f>'UPAD-BAHAN-ALAT'!$I$321</f>
        <v>91800</v>
      </c>
      <c r="G4330" s="248">
        <f>F4330*E4330</f>
        <v>36720</v>
      </c>
    </row>
    <row r="4331" spans="1:8">
      <c r="A4331" s="294"/>
      <c r="B4331" s="410" t="s">
        <v>1215</v>
      </c>
      <c r="C4331" s="247"/>
      <c r="D4331" s="247" t="s">
        <v>690</v>
      </c>
      <c r="E4331" s="372">
        <v>0.05</v>
      </c>
      <c r="F4331" s="360">
        <f>'UPAD-BAHAN-ALAT'!$I$139</f>
        <v>21000</v>
      </c>
      <c r="G4331" s="248">
        <f>F4331*E4331</f>
        <v>1050</v>
      </c>
    </row>
    <row r="4332" spans="1:8">
      <c r="A4332" s="294"/>
      <c r="B4332" s="410" t="s">
        <v>1237</v>
      </c>
      <c r="C4332" s="247"/>
      <c r="D4332" s="247" t="s">
        <v>690</v>
      </c>
      <c r="E4332" s="372">
        <v>0.05</v>
      </c>
      <c r="F4332" s="360">
        <f>'UPAD-BAHAN-ALAT'!$I$139</f>
        <v>21000</v>
      </c>
      <c r="G4332" s="248">
        <f>F4332*E4332</f>
        <v>1050</v>
      </c>
    </row>
    <row r="4333" spans="1:8">
      <c r="A4333" s="294"/>
      <c r="B4333" s="295"/>
      <c r="C4333" s="296"/>
      <c r="D4333" s="296"/>
      <c r="E4333" s="1146" t="s">
        <v>702</v>
      </c>
      <c r="F4333" s="1146"/>
      <c r="G4333" s="248">
        <f>SUM(G4330:G4332)</f>
        <v>38820</v>
      </c>
    </row>
    <row r="4334" spans="1:8" s="265" customFormat="1">
      <c r="A4334" s="294" t="s">
        <v>703</v>
      </c>
      <c r="B4334" s="1147" t="s">
        <v>3910</v>
      </c>
      <c r="C4334" s="1147"/>
      <c r="D4334" s="1147"/>
      <c r="E4334" s="1147"/>
      <c r="F4334" s="1147"/>
      <c r="G4334" s="255">
        <f>G4328+G4333</f>
        <v>92160</v>
      </c>
    </row>
    <row r="4335" spans="1:8" s="265" customFormat="1">
      <c r="A4335" s="294" t="s">
        <v>706</v>
      </c>
      <c r="B4335" s="1148" t="s">
        <v>876</v>
      </c>
      <c r="C4335" s="1148"/>
      <c r="D4335" s="1148"/>
      <c r="E4335" s="1147" t="s">
        <v>4030</v>
      </c>
      <c r="F4335" s="1147"/>
      <c r="G4335" s="255">
        <f>G4334*0.15</f>
        <v>13824</v>
      </c>
    </row>
    <row r="4336" spans="1:8" s="265" customFormat="1">
      <c r="A4336" s="294" t="s">
        <v>708</v>
      </c>
      <c r="B4336" s="1149" t="s">
        <v>3911</v>
      </c>
      <c r="C4336" s="1149"/>
      <c r="D4336" s="1149"/>
      <c r="E4336" s="1149"/>
      <c r="F4336" s="1149"/>
      <c r="G4336" s="255">
        <f>ROUND(SUM(G4334:G4335),2)</f>
        <v>105984</v>
      </c>
      <c r="H4336" s="255">
        <f>SUM(G4334:G4335)</f>
        <v>105984</v>
      </c>
    </row>
    <row r="4338" spans="1:8">
      <c r="A4338" s="286" t="s">
        <v>4256</v>
      </c>
      <c r="B4338" s="265" t="s">
        <v>2771</v>
      </c>
    </row>
    <row r="4339" spans="1:8" s="292" customFormat="1" ht="24.95" customHeight="1">
      <c r="A4339" s="290" t="s">
        <v>1003</v>
      </c>
      <c r="B4339" s="290" t="s">
        <v>1004</v>
      </c>
      <c r="C4339" s="290" t="s">
        <v>1005</v>
      </c>
      <c r="D4339" s="290" t="s">
        <v>1006</v>
      </c>
      <c r="E4339" s="373" t="s">
        <v>1007</v>
      </c>
      <c r="F4339" s="363" t="s">
        <v>2637</v>
      </c>
      <c r="G4339" s="291" t="s">
        <v>2638</v>
      </c>
    </row>
    <row r="4340" spans="1:8">
      <c r="A4340" s="294" t="s">
        <v>671</v>
      </c>
      <c r="B4340" s="410" t="s">
        <v>672</v>
      </c>
      <c r="C4340" s="247"/>
      <c r="D4340" s="247"/>
      <c r="E4340" s="372"/>
      <c r="F4340" s="360"/>
      <c r="G4340" s="248"/>
    </row>
    <row r="4341" spans="1:8">
      <c r="A4341" s="294"/>
      <c r="B4341" s="410" t="s">
        <v>673</v>
      </c>
      <c r="C4341" s="247" t="s">
        <v>674</v>
      </c>
      <c r="D4341" s="247" t="s">
        <v>675</v>
      </c>
      <c r="E4341" s="372">
        <v>0.12</v>
      </c>
      <c r="F4341" s="360">
        <f>'UPAD-BAHAN-ALAT'!$I$12</f>
        <v>110000</v>
      </c>
      <c r="G4341" s="248">
        <f>F4341*E4341</f>
        <v>13200</v>
      </c>
    </row>
    <row r="4342" spans="1:8">
      <c r="A4342" s="294"/>
      <c r="B4342" s="410" t="s">
        <v>677</v>
      </c>
      <c r="C4342" s="247" t="s">
        <v>678</v>
      </c>
      <c r="D4342" s="247" t="s">
        <v>675</v>
      </c>
      <c r="E4342" s="372">
        <v>0.06</v>
      </c>
      <c r="F4342" s="360">
        <f>'UPAD-BAHAN-ALAT'!$I$13</f>
        <v>140000</v>
      </c>
      <c r="G4342" s="248">
        <f>F4342*E4342</f>
        <v>8400</v>
      </c>
    </row>
    <row r="4343" spans="1:8">
      <c r="A4343" s="294"/>
      <c r="B4343" s="410" t="s">
        <v>751</v>
      </c>
      <c r="C4343" s="247" t="s">
        <v>681</v>
      </c>
      <c r="D4343" s="247" t="s">
        <v>675</v>
      </c>
      <c r="E4343" s="372">
        <v>6.0000000000000001E-3</v>
      </c>
      <c r="F4343" s="360">
        <f>'UPAD-BAHAN-ALAT'!$I$15</f>
        <v>150000</v>
      </c>
      <c r="G4343" s="248">
        <f>F4343*E4343</f>
        <v>900</v>
      </c>
    </row>
    <row r="4344" spans="1:8">
      <c r="A4344" s="294"/>
      <c r="B4344" s="410" t="s">
        <v>683</v>
      </c>
      <c r="C4344" s="247" t="s">
        <v>684</v>
      </c>
      <c r="D4344" s="247" t="s">
        <v>675</v>
      </c>
      <c r="E4344" s="372">
        <v>6.0000000000000001E-3</v>
      </c>
      <c r="F4344" s="360">
        <f>'UPAD-BAHAN-ALAT'!$I$14</f>
        <v>140000</v>
      </c>
      <c r="G4344" s="248">
        <f>F4344*E4344</f>
        <v>840</v>
      </c>
    </row>
    <row r="4345" spans="1:8">
      <c r="A4345" s="294"/>
      <c r="B4345" s="410"/>
      <c r="C4345" s="247"/>
      <c r="D4345" s="247"/>
      <c r="E4345" s="1146" t="s">
        <v>685</v>
      </c>
      <c r="F4345" s="1146"/>
      <c r="G4345" s="248">
        <f>SUM(G4341:G4344)</f>
        <v>23340</v>
      </c>
    </row>
    <row r="4346" spans="1:8">
      <c r="A4346" s="294" t="s">
        <v>686</v>
      </c>
      <c r="B4346" s="410" t="s">
        <v>687</v>
      </c>
      <c r="C4346" s="247"/>
      <c r="D4346" s="247"/>
      <c r="E4346" s="372"/>
      <c r="F4346" s="360"/>
      <c r="G4346" s="248"/>
    </row>
    <row r="4347" spans="1:8">
      <c r="A4347" s="294"/>
      <c r="B4347" s="410" t="s">
        <v>1255</v>
      </c>
      <c r="C4347" s="247"/>
      <c r="D4347" s="247" t="s">
        <v>715</v>
      </c>
      <c r="E4347" s="372">
        <v>0.7</v>
      </c>
      <c r="F4347" s="360">
        <f>'UPAD-BAHAN-ALAT'!$I$319</f>
        <v>65000</v>
      </c>
      <c r="G4347" s="248">
        <f>F4347*E4347</f>
        <v>45500</v>
      </c>
    </row>
    <row r="4348" spans="1:8">
      <c r="A4348" s="294"/>
      <c r="B4348" s="410" t="s">
        <v>3713</v>
      </c>
      <c r="C4348" s="247"/>
      <c r="D4348" s="247" t="s">
        <v>690</v>
      </c>
      <c r="E4348" s="372">
        <v>0.02</v>
      </c>
      <c r="F4348" s="360">
        <f>'UPAD-BAHAN-ALAT'!$I$143</f>
        <v>37800</v>
      </c>
      <c r="G4348" s="248">
        <f>F4348*E4348</f>
        <v>756</v>
      </c>
    </row>
    <row r="4349" spans="1:8">
      <c r="A4349" s="294"/>
      <c r="B4349" s="410"/>
      <c r="C4349" s="247"/>
      <c r="D4349" s="247"/>
      <c r="E4349" s="1155" t="s">
        <v>702</v>
      </c>
      <c r="F4349" s="1155"/>
      <c r="G4349" s="248">
        <f>SUM(G4347:G4348)</f>
        <v>46256</v>
      </c>
    </row>
    <row r="4350" spans="1:8" s="265" customFormat="1">
      <c r="A4350" s="294" t="s">
        <v>703</v>
      </c>
      <c r="B4350" s="1151" t="s">
        <v>3910</v>
      </c>
      <c r="C4350" s="1151"/>
      <c r="D4350" s="1151"/>
      <c r="E4350" s="1151"/>
      <c r="F4350" s="1151"/>
      <c r="G4350" s="255">
        <f>G4345+G4349</f>
        <v>69596</v>
      </c>
    </row>
    <row r="4351" spans="1:8" s="265" customFormat="1">
      <c r="A4351" s="294" t="s">
        <v>706</v>
      </c>
      <c r="B4351" s="1148" t="s">
        <v>876</v>
      </c>
      <c r="C4351" s="1148"/>
      <c r="D4351" s="1148"/>
      <c r="E4351" s="1147" t="s">
        <v>4030</v>
      </c>
      <c r="F4351" s="1147"/>
      <c r="G4351" s="255">
        <f>G4350*0.15</f>
        <v>10439.4</v>
      </c>
    </row>
    <row r="4352" spans="1:8" s="265" customFormat="1">
      <c r="A4352" s="294" t="s">
        <v>708</v>
      </c>
      <c r="B4352" s="1149" t="s">
        <v>3911</v>
      </c>
      <c r="C4352" s="1149"/>
      <c r="D4352" s="1149"/>
      <c r="E4352" s="1149"/>
      <c r="F4352" s="1149"/>
      <c r="G4352" s="255">
        <f>ROUND(SUM(G4350:G4351),2)</f>
        <v>80035.399999999994</v>
      </c>
      <c r="H4352" s="255">
        <f>SUM(G4350:G4351)</f>
        <v>80035.399999999994</v>
      </c>
    </row>
    <row r="4353" spans="1:8">
      <c r="A4353" s="268"/>
      <c r="B4353" s="269"/>
      <c r="C4353" s="268"/>
      <c r="D4353" s="268"/>
      <c r="E4353" s="380"/>
      <c r="F4353" s="365"/>
      <c r="G4353" s="270"/>
    </row>
    <row r="4354" spans="1:8">
      <c r="A4354" s="285" t="s">
        <v>4257</v>
      </c>
      <c r="B4354" s="250" t="s">
        <v>2770</v>
      </c>
      <c r="C4354" s="252"/>
      <c r="D4354" s="252"/>
      <c r="E4354" s="374"/>
      <c r="F4354" s="361"/>
      <c r="G4354" s="253"/>
    </row>
    <row r="4355" spans="1:8" s="292" customFormat="1" ht="24.95" customHeight="1">
      <c r="A4355" s="290" t="s">
        <v>1003</v>
      </c>
      <c r="B4355" s="290" t="s">
        <v>1004</v>
      </c>
      <c r="C4355" s="290" t="s">
        <v>1005</v>
      </c>
      <c r="D4355" s="290" t="s">
        <v>1006</v>
      </c>
      <c r="E4355" s="373" t="s">
        <v>1007</v>
      </c>
      <c r="F4355" s="363" t="s">
        <v>2637</v>
      </c>
      <c r="G4355" s="291" t="s">
        <v>2638</v>
      </c>
    </row>
    <row r="4356" spans="1:8">
      <c r="A4356" s="294" t="s">
        <v>671</v>
      </c>
      <c r="B4356" s="410" t="s">
        <v>672</v>
      </c>
      <c r="C4356" s="247"/>
      <c r="D4356" s="247"/>
      <c r="E4356" s="372"/>
      <c r="F4356" s="360"/>
      <c r="G4356" s="248"/>
    </row>
    <row r="4357" spans="1:8">
      <c r="A4357" s="294"/>
      <c r="B4357" s="410" t="s">
        <v>673</v>
      </c>
      <c r="C4357" s="247" t="s">
        <v>674</v>
      </c>
      <c r="D4357" s="247" t="s">
        <v>675</v>
      </c>
      <c r="E4357" s="372">
        <v>0.15</v>
      </c>
      <c r="F4357" s="360">
        <f>'UPAD-BAHAN-ALAT'!$I$12</f>
        <v>110000</v>
      </c>
      <c r="G4357" s="248">
        <f>F4357*E4357</f>
        <v>16500</v>
      </c>
    </row>
    <row r="4358" spans="1:8">
      <c r="A4358" s="294"/>
      <c r="B4358" s="410" t="s">
        <v>677</v>
      </c>
      <c r="C4358" s="247" t="s">
        <v>678</v>
      </c>
      <c r="D4358" s="247" t="s">
        <v>675</v>
      </c>
      <c r="E4358" s="372">
        <v>7.0000000000000007E-2</v>
      </c>
      <c r="F4358" s="360">
        <f>'UPAD-BAHAN-ALAT'!$I$13</f>
        <v>140000</v>
      </c>
      <c r="G4358" s="248">
        <f>F4358*E4358</f>
        <v>9800.0000000000018</v>
      </c>
    </row>
    <row r="4359" spans="1:8">
      <c r="A4359" s="294"/>
      <c r="B4359" s="410" t="s">
        <v>751</v>
      </c>
      <c r="C4359" s="247" t="s">
        <v>681</v>
      </c>
      <c r="D4359" s="247" t="s">
        <v>675</v>
      </c>
      <c r="E4359" s="372">
        <v>7.0000000000000001E-3</v>
      </c>
      <c r="F4359" s="360">
        <f>'UPAD-BAHAN-ALAT'!$I$15</f>
        <v>150000</v>
      </c>
      <c r="G4359" s="248">
        <f>F4359*E4359</f>
        <v>1050</v>
      </c>
    </row>
    <row r="4360" spans="1:8">
      <c r="A4360" s="294"/>
      <c r="B4360" s="410" t="s">
        <v>683</v>
      </c>
      <c r="C4360" s="247" t="s">
        <v>684</v>
      </c>
      <c r="D4360" s="247" t="s">
        <v>675</v>
      </c>
      <c r="E4360" s="372">
        <v>6.0000000000000001E-3</v>
      </c>
      <c r="F4360" s="360">
        <f>'UPAD-BAHAN-ALAT'!$I$14</f>
        <v>140000</v>
      </c>
      <c r="G4360" s="248">
        <f>F4360*E4360</f>
        <v>840</v>
      </c>
    </row>
    <row r="4361" spans="1:8">
      <c r="A4361" s="294"/>
      <c r="B4361" s="410"/>
      <c r="C4361" s="247"/>
      <c r="D4361" s="247"/>
      <c r="E4361" s="1146" t="s">
        <v>685</v>
      </c>
      <c r="F4361" s="1146"/>
      <c r="G4361" s="248">
        <f>SUM(G4357:G4360)</f>
        <v>28190</v>
      </c>
    </row>
    <row r="4362" spans="1:8">
      <c r="A4362" s="294" t="s">
        <v>686</v>
      </c>
      <c r="B4362" s="410" t="s">
        <v>687</v>
      </c>
      <c r="C4362" s="247"/>
      <c r="D4362" s="247"/>
      <c r="E4362" s="372"/>
      <c r="F4362" s="360"/>
      <c r="G4362" s="248"/>
    </row>
    <row r="4363" spans="1:8">
      <c r="A4363" s="294"/>
      <c r="B4363" s="410" t="s">
        <v>1257</v>
      </c>
      <c r="C4363" s="247"/>
      <c r="D4363" s="247" t="s">
        <v>715</v>
      </c>
      <c r="E4363" s="372">
        <v>0.3</v>
      </c>
      <c r="F4363" s="360">
        <f>'UPAD-BAHAN-ALAT'!$I$321</f>
        <v>91800</v>
      </c>
      <c r="G4363" s="248">
        <f>F4363*E4363</f>
        <v>27540</v>
      </c>
    </row>
    <row r="4364" spans="1:8">
      <c r="A4364" s="294"/>
      <c r="B4364" s="410" t="s">
        <v>3713</v>
      </c>
      <c r="C4364" s="247"/>
      <c r="D4364" s="247" t="s">
        <v>690</v>
      </c>
      <c r="E4364" s="372">
        <v>0.04</v>
      </c>
      <c r="F4364" s="360">
        <f>'UPAD-BAHAN-ALAT'!$I$143</f>
        <v>37800</v>
      </c>
      <c r="G4364" s="248">
        <f>F4364*E4364</f>
        <v>1512</v>
      </c>
    </row>
    <row r="4365" spans="1:8">
      <c r="A4365" s="294"/>
      <c r="B4365" s="295"/>
      <c r="C4365" s="296"/>
      <c r="D4365" s="296"/>
      <c r="E4365" s="1146" t="s">
        <v>702</v>
      </c>
      <c r="F4365" s="1146"/>
      <c r="G4365" s="248">
        <f>SUM(G4363:G4364)</f>
        <v>29052</v>
      </c>
    </row>
    <row r="4366" spans="1:8" s="265" customFormat="1">
      <c r="A4366" s="294" t="s">
        <v>703</v>
      </c>
      <c r="B4366" s="1147" t="s">
        <v>3910</v>
      </c>
      <c r="C4366" s="1147"/>
      <c r="D4366" s="1147"/>
      <c r="E4366" s="1147"/>
      <c r="F4366" s="1147"/>
      <c r="G4366" s="255">
        <f>G4361+G4365</f>
        <v>57242</v>
      </c>
    </row>
    <row r="4367" spans="1:8" s="265" customFormat="1">
      <c r="A4367" s="294" t="s">
        <v>706</v>
      </c>
      <c r="B4367" s="1148" t="s">
        <v>876</v>
      </c>
      <c r="C4367" s="1148"/>
      <c r="D4367" s="1148"/>
      <c r="E4367" s="1147" t="s">
        <v>4030</v>
      </c>
      <c r="F4367" s="1147"/>
      <c r="G4367" s="255">
        <f>G4366*0.15</f>
        <v>8586.2999999999993</v>
      </c>
    </row>
    <row r="4368" spans="1:8" s="265" customFormat="1">
      <c r="A4368" s="294" t="s">
        <v>708</v>
      </c>
      <c r="B4368" s="1149" t="s">
        <v>3911</v>
      </c>
      <c r="C4368" s="1149"/>
      <c r="D4368" s="1149"/>
      <c r="E4368" s="1149"/>
      <c r="F4368" s="1149"/>
      <c r="G4368" s="255">
        <f>ROUND(SUM(G4366:G4367),2)</f>
        <v>65828.3</v>
      </c>
      <c r="H4368" s="255">
        <f>SUM(G4366:G4367)</f>
        <v>65828.3</v>
      </c>
    </row>
    <row r="4369" spans="1:8">
      <c r="A4369" s="252"/>
      <c r="B4369" s="251"/>
      <c r="C4369" s="252"/>
      <c r="D4369" s="251"/>
      <c r="E4369" s="378"/>
      <c r="F4369" s="364"/>
      <c r="G4369" s="264"/>
      <c r="H4369" s="253"/>
    </row>
    <row r="4370" spans="1:8">
      <c r="A4370" s="286" t="s">
        <v>4258</v>
      </c>
      <c r="B4370" s="265" t="s">
        <v>2769</v>
      </c>
    </row>
    <row r="4371" spans="1:8" s="292" customFormat="1" ht="24.95" customHeight="1">
      <c r="A4371" s="290" t="s">
        <v>1003</v>
      </c>
      <c r="B4371" s="290" t="s">
        <v>1004</v>
      </c>
      <c r="C4371" s="290" t="s">
        <v>1005</v>
      </c>
      <c r="D4371" s="290" t="s">
        <v>1006</v>
      </c>
      <c r="E4371" s="373" t="s">
        <v>1007</v>
      </c>
      <c r="F4371" s="363" t="s">
        <v>2637</v>
      </c>
      <c r="G4371" s="291" t="s">
        <v>2638</v>
      </c>
    </row>
    <row r="4372" spans="1:8">
      <c r="A4372" s="294" t="s">
        <v>671</v>
      </c>
      <c r="B4372" s="410" t="s">
        <v>672</v>
      </c>
      <c r="C4372" s="247"/>
      <c r="D4372" s="247"/>
      <c r="E4372" s="372"/>
      <c r="F4372" s="360"/>
      <c r="G4372" s="248"/>
    </row>
    <row r="4373" spans="1:8">
      <c r="A4373" s="294"/>
      <c r="B4373" s="410" t="s">
        <v>673</v>
      </c>
      <c r="C4373" s="247" t="s">
        <v>674</v>
      </c>
      <c r="D4373" s="247" t="s">
        <v>675</v>
      </c>
      <c r="E4373" s="372">
        <v>0.15</v>
      </c>
      <c r="F4373" s="360">
        <f>'UPAD-BAHAN-ALAT'!$I$12</f>
        <v>110000</v>
      </c>
      <c r="G4373" s="248">
        <f>F4373*E4373</f>
        <v>16500</v>
      </c>
    </row>
    <row r="4374" spans="1:8">
      <c r="A4374" s="294"/>
      <c r="B4374" s="410" t="s">
        <v>677</v>
      </c>
      <c r="C4374" s="247" t="s">
        <v>678</v>
      </c>
      <c r="D4374" s="247" t="s">
        <v>675</v>
      </c>
      <c r="E4374" s="372">
        <v>0.75</v>
      </c>
      <c r="F4374" s="360">
        <f>'UPAD-BAHAN-ALAT'!$I$13</f>
        <v>140000</v>
      </c>
      <c r="G4374" s="248">
        <f>F4374*E4374</f>
        <v>105000</v>
      </c>
    </row>
    <row r="4375" spans="1:8">
      <c r="A4375" s="294"/>
      <c r="B4375" s="410" t="s">
        <v>751</v>
      </c>
      <c r="C4375" s="247" t="s">
        <v>681</v>
      </c>
      <c r="D4375" s="247" t="s">
        <v>675</v>
      </c>
      <c r="E4375" s="372">
        <v>0.08</v>
      </c>
      <c r="F4375" s="360">
        <f>'UPAD-BAHAN-ALAT'!$I$15</f>
        <v>150000</v>
      </c>
      <c r="G4375" s="248">
        <f>F4375*E4375</f>
        <v>12000</v>
      </c>
    </row>
    <row r="4376" spans="1:8">
      <c r="A4376" s="294"/>
      <c r="B4376" s="410" t="s">
        <v>683</v>
      </c>
      <c r="C4376" s="247" t="s">
        <v>684</v>
      </c>
      <c r="D4376" s="247" t="s">
        <v>675</v>
      </c>
      <c r="E4376" s="372">
        <v>6.0000000000000001E-3</v>
      </c>
      <c r="F4376" s="360">
        <f>'UPAD-BAHAN-ALAT'!$I$14</f>
        <v>140000</v>
      </c>
      <c r="G4376" s="248">
        <f>F4376*E4376</f>
        <v>840</v>
      </c>
    </row>
    <row r="4377" spans="1:8">
      <c r="A4377" s="294"/>
      <c r="B4377" s="410"/>
      <c r="C4377" s="247"/>
      <c r="D4377" s="247"/>
      <c r="E4377" s="1146" t="s">
        <v>685</v>
      </c>
      <c r="F4377" s="1146"/>
      <c r="G4377" s="248">
        <f>SUM(G4373:G4376)</f>
        <v>134340</v>
      </c>
    </row>
    <row r="4378" spans="1:8">
      <c r="A4378" s="294" t="s">
        <v>686</v>
      </c>
      <c r="B4378" s="410" t="s">
        <v>687</v>
      </c>
      <c r="C4378" s="247"/>
      <c r="D4378" s="247"/>
      <c r="E4378" s="372"/>
      <c r="F4378" s="360"/>
      <c r="G4378" s="248"/>
    </row>
    <row r="4379" spans="1:8">
      <c r="A4379" s="294"/>
      <c r="B4379" s="410" t="s">
        <v>2656</v>
      </c>
      <c r="C4379" s="247"/>
      <c r="D4379" s="247" t="s">
        <v>715</v>
      </c>
      <c r="E4379" s="372">
        <v>1.05</v>
      </c>
      <c r="F4379" s="360">
        <f>'UPAD-BAHAN-ALAT'!$I$300</f>
        <v>11475</v>
      </c>
      <c r="G4379" s="248">
        <f>F4379*E4379</f>
        <v>12048.75</v>
      </c>
    </row>
    <row r="4380" spans="1:8">
      <c r="A4380" s="294"/>
      <c r="B4380" s="410" t="s">
        <v>1260</v>
      </c>
      <c r="C4380" s="247"/>
      <c r="D4380" s="247" t="s">
        <v>690</v>
      </c>
      <c r="E4380" s="372">
        <v>0.02</v>
      </c>
      <c r="F4380" s="360">
        <f>'UPAD-BAHAN-ALAT'!$I$143</f>
        <v>37800</v>
      </c>
      <c r="G4380" s="248">
        <f>F4380*E4380</f>
        <v>756</v>
      </c>
    </row>
    <row r="4381" spans="1:8">
      <c r="A4381" s="294"/>
      <c r="B4381" s="295"/>
      <c r="C4381" s="296"/>
      <c r="D4381" s="296"/>
      <c r="E4381" s="1146" t="s">
        <v>702</v>
      </c>
      <c r="F4381" s="1146"/>
      <c r="G4381" s="248">
        <f>SUM(G4379:G4380)</f>
        <v>12804.75</v>
      </c>
    </row>
    <row r="4382" spans="1:8" s="265" customFormat="1">
      <c r="A4382" s="294" t="s">
        <v>703</v>
      </c>
      <c r="B4382" s="1147" t="s">
        <v>3910</v>
      </c>
      <c r="C4382" s="1147"/>
      <c r="D4382" s="1147"/>
      <c r="E4382" s="1147"/>
      <c r="F4382" s="1147"/>
      <c r="G4382" s="255">
        <f>G4377+G4381</f>
        <v>147144.75</v>
      </c>
    </row>
    <row r="4383" spans="1:8" s="265" customFormat="1">
      <c r="A4383" s="294" t="s">
        <v>706</v>
      </c>
      <c r="B4383" s="1148" t="s">
        <v>876</v>
      </c>
      <c r="C4383" s="1148"/>
      <c r="D4383" s="1148"/>
      <c r="E4383" s="1147" t="s">
        <v>4030</v>
      </c>
      <c r="F4383" s="1147"/>
      <c r="G4383" s="255">
        <f>G4382*0.15</f>
        <v>22071.712499999998</v>
      </c>
    </row>
    <row r="4384" spans="1:8" s="265" customFormat="1">
      <c r="A4384" s="294" t="s">
        <v>708</v>
      </c>
      <c r="B4384" s="1149" t="s">
        <v>3911</v>
      </c>
      <c r="C4384" s="1149"/>
      <c r="D4384" s="1149"/>
      <c r="E4384" s="1149"/>
      <c r="F4384" s="1149"/>
      <c r="G4384" s="255">
        <f>ROUND(SUM(G4382:G4383),2)</f>
        <v>169216.46</v>
      </c>
    </row>
    <row r="4385" spans="1:7">
      <c r="A4385" s="268"/>
      <c r="B4385" s="269"/>
      <c r="C4385" s="268"/>
      <c r="D4385" s="268"/>
      <c r="E4385" s="380"/>
      <c r="F4385" s="365"/>
      <c r="G4385" s="270"/>
    </row>
    <row r="4386" spans="1:7">
      <c r="A4386" s="285" t="s">
        <v>4259</v>
      </c>
      <c r="B4386" s="250" t="s">
        <v>2768</v>
      </c>
      <c r="C4386" s="252"/>
      <c r="D4386" s="252"/>
      <c r="E4386" s="374"/>
      <c r="F4386" s="361"/>
      <c r="G4386" s="253"/>
    </row>
    <row r="4387" spans="1:7" s="292" customFormat="1" ht="24.95" customHeight="1">
      <c r="A4387" s="290" t="s">
        <v>1003</v>
      </c>
      <c r="B4387" s="290" t="s">
        <v>1004</v>
      </c>
      <c r="C4387" s="290" t="s">
        <v>1005</v>
      </c>
      <c r="D4387" s="290" t="s">
        <v>1006</v>
      </c>
      <c r="E4387" s="373" t="s">
        <v>1007</v>
      </c>
      <c r="F4387" s="363" t="s">
        <v>2637</v>
      </c>
      <c r="G4387" s="291" t="s">
        <v>2638</v>
      </c>
    </row>
    <row r="4388" spans="1:7">
      <c r="A4388" s="294" t="s">
        <v>671</v>
      </c>
      <c r="B4388" s="410" t="s">
        <v>672</v>
      </c>
      <c r="C4388" s="247"/>
      <c r="D4388" s="247"/>
      <c r="E4388" s="372"/>
      <c r="F4388" s="360"/>
      <c r="G4388" s="248"/>
    </row>
    <row r="4389" spans="1:7">
      <c r="A4389" s="294"/>
      <c r="B4389" s="410" t="s">
        <v>673</v>
      </c>
      <c r="C4389" s="247" t="s">
        <v>674</v>
      </c>
      <c r="D4389" s="247" t="s">
        <v>675</v>
      </c>
      <c r="E4389" s="372">
        <v>0.1</v>
      </c>
      <c r="F4389" s="360">
        <f>'UPAD-BAHAN-ALAT'!$I$12</f>
        <v>110000</v>
      </c>
      <c r="G4389" s="248">
        <f>F4389*E4389</f>
        <v>11000</v>
      </c>
    </row>
    <row r="4390" spans="1:7">
      <c r="A4390" s="294"/>
      <c r="B4390" s="410" t="s">
        <v>677</v>
      </c>
      <c r="C4390" s="247" t="s">
        <v>678</v>
      </c>
      <c r="D4390" s="247" t="s">
        <v>675</v>
      </c>
      <c r="E4390" s="372">
        <v>1</v>
      </c>
      <c r="F4390" s="360">
        <f>'UPAD-BAHAN-ALAT'!$I$13</f>
        <v>140000</v>
      </c>
      <c r="G4390" s="248">
        <f>F4390*E4390</f>
        <v>140000</v>
      </c>
    </row>
    <row r="4391" spans="1:7">
      <c r="A4391" s="294"/>
      <c r="B4391" s="410" t="s">
        <v>751</v>
      </c>
      <c r="C4391" s="247" t="s">
        <v>681</v>
      </c>
      <c r="D4391" s="247" t="s">
        <v>675</v>
      </c>
      <c r="E4391" s="372">
        <v>0.1</v>
      </c>
      <c r="F4391" s="360">
        <f>'UPAD-BAHAN-ALAT'!$I$15</f>
        <v>150000</v>
      </c>
      <c r="G4391" s="248">
        <f>F4391*E4391</f>
        <v>15000</v>
      </c>
    </row>
    <row r="4392" spans="1:7">
      <c r="A4392" s="294"/>
      <c r="B4392" s="410" t="s">
        <v>683</v>
      </c>
      <c r="C4392" s="247" t="s">
        <v>684</v>
      </c>
      <c r="D4392" s="247" t="s">
        <v>675</v>
      </c>
      <c r="E4392" s="372">
        <v>0.05</v>
      </c>
      <c r="F4392" s="360">
        <f>'UPAD-BAHAN-ALAT'!$I$14</f>
        <v>140000</v>
      </c>
      <c r="G4392" s="248">
        <f>F4392*E4392</f>
        <v>7000</v>
      </c>
    </row>
    <row r="4393" spans="1:7">
      <c r="A4393" s="294"/>
      <c r="B4393" s="410"/>
      <c r="C4393" s="247"/>
      <c r="D4393" s="247"/>
      <c r="E4393" s="1146" t="s">
        <v>685</v>
      </c>
      <c r="F4393" s="1146"/>
      <c r="G4393" s="248">
        <f>SUM(G4389:G4392)</f>
        <v>173000</v>
      </c>
    </row>
    <row r="4394" spans="1:7">
      <c r="A4394" s="294" t="s">
        <v>686</v>
      </c>
      <c r="B4394" s="410" t="s">
        <v>687</v>
      </c>
      <c r="C4394" s="247"/>
      <c r="D4394" s="247"/>
      <c r="E4394" s="372"/>
      <c r="F4394" s="360"/>
      <c r="G4394" s="248"/>
    </row>
    <row r="4395" spans="1:7">
      <c r="A4395" s="294"/>
      <c r="B4395" s="410" t="s">
        <v>1262</v>
      </c>
      <c r="C4395" s="247"/>
      <c r="D4395" s="247" t="s">
        <v>743</v>
      </c>
      <c r="E4395" s="372">
        <v>1.2</v>
      </c>
      <c r="F4395" s="360">
        <f>'UPAD-BAHAN-ALAT'!$I$308</f>
        <v>33000</v>
      </c>
      <c r="G4395" s="248">
        <f>F4395*E4395</f>
        <v>39600</v>
      </c>
    </row>
    <row r="4396" spans="1:7">
      <c r="A4396" s="294"/>
      <c r="B4396" s="410" t="s">
        <v>1260</v>
      </c>
      <c r="C4396" s="247"/>
      <c r="D4396" s="247" t="s">
        <v>690</v>
      </c>
      <c r="E4396" s="372">
        <v>0.04</v>
      </c>
      <c r="F4396" s="360">
        <f>'UPAD-BAHAN-ALAT'!$I$143</f>
        <v>37800</v>
      </c>
      <c r="G4396" s="248">
        <f>F4396*E4396</f>
        <v>1512</v>
      </c>
    </row>
    <row r="4397" spans="1:7">
      <c r="A4397" s="294"/>
      <c r="B4397" s="295"/>
      <c r="C4397" s="296"/>
      <c r="D4397" s="296"/>
      <c r="E4397" s="1146" t="s">
        <v>702</v>
      </c>
      <c r="F4397" s="1146"/>
      <c r="G4397" s="248">
        <f>SUM(G4395:G4396)</f>
        <v>41112</v>
      </c>
    </row>
    <row r="4398" spans="1:7" s="265" customFormat="1">
      <c r="A4398" s="294" t="s">
        <v>703</v>
      </c>
      <c r="B4398" s="1147" t="s">
        <v>3910</v>
      </c>
      <c r="C4398" s="1147"/>
      <c r="D4398" s="1147"/>
      <c r="E4398" s="1147"/>
      <c r="F4398" s="1147"/>
      <c r="G4398" s="255">
        <f>G4393+G4397</f>
        <v>214112</v>
      </c>
    </row>
    <row r="4399" spans="1:7" s="265" customFormat="1">
      <c r="A4399" s="294" t="s">
        <v>706</v>
      </c>
      <c r="B4399" s="1148" t="s">
        <v>876</v>
      </c>
      <c r="C4399" s="1148"/>
      <c r="D4399" s="1148"/>
      <c r="E4399" s="1147" t="s">
        <v>4030</v>
      </c>
      <c r="F4399" s="1147"/>
      <c r="G4399" s="255">
        <f>G4398*0.15</f>
        <v>32116.799999999999</v>
      </c>
    </row>
    <row r="4400" spans="1:7" s="265" customFormat="1">
      <c r="A4400" s="294" t="s">
        <v>708</v>
      </c>
      <c r="B4400" s="1149" t="s">
        <v>3911</v>
      </c>
      <c r="C4400" s="1149"/>
      <c r="D4400" s="1149"/>
      <c r="E4400" s="1149"/>
      <c r="F4400" s="1149"/>
      <c r="G4400" s="255">
        <f>ROUND(SUM(G4398:G4399),2)</f>
        <v>246228.8</v>
      </c>
    </row>
    <row r="4402" spans="1:8">
      <c r="A4402" s="600" t="s">
        <v>4260</v>
      </c>
      <c r="B4402" s="265" t="s">
        <v>4509</v>
      </c>
    </row>
    <row r="4403" spans="1:8" s="292" customFormat="1" ht="24.95" customHeight="1">
      <c r="A4403" s="290" t="s">
        <v>1003</v>
      </c>
      <c r="B4403" s="293" t="s">
        <v>1004</v>
      </c>
      <c r="C4403" s="290" t="s">
        <v>1005</v>
      </c>
      <c r="D4403" s="293" t="s">
        <v>1006</v>
      </c>
      <c r="E4403" s="379" t="s">
        <v>1007</v>
      </c>
      <c r="F4403" s="389" t="s">
        <v>2637</v>
      </c>
      <c r="G4403" s="623" t="s">
        <v>2638</v>
      </c>
    </row>
    <row r="4404" spans="1:8">
      <c r="A4404" s="294" t="s">
        <v>671</v>
      </c>
      <c r="B4404" s="355" t="s">
        <v>672</v>
      </c>
      <c r="C4404" s="247"/>
      <c r="D4404" s="283"/>
      <c r="E4404" s="428"/>
      <c r="F4404" s="624"/>
      <c r="G4404" s="625"/>
    </row>
    <row r="4405" spans="1:8">
      <c r="A4405" s="294"/>
      <c r="B4405" s="355" t="s">
        <v>673</v>
      </c>
      <c r="C4405" s="247" t="s">
        <v>674</v>
      </c>
      <c r="D4405" s="283" t="s">
        <v>675</v>
      </c>
      <c r="E4405" s="428">
        <v>0.15</v>
      </c>
      <c r="F4405" s="360">
        <f>'UPAD-BAHAN-ALAT'!$I$12</f>
        <v>110000</v>
      </c>
      <c r="G4405" s="248">
        <f>F4405*E4405</f>
        <v>16500</v>
      </c>
    </row>
    <row r="4406" spans="1:8">
      <c r="A4406" s="294"/>
      <c r="B4406" s="355" t="s">
        <v>677</v>
      </c>
      <c r="C4406" s="247" t="s">
        <v>678</v>
      </c>
      <c r="D4406" s="283" t="s">
        <v>675</v>
      </c>
      <c r="E4406" s="428">
        <v>0.05</v>
      </c>
      <c r="F4406" s="360">
        <f>'UPAD-BAHAN-ALAT'!$I$13</f>
        <v>140000</v>
      </c>
      <c r="G4406" s="248">
        <f>F4406*E4406</f>
        <v>7000</v>
      </c>
    </row>
    <row r="4407" spans="1:8">
      <c r="A4407" s="294"/>
      <c r="B4407" s="355" t="s">
        <v>751</v>
      </c>
      <c r="C4407" s="247" t="s">
        <v>681</v>
      </c>
      <c r="D4407" s="283" t="s">
        <v>675</v>
      </c>
      <c r="E4407" s="428">
        <v>5.0000000000000001E-3</v>
      </c>
      <c r="F4407" s="360">
        <f>'UPAD-BAHAN-ALAT'!$I$15</f>
        <v>150000</v>
      </c>
      <c r="G4407" s="248">
        <f>F4407*E4407</f>
        <v>750</v>
      </c>
    </row>
    <row r="4408" spans="1:8">
      <c r="A4408" s="294"/>
      <c r="B4408" s="355" t="s">
        <v>683</v>
      </c>
      <c r="C4408" s="247" t="s">
        <v>684</v>
      </c>
      <c r="D4408" s="283" t="s">
        <v>675</v>
      </c>
      <c r="E4408" s="428">
        <v>8.0000000000000002E-3</v>
      </c>
      <c r="F4408" s="360">
        <f>'UPAD-BAHAN-ALAT'!$I$14</f>
        <v>140000</v>
      </c>
      <c r="G4408" s="248">
        <f>F4408*E4408</f>
        <v>1120</v>
      </c>
    </row>
    <row r="4409" spans="1:8">
      <c r="A4409" s="294"/>
      <c r="B4409" s="355"/>
      <c r="C4409" s="247"/>
      <c r="D4409" s="283"/>
      <c r="E4409" s="428" t="s">
        <v>685</v>
      </c>
      <c r="F4409" s="663"/>
      <c r="G4409" s="625">
        <f>SUM(G4405:G4408)</f>
        <v>25370</v>
      </c>
    </row>
    <row r="4410" spans="1:8">
      <c r="A4410" s="294" t="s">
        <v>686</v>
      </c>
      <c r="B4410" s="355" t="s">
        <v>687</v>
      </c>
      <c r="C4410" s="247"/>
      <c r="D4410" s="283"/>
      <c r="E4410" s="428"/>
      <c r="F4410" s="624"/>
      <c r="G4410" s="625"/>
    </row>
    <row r="4411" spans="1:8">
      <c r="A4411" s="294"/>
      <c r="B4411" s="355" t="s">
        <v>1263</v>
      </c>
      <c r="C4411" s="247"/>
      <c r="D4411" s="283" t="s">
        <v>1264</v>
      </c>
      <c r="E4411" s="428">
        <v>1.05</v>
      </c>
      <c r="F4411" s="624">
        <f>'UPAD-BAHAN-ALAT'!$I$323</f>
        <v>20000</v>
      </c>
      <c r="G4411" s="248">
        <f>F4411*E4411</f>
        <v>21000</v>
      </c>
    </row>
    <row r="4412" spans="1:8">
      <c r="A4412" s="294"/>
      <c r="B4412" s="355"/>
      <c r="C4412" s="247"/>
      <c r="D4412" s="283"/>
      <c r="E4412" s="428" t="s">
        <v>702</v>
      </c>
      <c r="F4412" s="663"/>
      <c r="G4412" s="625">
        <f>SUM(G4411)</f>
        <v>21000</v>
      </c>
    </row>
    <row r="4413" spans="1:8" s="265" customFormat="1">
      <c r="A4413" s="294" t="s">
        <v>703</v>
      </c>
      <c r="B4413" s="357" t="s">
        <v>3910</v>
      </c>
      <c r="C4413" s="610"/>
      <c r="D4413" s="610"/>
      <c r="E4413" s="611"/>
      <c r="F4413" s="616"/>
      <c r="G4413" s="693">
        <f>G4409+G4412</f>
        <v>46370</v>
      </c>
    </row>
    <row r="4414" spans="1:8" s="265" customFormat="1">
      <c r="A4414" s="294" t="s">
        <v>706</v>
      </c>
      <c r="B4414" s="617" t="s">
        <v>876</v>
      </c>
      <c r="C4414" s="618"/>
      <c r="D4414" s="618"/>
      <c r="E4414" s="613" t="s">
        <v>4030</v>
      </c>
      <c r="F4414" s="616"/>
      <c r="G4414" s="255">
        <f>G4413*0.15</f>
        <v>6955.5</v>
      </c>
    </row>
    <row r="4415" spans="1:8" s="265" customFormat="1">
      <c r="A4415" s="294" t="s">
        <v>708</v>
      </c>
      <c r="B4415" s="357" t="s">
        <v>3911</v>
      </c>
      <c r="C4415" s="610"/>
      <c r="D4415" s="610"/>
      <c r="E4415" s="611"/>
      <c r="F4415" s="616"/>
      <c r="G4415" s="255">
        <f>ROUND(SUM(G4413:G4414),2)</f>
        <v>53325.5</v>
      </c>
      <c r="H4415" s="693">
        <f>SUM(G4413:G4414)</f>
        <v>53325.5</v>
      </c>
    </row>
    <row r="4417" spans="1:7">
      <c r="A4417" s="285" t="s">
        <v>4261</v>
      </c>
      <c r="B4417" s="250" t="s">
        <v>2767</v>
      </c>
      <c r="C4417" s="252"/>
      <c r="D4417" s="252"/>
      <c r="E4417" s="374"/>
      <c r="F4417" s="361"/>
      <c r="G4417" s="253"/>
    </row>
    <row r="4418" spans="1:7">
      <c r="A4418" s="285" t="s">
        <v>4262</v>
      </c>
      <c r="B4418" s="250" t="s">
        <v>3567</v>
      </c>
      <c r="C4418" s="252"/>
      <c r="D4418" s="252"/>
      <c r="E4418" s="374"/>
      <c r="F4418" s="361"/>
      <c r="G4418" s="253"/>
    </row>
    <row r="4419" spans="1:7" s="292" customFormat="1" ht="24.95" customHeight="1">
      <c r="A4419" s="290" t="s">
        <v>1003</v>
      </c>
      <c r="B4419" s="290" t="s">
        <v>1004</v>
      </c>
      <c r="C4419" s="293" t="s">
        <v>1005</v>
      </c>
      <c r="D4419" s="293" t="s">
        <v>1006</v>
      </c>
      <c r="E4419" s="379" t="s">
        <v>1007</v>
      </c>
      <c r="F4419" s="389" t="s">
        <v>2637</v>
      </c>
      <c r="G4419" s="291" t="s">
        <v>2638</v>
      </c>
    </row>
    <row r="4420" spans="1:7">
      <c r="A4420" s="294" t="s">
        <v>671</v>
      </c>
      <c r="B4420" s="410" t="s">
        <v>672</v>
      </c>
      <c r="C4420" s="283"/>
      <c r="D4420" s="283"/>
      <c r="E4420" s="428"/>
      <c r="F4420" s="624"/>
      <c r="G4420" s="248"/>
    </row>
    <row r="4421" spans="1:7">
      <c r="A4421" s="294"/>
      <c r="B4421" s="410" t="s">
        <v>673</v>
      </c>
      <c r="C4421" s="247" t="s">
        <v>674</v>
      </c>
      <c r="D4421" s="283" t="s">
        <v>675</v>
      </c>
      <c r="E4421" s="428">
        <v>7</v>
      </c>
      <c r="F4421" s="360">
        <f>'UPAD-BAHAN-ALAT'!$I$12</f>
        <v>110000</v>
      </c>
      <c r="G4421" s="248">
        <f>F4421*E4421</f>
        <v>770000</v>
      </c>
    </row>
    <row r="4422" spans="1:7">
      <c r="A4422" s="294"/>
      <c r="B4422" s="410" t="s">
        <v>871</v>
      </c>
      <c r="C4422" s="247" t="s">
        <v>678</v>
      </c>
      <c r="D4422" s="283" t="s">
        <v>675</v>
      </c>
      <c r="E4422" s="428">
        <v>21</v>
      </c>
      <c r="F4422" s="360">
        <f>'UPAD-BAHAN-ALAT'!$I$13</f>
        <v>140000</v>
      </c>
      <c r="G4422" s="248">
        <f>F4422*E4422</f>
        <v>2940000</v>
      </c>
    </row>
    <row r="4423" spans="1:7">
      <c r="A4423" s="294"/>
      <c r="B4423" s="410" t="s">
        <v>751</v>
      </c>
      <c r="C4423" s="247" t="s">
        <v>681</v>
      </c>
      <c r="D4423" s="283" t="s">
        <v>675</v>
      </c>
      <c r="E4423" s="428">
        <v>2.1</v>
      </c>
      <c r="F4423" s="360">
        <f>'UPAD-BAHAN-ALAT'!$I$15</f>
        <v>150000</v>
      </c>
      <c r="G4423" s="248">
        <f>F4423*E4423</f>
        <v>315000</v>
      </c>
    </row>
    <row r="4424" spans="1:7">
      <c r="A4424" s="294"/>
      <c r="B4424" s="410" t="s">
        <v>683</v>
      </c>
      <c r="C4424" s="247" t="s">
        <v>684</v>
      </c>
      <c r="D4424" s="283" t="s">
        <v>675</v>
      </c>
      <c r="E4424" s="428">
        <v>0.35</v>
      </c>
      <c r="F4424" s="360">
        <f>'UPAD-BAHAN-ALAT'!$I$14</f>
        <v>140000</v>
      </c>
      <c r="G4424" s="248">
        <f>F4424*E4424</f>
        <v>49000</v>
      </c>
    </row>
    <row r="4425" spans="1:7">
      <c r="A4425" s="294"/>
      <c r="B4425" s="410"/>
      <c r="C4425" s="283"/>
      <c r="D4425" s="283"/>
      <c r="E4425" s="428" t="s">
        <v>685</v>
      </c>
      <c r="F4425" s="663"/>
      <c r="G4425" s="248">
        <f>SUM(G4421:G4424)</f>
        <v>4074000</v>
      </c>
    </row>
    <row r="4426" spans="1:7">
      <c r="A4426" s="294" t="s">
        <v>686</v>
      </c>
      <c r="B4426" s="410" t="s">
        <v>687</v>
      </c>
      <c r="C4426" s="283"/>
      <c r="D4426" s="283"/>
      <c r="E4426" s="428"/>
      <c r="F4426" s="624"/>
      <c r="G4426" s="248"/>
    </row>
    <row r="4427" spans="1:7">
      <c r="A4427" s="294"/>
      <c r="B4427" s="410" t="s">
        <v>3568</v>
      </c>
      <c r="C4427" s="283"/>
      <c r="D4427" s="283" t="s">
        <v>2646</v>
      </c>
      <c r="E4427" s="428">
        <v>1.1000000000000001</v>
      </c>
      <c r="F4427" s="624">
        <f>'UPAD-BAHAN-ALAT'!$I$94</f>
        <v>10500000</v>
      </c>
      <c r="G4427" s="248">
        <f>F4427*E4427</f>
        <v>11550000.000000002</v>
      </c>
    </row>
    <row r="4428" spans="1:7">
      <c r="A4428" s="294"/>
      <c r="B4428" s="410" t="s">
        <v>1267</v>
      </c>
      <c r="C4428" s="283"/>
      <c r="D4428" s="283" t="s">
        <v>690</v>
      </c>
      <c r="E4428" s="428">
        <v>1.25</v>
      </c>
      <c r="F4428" s="360">
        <f>'UPAD-BAHAN-ALAT'!$I$139</f>
        <v>21000</v>
      </c>
      <c r="G4428" s="248">
        <f>F4428*E4428</f>
        <v>26250</v>
      </c>
    </row>
    <row r="4429" spans="1:7">
      <c r="A4429" s="294"/>
      <c r="B4429" s="410" t="s">
        <v>1268</v>
      </c>
      <c r="C4429" s="283"/>
      <c r="D4429" s="283" t="s">
        <v>690</v>
      </c>
      <c r="E4429" s="428">
        <v>1</v>
      </c>
      <c r="F4429" s="624">
        <f>'UPAD-BAHAN-ALAT'!$I$97</f>
        <v>22000</v>
      </c>
      <c r="G4429" s="248">
        <f>F4429*E4429</f>
        <v>22000</v>
      </c>
    </row>
    <row r="4430" spans="1:7">
      <c r="A4430" s="294"/>
      <c r="B4430" s="410"/>
      <c r="C4430" s="283"/>
      <c r="D4430" s="283"/>
      <c r="E4430" s="428" t="s">
        <v>702</v>
      </c>
      <c r="F4430" s="663"/>
      <c r="G4430" s="248">
        <f>SUM(G4427:G4429)</f>
        <v>11598250.000000002</v>
      </c>
    </row>
    <row r="4431" spans="1:7" s="265" customFormat="1">
      <c r="A4431" s="294" t="s">
        <v>703</v>
      </c>
      <c r="B4431" s="357" t="s">
        <v>3910</v>
      </c>
      <c r="C4431" s="610"/>
      <c r="D4431" s="610"/>
      <c r="E4431" s="611"/>
      <c r="F4431" s="616"/>
      <c r="G4431" s="255">
        <f>G4425+G4430</f>
        <v>15672250.000000002</v>
      </c>
    </row>
    <row r="4432" spans="1:7" s="265" customFormat="1">
      <c r="A4432" s="294" t="s">
        <v>706</v>
      </c>
      <c r="B4432" s="617" t="s">
        <v>876</v>
      </c>
      <c r="C4432" s="618"/>
      <c r="D4432" s="618"/>
      <c r="E4432" s="613" t="s">
        <v>4030</v>
      </c>
      <c r="F4432" s="616"/>
      <c r="G4432" s="255">
        <f>G4431*0.15</f>
        <v>2350837.5</v>
      </c>
    </row>
    <row r="4433" spans="1:9" s="265" customFormat="1">
      <c r="A4433" s="294" t="s">
        <v>708</v>
      </c>
      <c r="B4433" s="1149" t="s">
        <v>3911</v>
      </c>
      <c r="C4433" s="1149"/>
      <c r="D4433" s="1149"/>
      <c r="E4433" s="1149"/>
      <c r="F4433" s="1149"/>
      <c r="G4433" s="255">
        <f>ROUND(SUM(G4431:G4432),2)</f>
        <v>18023087.5</v>
      </c>
      <c r="H4433" s="255">
        <f>SUM(G4431:G4432)</f>
        <v>18023087.5</v>
      </c>
      <c r="I4433" s="300" t="e">
        <f>#REF!*H4433</f>
        <v>#REF!</v>
      </c>
    </row>
    <row r="4435" spans="1:9" s="814" customFormat="1">
      <c r="A4435" s="847" t="s">
        <v>4263</v>
      </c>
      <c r="B4435" s="848" t="s">
        <v>4620</v>
      </c>
      <c r="C4435" s="849"/>
      <c r="D4435" s="849"/>
      <c r="E4435" s="850"/>
      <c r="F4435" s="851"/>
      <c r="G4435" s="852"/>
    </row>
    <row r="4436" spans="1:9" s="858" customFormat="1" ht="24.95" customHeight="1">
      <c r="A4436" s="853" t="s">
        <v>1003</v>
      </c>
      <c r="B4436" s="854" t="s">
        <v>1004</v>
      </c>
      <c r="C4436" s="854" t="s">
        <v>1005</v>
      </c>
      <c r="D4436" s="854" t="s">
        <v>1006</v>
      </c>
      <c r="E4436" s="855" t="s">
        <v>1007</v>
      </c>
      <c r="F4436" s="856" t="s">
        <v>2637</v>
      </c>
      <c r="G4436" s="857" t="s">
        <v>2638</v>
      </c>
    </row>
    <row r="4437" spans="1:9" s="814" customFormat="1">
      <c r="A4437" s="859" t="s">
        <v>671</v>
      </c>
      <c r="B4437" s="860" t="s">
        <v>672</v>
      </c>
      <c r="C4437" s="861"/>
      <c r="D4437" s="861"/>
      <c r="E4437" s="862"/>
      <c r="F4437" s="863"/>
      <c r="G4437" s="864"/>
    </row>
    <row r="4438" spans="1:9" s="814" customFormat="1">
      <c r="A4438" s="859"/>
      <c r="B4438" s="860" t="s">
        <v>673</v>
      </c>
      <c r="C4438" s="865" t="s">
        <v>674</v>
      </c>
      <c r="D4438" s="861" t="s">
        <v>675</v>
      </c>
      <c r="E4438" s="862">
        <v>6</v>
      </c>
      <c r="F4438" s="866">
        <f>'UPAD-BAHAN-ALAT'!$I$12</f>
        <v>110000</v>
      </c>
      <c r="G4438" s="864">
        <f>F4438*E4438</f>
        <v>660000</v>
      </c>
    </row>
    <row r="4439" spans="1:9" s="814" customFormat="1">
      <c r="A4439" s="859"/>
      <c r="B4439" s="860" t="s">
        <v>871</v>
      </c>
      <c r="C4439" s="865" t="s">
        <v>678</v>
      </c>
      <c r="D4439" s="861" t="s">
        <v>675</v>
      </c>
      <c r="E4439" s="862">
        <v>18</v>
      </c>
      <c r="F4439" s="866">
        <f>'UPAD-BAHAN-ALAT'!$I$13</f>
        <v>140000</v>
      </c>
      <c r="G4439" s="864">
        <f>F4439*E4439</f>
        <v>2520000</v>
      </c>
    </row>
    <row r="4440" spans="1:9" s="814" customFormat="1">
      <c r="A4440" s="859"/>
      <c r="B4440" s="860" t="s">
        <v>751</v>
      </c>
      <c r="C4440" s="865" t="s">
        <v>681</v>
      </c>
      <c r="D4440" s="861" t="s">
        <v>675</v>
      </c>
      <c r="E4440" s="862">
        <v>1.8</v>
      </c>
      <c r="F4440" s="866">
        <f>'UPAD-BAHAN-ALAT'!$I$15</f>
        <v>150000</v>
      </c>
      <c r="G4440" s="864">
        <f>F4440*E4440</f>
        <v>270000</v>
      </c>
    </row>
    <row r="4441" spans="1:9" s="814" customFormat="1">
      <c r="A4441" s="859"/>
      <c r="B4441" s="860" t="s">
        <v>683</v>
      </c>
      <c r="C4441" s="865" t="s">
        <v>684</v>
      </c>
      <c r="D4441" s="861" t="s">
        <v>675</v>
      </c>
      <c r="E4441" s="862">
        <v>0.3</v>
      </c>
      <c r="F4441" s="866">
        <f>'UPAD-BAHAN-ALAT'!$I$14</f>
        <v>140000</v>
      </c>
      <c r="G4441" s="864">
        <f>F4441*E4441</f>
        <v>42000</v>
      </c>
    </row>
    <row r="4442" spans="1:9" s="814" customFormat="1">
      <c r="A4442" s="859"/>
      <c r="B4442" s="860"/>
      <c r="C4442" s="861"/>
      <c r="D4442" s="861"/>
      <c r="E4442" s="862" t="s">
        <v>685</v>
      </c>
      <c r="F4442" s="867"/>
      <c r="G4442" s="864">
        <f>SUM(G4438:G4441)</f>
        <v>3492000</v>
      </c>
    </row>
    <row r="4443" spans="1:9" s="814" customFormat="1">
      <c r="A4443" s="859" t="s">
        <v>686</v>
      </c>
      <c r="B4443" s="860" t="s">
        <v>687</v>
      </c>
      <c r="C4443" s="861"/>
      <c r="D4443" s="861"/>
      <c r="E4443" s="862"/>
      <c r="F4443" s="863"/>
      <c r="G4443" s="864"/>
    </row>
    <row r="4444" spans="1:9" s="814" customFormat="1">
      <c r="A4444" s="859"/>
      <c r="B4444" s="860" t="s">
        <v>1266</v>
      </c>
      <c r="C4444" s="861"/>
      <c r="D4444" s="861" t="s">
        <v>2646</v>
      </c>
      <c r="E4444" s="862">
        <v>1.2</v>
      </c>
      <c r="F4444" s="863">
        <f>'UPAD-BAHAN-ALAT'!$I$95</f>
        <v>6825000</v>
      </c>
      <c r="G4444" s="864">
        <f>F4444*E4444</f>
        <v>8190000</v>
      </c>
    </row>
    <row r="4445" spans="1:9" s="814" customFormat="1">
      <c r="A4445" s="859"/>
      <c r="B4445" s="860" t="s">
        <v>1267</v>
      </c>
      <c r="C4445" s="861"/>
      <c r="D4445" s="861" t="s">
        <v>690</v>
      </c>
      <c r="E4445" s="862">
        <v>1.25</v>
      </c>
      <c r="F4445" s="866">
        <f>'UPAD-BAHAN-ALAT'!$I$139</f>
        <v>21000</v>
      </c>
      <c r="G4445" s="864">
        <f>F4445*E4445</f>
        <v>26250</v>
      </c>
    </row>
    <row r="4446" spans="1:9" s="814" customFormat="1">
      <c r="A4446" s="859"/>
      <c r="B4446" s="860" t="s">
        <v>1268</v>
      </c>
      <c r="C4446" s="861"/>
      <c r="D4446" s="861" t="s">
        <v>690</v>
      </c>
      <c r="E4446" s="862">
        <v>1</v>
      </c>
      <c r="F4446" s="863">
        <f>'UPAD-BAHAN-ALAT'!$I$97</f>
        <v>22000</v>
      </c>
      <c r="G4446" s="864">
        <f>F4446*E4446</f>
        <v>22000</v>
      </c>
    </row>
    <row r="4447" spans="1:9" s="814" customFormat="1">
      <c r="A4447" s="859"/>
      <c r="B4447" s="860"/>
      <c r="C4447" s="861"/>
      <c r="D4447" s="861"/>
      <c r="E4447" s="862" t="s">
        <v>702</v>
      </c>
      <c r="F4447" s="867"/>
      <c r="G4447" s="864">
        <f>SUM(G4444:G4446)</f>
        <v>8238250</v>
      </c>
    </row>
    <row r="4448" spans="1:9" s="848" customFormat="1">
      <c r="A4448" s="859" t="s">
        <v>703</v>
      </c>
      <c r="B4448" s="868" t="s">
        <v>3910</v>
      </c>
      <c r="C4448" s="869"/>
      <c r="D4448" s="869"/>
      <c r="E4448" s="870"/>
      <c r="F4448" s="871"/>
      <c r="G4448" s="872">
        <f>G4442+G4447</f>
        <v>11730250</v>
      </c>
    </row>
    <row r="4449" spans="1:8" s="848" customFormat="1">
      <c r="A4449" s="859" t="s">
        <v>706</v>
      </c>
      <c r="B4449" s="873" t="s">
        <v>876</v>
      </c>
      <c r="C4449" s="874"/>
      <c r="D4449" s="874"/>
      <c r="E4449" s="875" t="s">
        <v>4030</v>
      </c>
      <c r="F4449" s="871"/>
      <c r="G4449" s="872">
        <f>G4448*0.15</f>
        <v>1759537.5</v>
      </c>
    </row>
    <row r="4450" spans="1:8" s="848" customFormat="1">
      <c r="A4450" s="859" t="s">
        <v>708</v>
      </c>
      <c r="B4450" s="868" t="s">
        <v>3911</v>
      </c>
      <c r="C4450" s="869"/>
      <c r="D4450" s="869"/>
      <c r="E4450" s="870"/>
      <c r="F4450" s="871"/>
      <c r="G4450" s="872">
        <f>ROUND(SUM(G4448:G4449),2)</f>
        <v>13489787.5</v>
      </c>
      <c r="H4450" s="872">
        <f>SUM(G4448:G4449)</f>
        <v>13489787.5</v>
      </c>
    </row>
    <row r="4451" spans="1:8">
      <c r="A4451" s="268"/>
      <c r="B4451" s="269"/>
      <c r="C4451" s="268"/>
      <c r="D4451" s="268"/>
      <c r="E4451" s="380"/>
      <c r="F4451" s="365"/>
      <c r="G4451" s="270"/>
    </row>
    <row r="4452" spans="1:8" s="814" customFormat="1">
      <c r="A4452" s="921" t="s">
        <v>4264</v>
      </c>
      <c r="B4452" s="809" t="s">
        <v>3569</v>
      </c>
      <c r="C4452" s="810"/>
      <c r="D4452" s="810"/>
      <c r="E4452" s="811"/>
      <c r="F4452" s="812"/>
      <c r="G4452" s="813"/>
    </row>
    <row r="4453" spans="1:8" s="858" customFormat="1" ht="24.95" customHeight="1">
      <c r="A4453" s="853" t="s">
        <v>1003</v>
      </c>
      <c r="B4453" s="853" t="s">
        <v>1004</v>
      </c>
      <c r="C4453" s="854" t="s">
        <v>1005</v>
      </c>
      <c r="D4453" s="854" t="s">
        <v>1006</v>
      </c>
      <c r="E4453" s="855" t="s">
        <v>1007</v>
      </c>
      <c r="F4453" s="856" t="s">
        <v>2637</v>
      </c>
      <c r="G4453" s="887" t="s">
        <v>2638</v>
      </c>
    </row>
    <row r="4454" spans="1:8" s="814" customFormat="1">
      <c r="A4454" s="859" t="s">
        <v>671</v>
      </c>
      <c r="B4454" s="891" t="s">
        <v>672</v>
      </c>
      <c r="C4454" s="861"/>
      <c r="D4454" s="861"/>
      <c r="E4454" s="862"/>
      <c r="F4454" s="884"/>
      <c r="G4454" s="922"/>
    </row>
    <row r="4455" spans="1:8" s="814" customFormat="1">
      <c r="A4455" s="859"/>
      <c r="B4455" s="891" t="s">
        <v>673</v>
      </c>
      <c r="C4455" s="865" t="s">
        <v>674</v>
      </c>
      <c r="D4455" s="861" t="s">
        <v>675</v>
      </c>
      <c r="E4455" s="862">
        <v>0.35</v>
      </c>
      <c r="F4455" s="884">
        <f>'UPAD-BAHAN-ALAT'!$I$12</f>
        <v>110000</v>
      </c>
      <c r="G4455" s="864">
        <f>F4455*E4455</f>
        <v>38500</v>
      </c>
    </row>
    <row r="4456" spans="1:8" s="814" customFormat="1">
      <c r="A4456" s="859"/>
      <c r="B4456" s="891" t="s">
        <v>871</v>
      </c>
      <c r="C4456" s="865" t="s">
        <v>678</v>
      </c>
      <c r="D4456" s="861" t="s">
        <v>675</v>
      </c>
      <c r="E4456" s="862">
        <v>1.05</v>
      </c>
      <c r="F4456" s="884">
        <f>'UPAD-BAHAN-ALAT'!$I$13</f>
        <v>140000</v>
      </c>
      <c r="G4456" s="864">
        <f>F4456*E4456</f>
        <v>147000</v>
      </c>
    </row>
    <row r="4457" spans="1:8" s="814" customFormat="1">
      <c r="A4457" s="859"/>
      <c r="B4457" s="891" t="s">
        <v>751</v>
      </c>
      <c r="C4457" s="865" t="s">
        <v>681</v>
      </c>
      <c r="D4457" s="861" t="s">
        <v>675</v>
      </c>
      <c r="E4457" s="862">
        <v>0.105</v>
      </c>
      <c r="F4457" s="884">
        <f>'UPAD-BAHAN-ALAT'!$I$15</f>
        <v>150000</v>
      </c>
      <c r="G4457" s="864">
        <f>F4457*E4457</f>
        <v>15750</v>
      </c>
    </row>
    <row r="4458" spans="1:8" s="814" customFormat="1">
      <c r="A4458" s="859"/>
      <c r="B4458" s="891" t="s">
        <v>683</v>
      </c>
      <c r="C4458" s="865" t="s">
        <v>684</v>
      </c>
      <c r="D4458" s="861" t="s">
        <v>675</v>
      </c>
      <c r="E4458" s="862">
        <v>1.7999999999999999E-2</v>
      </c>
      <c r="F4458" s="884">
        <f>'UPAD-BAHAN-ALAT'!$I$14</f>
        <v>140000</v>
      </c>
      <c r="G4458" s="864">
        <f>F4458*E4458</f>
        <v>2520</v>
      </c>
    </row>
    <row r="4459" spans="1:8" s="814" customFormat="1">
      <c r="A4459" s="859"/>
      <c r="B4459" s="891"/>
      <c r="C4459" s="861"/>
      <c r="D4459" s="861"/>
      <c r="E4459" s="862" t="s">
        <v>685</v>
      </c>
      <c r="F4459" s="884"/>
      <c r="G4459" s="922">
        <f>SUM(G4455:G4458)</f>
        <v>203770</v>
      </c>
    </row>
    <row r="4460" spans="1:8" s="814" customFormat="1">
      <c r="A4460" s="859" t="s">
        <v>686</v>
      </c>
      <c r="B4460" s="891" t="s">
        <v>687</v>
      </c>
      <c r="C4460" s="923"/>
      <c r="D4460" s="861"/>
      <c r="E4460" s="862"/>
      <c r="F4460" s="884"/>
      <c r="G4460" s="922"/>
    </row>
    <row r="4461" spans="1:8" s="814" customFormat="1">
      <c r="A4461" s="859"/>
      <c r="B4461" s="891" t="s">
        <v>1270</v>
      </c>
      <c r="C4461" s="923"/>
      <c r="D4461" s="861" t="s">
        <v>2646</v>
      </c>
      <c r="E4461" s="862">
        <v>0.04</v>
      </c>
      <c r="F4461" s="884">
        <f>'UPAD-BAHAN-ALAT'!$I$95</f>
        <v>6825000</v>
      </c>
      <c r="G4461" s="864">
        <f>F4461*E4461</f>
        <v>273000</v>
      </c>
    </row>
    <row r="4462" spans="1:8" s="814" customFormat="1">
      <c r="A4462" s="859"/>
      <c r="B4462" s="891" t="s">
        <v>1272</v>
      </c>
      <c r="C4462" s="923"/>
      <c r="D4462" s="861" t="s">
        <v>690</v>
      </c>
      <c r="E4462" s="862">
        <v>0.05</v>
      </c>
      <c r="F4462" s="884">
        <f>'UPAD-BAHAN-ALAT'!$I$139</f>
        <v>21000</v>
      </c>
      <c r="G4462" s="864">
        <f>F4462*E4462</f>
        <v>1050</v>
      </c>
    </row>
    <row r="4463" spans="1:8" s="814" customFormat="1">
      <c r="A4463" s="859"/>
      <c r="B4463" s="891"/>
      <c r="C4463" s="923"/>
      <c r="D4463" s="861"/>
      <c r="E4463" s="862" t="s">
        <v>702</v>
      </c>
      <c r="F4463" s="884"/>
      <c r="G4463" s="922">
        <f>SUM(G4461:G4462)</f>
        <v>274050</v>
      </c>
    </row>
    <row r="4464" spans="1:8" s="848" customFormat="1">
      <c r="A4464" s="859" t="s">
        <v>706</v>
      </c>
      <c r="B4464" s="868" t="s">
        <v>3910</v>
      </c>
      <c r="C4464" s="869"/>
      <c r="D4464" s="869"/>
      <c r="E4464" s="870"/>
      <c r="F4464" s="924"/>
      <c r="G4464" s="925">
        <f>G4459+G4463</f>
        <v>477820</v>
      </c>
    </row>
    <row r="4465" spans="1:8" s="848" customFormat="1">
      <c r="A4465" s="859" t="s">
        <v>708</v>
      </c>
      <c r="B4465" s="873" t="s">
        <v>876</v>
      </c>
      <c r="C4465" s="874"/>
      <c r="D4465" s="874"/>
      <c r="E4465" s="875" t="s">
        <v>4030</v>
      </c>
      <c r="F4465" s="924"/>
      <c r="G4465" s="872">
        <f>G4464*0.15</f>
        <v>71673</v>
      </c>
    </row>
    <row r="4466" spans="1:8" s="848" customFormat="1">
      <c r="A4466" s="859" t="s">
        <v>711</v>
      </c>
      <c r="B4466" s="868" t="s">
        <v>3911</v>
      </c>
      <c r="C4466" s="869"/>
      <c r="D4466" s="869"/>
      <c r="E4466" s="870"/>
      <c r="F4466" s="926"/>
      <c r="G4466" s="872">
        <f>ROUND(SUM(G4464:G4465),2)</f>
        <v>549493</v>
      </c>
      <c r="H4466" s="925">
        <f>SUM(G4464:G4465)</f>
        <v>549493</v>
      </c>
    </row>
    <row r="4468" spans="1:8">
      <c r="A4468" s="286" t="s">
        <v>4265</v>
      </c>
      <c r="B4468" s="265" t="s">
        <v>2766</v>
      </c>
    </row>
    <row r="4469" spans="1:8" s="292" customFormat="1" ht="24.95" customHeight="1">
      <c r="A4469" s="290" t="s">
        <v>1003</v>
      </c>
      <c r="B4469" s="290" t="s">
        <v>1004</v>
      </c>
      <c r="C4469" s="290" t="s">
        <v>1005</v>
      </c>
      <c r="D4469" s="290" t="s">
        <v>1006</v>
      </c>
      <c r="E4469" s="373" t="s">
        <v>1007</v>
      </c>
      <c r="F4469" s="363" t="s">
        <v>2637</v>
      </c>
      <c r="G4469" s="291" t="s">
        <v>2638</v>
      </c>
    </row>
    <row r="4470" spans="1:8">
      <c r="A4470" s="294" t="s">
        <v>671</v>
      </c>
      <c r="B4470" s="410" t="s">
        <v>672</v>
      </c>
      <c r="C4470" s="247"/>
      <c r="D4470" s="247"/>
      <c r="E4470" s="372"/>
      <c r="F4470" s="360"/>
      <c r="G4470" s="248"/>
    </row>
    <row r="4471" spans="1:8">
      <c r="A4471" s="294"/>
      <c r="B4471" s="410" t="s">
        <v>673</v>
      </c>
      <c r="C4471" s="247" t="s">
        <v>674</v>
      </c>
      <c r="D4471" s="247" t="s">
        <v>675</v>
      </c>
      <c r="E4471" s="372">
        <v>0.35</v>
      </c>
      <c r="F4471" s="360">
        <f>'UPAD-BAHAN-ALAT'!$I$12</f>
        <v>110000</v>
      </c>
      <c r="G4471" s="248">
        <f>F4471*E4471</f>
        <v>38500</v>
      </c>
    </row>
    <row r="4472" spans="1:8">
      <c r="A4472" s="294"/>
      <c r="B4472" s="410" t="s">
        <v>871</v>
      </c>
      <c r="C4472" s="247" t="s">
        <v>678</v>
      </c>
      <c r="D4472" s="247" t="s">
        <v>675</v>
      </c>
      <c r="E4472" s="372">
        <v>1.05</v>
      </c>
      <c r="F4472" s="360">
        <f>'UPAD-BAHAN-ALAT'!$I$13</f>
        <v>140000</v>
      </c>
      <c r="G4472" s="248">
        <f>F4472*E4472</f>
        <v>147000</v>
      </c>
    </row>
    <row r="4473" spans="1:8">
      <c r="A4473" s="294"/>
      <c r="B4473" s="410" t="s">
        <v>751</v>
      </c>
      <c r="C4473" s="247" t="s">
        <v>681</v>
      </c>
      <c r="D4473" s="247" t="s">
        <v>675</v>
      </c>
      <c r="E4473" s="372">
        <v>0.105</v>
      </c>
      <c r="F4473" s="360">
        <f>'UPAD-BAHAN-ALAT'!$I$15</f>
        <v>150000</v>
      </c>
      <c r="G4473" s="248">
        <f>F4473*E4473</f>
        <v>15750</v>
      </c>
    </row>
    <row r="4474" spans="1:8">
      <c r="A4474" s="294"/>
      <c r="B4474" s="410" t="s">
        <v>683</v>
      </c>
      <c r="C4474" s="247" t="s">
        <v>684</v>
      </c>
      <c r="D4474" s="247" t="s">
        <v>675</v>
      </c>
      <c r="E4474" s="372">
        <v>1.7999999999999999E-2</v>
      </c>
      <c r="F4474" s="360">
        <f>'UPAD-BAHAN-ALAT'!$I$14</f>
        <v>140000</v>
      </c>
      <c r="G4474" s="248">
        <f>F4474*E4474</f>
        <v>2520</v>
      </c>
    </row>
    <row r="4475" spans="1:8">
      <c r="A4475" s="294"/>
      <c r="B4475" s="410"/>
      <c r="C4475" s="247"/>
      <c r="D4475" s="247"/>
      <c r="E4475" s="1146" t="s">
        <v>685</v>
      </c>
      <c r="F4475" s="1146"/>
      <c r="G4475" s="248">
        <f>SUM(G4471:G4474)</f>
        <v>203770</v>
      </c>
    </row>
    <row r="4476" spans="1:8">
      <c r="A4476" s="294" t="s">
        <v>686</v>
      </c>
      <c r="B4476" s="410" t="s">
        <v>687</v>
      </c>
      <c r="C4476" s="247"/>
      <c r="D4476" s="247"/>
      <c r="E4476" s="372"/>
      <c r="F4476" s="360"/>
      <c r="G4476" s="248"/>
    </row>
    <row r="4477" spans="1:8">
      <c r="A4477" s="294"/>
      <c r="B4477" s="410" t="s">
        <v>1270</v>
      </c>
      <c r="C4477" s="247"/>
      <c r="D4477" s="247" t="s">
        <v>2646</v>
      </c>
      <c r="E4477" s="372">
        <v>0.04</v>
      </c>
      <c r="F4477" s="429">
        <f>'UPAD-BAHAN-ALAT'!$I$96</f>
        <v>3465000</v>
      </c>
      <c r="G4477" s="248">
        <f>F4477*E4477</f>
        <v>138600</v>
      </c>
    </row>
    <row r="4478" spans="1:8">
      <c r="A4478" s="294"/>
      <c r="B4478" s="410" t="s">
        <v>1272</v>
      </c>
      <c r="C4478" s="247"/>
      <c r="D4478" s="247" t="s">
        <v>690</v>
      </c>
      <c r="E4478" s="372">
        <v>0.05</v>
      </c>
      <c r="F4478" s="429">
        <f>'UPAD-BAHAN-ALAT'!$I$139</f>
        <v>21000</v>
      </c>
      <c r="G4478" s="248">
        <f>F4478*E4478</f>
        <v>1050</v>
      </c>
    </row>
    <row r="4479" spans="1:8">
      <c r="A4479" s="294"/>
      <c r="B4479" s="410"/>
      <c r="C4479" s="247"/>
      <c r="D4479" s="247"/>
      <c r="E4479" s="1159" t="s">
        <v>702</v>
      </c>
      <c r="F4479" s="1160"/>
      <c r="G4479" s="248">
        <f>SUM(G4477:G4478)</f>
        <v>139650</v>
      </c>
    </row>
    <row r="4480" spans="1:8" s="265" customFormat="1">
      <c r="A4480" s="294" t="s">
        <v>703</v>
      </c>
      <c r="B4480" s="1151" t="s">
        <v>3910</v>
      </c>
      <c r="C4480" s="1151"/>
      <c r="D4480" s="1151"/>
      <c r="E4480" s="1151"/>
      <c r="F4480" s="1151"/>
      <c r="G4480" s="255">
        <f>G4475+G4479</f>
        <v>343420</v>
      </c>
    </row>
    <row r="4481" spans="1:8" s="265" customFormat="1">
      <c r="A4481" s="294" t="s">
        <v>706</v>
      </c>
      <c r="B4481" s="1148" t="s">
        <v>876</v>
      </c>
      <c r="C4481" s="1148"/>
      <c r="D4481" s="1148"/>
      <c r="E4481" s="1147" t="s">
        <v>4030</v>
      </c>
      <c r="F4481" s="1147"/>
      <c r="G4481" s="255">
        <f>G4480*0.15</f>
        <v>51513</v>
      </c>
    </row>
    <row r="4482" spans="1:8" s="265" customFormat="1">
      <c r="A4482" s="294" t="s">
        <v>708</v>
      </c>
      <c r="B4482" s="1149" t="s">
        <v>3911</v>
      </c>
      <c r="C4482" s="1149"/>
      <c r="D4482" s="1149"/>
      <c r="E4482" s="1149"/>
      <c r="F4482" s="1149"/>
      <c r="G4482" s="255">
        <f>ROUND(SUM(G4480:G4481),2)</f>
        <v>394933</v>
      </c>
      <c r="H4482" s="255">
        <f>SUM(G4480:G4481)</f>
        <v>394933</v>
      </c>
    </row>
    <row r="4483" spans="1:8">
      <c r="A4483" s="268"/>
      <c r="B4483" s="269"/>
      <c r="C4483" s="268"/>
      <c r="D4483" s="268"/>
      <c r="E4483" s="380"/>
      <c r="F4483" s="365"/>
      <c r="G4483" s="270"/>
    </row>
    <row r="4484" spans="1:8">
      <c r="A4484" s="285" t="s">
        <v>4266</v>
      </c>
      <c r="B4484" s="250" t="s">
        <v>3570</v>
      </c>
      <c r="C4484" s="252"/>
      <c r="D4484" s="252"/>
      <c r="E4484" s="374"/>
      <c r="F4484" s="361"/>
      <c r="G4484" s="253"/>
    </row>
    <row r="4485" spans="1:8" s="292" customFormat="1" ht="24.95" customHeight="1">
      <c r="A4485" s="290" t="s">
        <v>1003</v>
      </c>
      <c r="B4485" s="290" t="s">
        <v>1004</v>
      </c>
      <c r="C4485" s="290" t="s">
        <v>1005</v>
      </c>
      <c r="D4485" s="290" t="s">
        <v>1006</v>
      </c>
      <c r="E4485" s="373" t="s">
        <v>1007</v>
      </c>
      <c r="F4485" s="363" t="s">
        <v>2637</v>
      </c>
      <c r="G4485" s="291" t="s">
        <v>2638</v>
      </c>
    </row>
    <row r="4486" spans="1:8">
      <c r="A4486" s="294" t="s">
        <v>671</v>
      </c>
      <c r="B4486" s="410" t="s">
        <v>672</v>
      </c>
      <c r="C4486" s="247"/>
      <c r="D4486" s="247"/>
      <c r="E4486" s="372"/>
      <c r="F4486" s="360"/>
      <c r="G4486" s="248"/>
    </row>
    <row r="4487" spans="1:8">
      <c r="A4487" s="294"/>
      <c r="B4487" s="410" t="s">
        <v>673</v>
      </c>
      <c r="C4487" s="247" t="s">
        <v>674</v>
      </c>
      <c r="D4487" s="247" t="s">
        <v>675</v>
      </c>
      <c r="E4487" s="372">
        <v>1</v>
      </c>
      <c r="F4487" s="360">
        <f>'UPAD-BAHAN-ALAT'!$I$12</f>
        <v>110000</v>
      </c>
      <c r="G4487" s="248">
        <f>F4487*E4487</f>
        <v>110000</v>
      </c>
    </row>
    <row r="4488" spans="1:8">
      <c r="A4488" s="294"/>
      <c r="B4488" s="410" t="s">
        <v>871</v>
      </c>
      <c r="C4488" s="247" t="s">
        <v>678</v>
      </c>
      <c r="D4488" s="247" t="s">
        <v>675</v>
      </c>
      <c r="E4488" s="372">
        <v>3</v>
      </c>
      <c r="F4488" s="360">
        <f>'UPAD-BAHAN-ALAT'!$I$13</f>
        <v>140000</v>
      </c>
      <c r="G4488" s="248">
        <f>F4488*E4488</f>
        <v>420000</v>
      </c>
    </row>
    <row r="4489" spans="1:8">
      <c r="A4489" s="294"/>
      <c r="B4489" s="410" t="s">
        <v>751</v>
      </c>
      <c r="C4489" s="247" t="s">
        <v>681</v>
      </c>
      <c r="D4489" s="247" t="s">
        <v>675</v>
      </c>
      <c r="E4489" s="372">
        <v>0.3</v>
      </c>
      <c r="F4489" s="360">
        <f>'UPAD-BAHAN-ALAT'!$I$15</f>
        <v>150000</v>
      </c>
      <c r="G4489" s="248">
        <f>F4489*E4489</f>
        <v>45000</v>
      </c>
    </row>
    <row r="4490" spans="1:8">
      <c r="A4490" s="294"/>
      <c r="B4490" s="410" t="s">
        <v>683</v>
      </c>
      <c r="C4490" s="247" t="s">
        <v>684</v>
      </c>
      <c r="D4490" s="247" t="s">
        <v>675</v>
      </c>
      <c r="E4490" s="372">
        <v>0.05</v>
      </c>
      <c r="F4490" s="360">
        <f>'UPAD-BAHAN-ALAT'!$I$14</f>
        <v>140000</v>
      </c>
      <c r="G4490" s="248">
        <f>F4490*E4490</f>
        <v>7000</v>
      </c>
    </row>
    <row r="4491" spans="1:8">
      <c r="A4491" s="294"/>
      <c r="B4491" s="410"/>
      <c r="C4491" s="247"/>
      <c r="D4491" s="247"/>
      <c r="E4491" s="1146" t="s">
        <v>685</v>
      </c>
      <c r="F4491" s="1146"/>
      <c r="G4491" s="248">
        <f>SUM(G4487:G4490)</f>
        <v>582000</v>
      </c>
    </row>
    <row r="4492" spans="1:8">
      <c r="A4492" s="294" t="s">
        <v>686</v>
      </c>
      <c r="B4492" s="410" t="s">
        <v>687</v>
      </c>
      <c r="C4492" s="247"/>
      <c r="D4492" s="247"/>
      <c r="E4492" s="372"/>
      <c r="F4492" s="360"/>
      <c r="G4492" s="248"/>
    </row>
    <row r="4493" spans="1:8">
      <c r="A4493" s="294"/>
      <c r="B4493" s="410" t="s">
        <v>1270</v>
      </c>
      <c r="C4493" s="247"/>
      <c r="D4493" s="247" t="s">
        <v>2646</v>
      </c>
      <c r="E4493" s="372">
        <v>0.04</v>
      </c>
      <c r="F4493" s="429">
        <f>'UPAD-BAHAN-ALAT'!$I$95</f>
        <v>6825000</v>
      </c>
      <c r="G4493" s="248">
        <f>F4493*E4493</f>
        <v>273000</v>
      </c>
    </row>
    <row r="4494" spans="1:8">
      <c r="A4494" s="294"/>
      <c r="B4494" s="410" t="s">
        <v>1268</v>
      </c>
      <c r="C4494" s="247"/>
      <c r="D4494" s="247" t="s">
        <v>690</v>
      </c>
      <c r="E4494" s="372">
        <v>0.5</v>
      </c>
      <c r="F4494" s="624">
        <f>'UPAD-BAHAN-ALAT'!$I$97</f>
        <v>22000</v>
      </c>
      <c r="G4494" s="248">
        <f>F4494*E4494</f>
        <v>11000</v>
      </c>
    </row>
    <row r="4495" spans="1:8">
      <c r="A4495" s="294"/>
      <c r="B4495" s="295"/>
      <c r="C4495" s="296"/>
      <c r="D4495" s="296"/>
      <c r="E4495" s="1146" t="s">
        <v>702</v>
      </c>
      <c r="F4495" s="1146"/>
      <c r="G4495" s="248">
        <f>SUM(G4493:G4494)</f>
        <v>284000</v>
      </c>
    </row>
    <row r="4496" spans="1:8" s="265" customFormat="1">
      <c r="A4496" s="294" t="s">
        <v>703</v>
      </c>
      <c r="B4496" s="1147" t="s">
        <v>3910</v>
      </c>
      <c r="C4496" s="1147"/>
      <c r="D4496" s="1147"/>
      <c r="E4496" s="1147"/>
      <c r="F4496" s="1147"/>
      <c r="G4496" s="255">
        <f>G4491+G4495</f>
        <v>866000</v>
      </c>
    </row>
    <row r="4497" spans="1:8" s="265" customFormat="1">
      <c r="A4497" s="294" t="s">
        <v>706</v>
      </c>
      <c r="B4497" s="1148" t="s">
        <v>876</v>
      </c>
      <c r="C4497" s="1148"/>
      <c r="D4497" s="1148"/>
      <c r="E4497" s="1147" t="s">
        <v>4030</v>
      </c>
      <c r="F4497" s="1147"/>
      <c r="G4497" s="255">
        <f>G4496*0.15</f>
        <v>129900</v>
      </c>
    </row>
    <row r="4498" spans="1:8" s="265" customFormat="1">
      <c r="A4498" s="294" t="s">
        <v>708</v>
      </c>
      <c r="B4498" s="1149" t="s">
        <v>3911</v>
      </c>
      <c r="C4498" s="1149"/>
      <c r="D4498" s="1149"/>
      <c r="E4498" s="1149"/>
      <c r="F4498" s="1149"/>
      <c r="G4498" s="255">
        <f>ROUND(SUM(G4496:G4497),2)</f>
        <v>995900</v>
      </c>
      <c r="H4498" s="255">
        <f>SUM(G4496:G4497)</f>
        <v>995900</v>
      </c>
    </row>
    <row r="4500" spans="1:8">
      <c r="A4500" s="286" t="s">
        <v>4267</v>
      </c>
      <c r="B4500" s="265" t="s">
        <v>3571</v>
      </c>
    </row>
    <row r="4501" spans="1:8" s="292" customFormat="1" ht="24.95" customHeight="1">
      <c r="A4501" s="290" t="s">
        <v>1003</v>
      </c>
      <c r="B4501" s="290" t="s">
        <v>1004</v>
      </c>
      <c r="C4501" s="290" t="s">
        <v>1005</v>
      </c>
      <c r="D4501" s="290" t="s">
        <v>1006</v>
      </c>
      <c r="E4501" s="373" t="s">
        <v>1007</v>
      </c>
      <c r="F4501" s="363" t="s">
        <v>2637</v>
      </c>
      <c r="G4501" s="291" t="s">
        <v>2638</v>
      </c>
    </row>
    <row r="4502" spans="1:8">
      <c r="A4502" s="294" t="s">
        <v>671</v>
      </c>
      <c r="B4502" s="410" t="s">
        <v>672</v>
      </c>
      <c r="C4502" s="247"/>
      <c r="D4502" s="247"/>
      <c r="E4502" s="372"/>
      <c r="F4502" s="360"/>
      <c r="G4502" s="248"/>
    </row>
    <row r="4503" spans="1:8">
      <c r="A4503" s="294"/>
      <c r="B4503" s="410" t="s">
        <v>673</v>
      </c>
      <c r="C4503" s="247" t="s">
        <v>674</v>
      </c>
      <c r="D4503" s="247" t="s">
        <v>675</v>
      </c>
      <c r="E4503" s="372">
        <v>0.8</v>
      </c>
      <c r="F4503" s="360">
        <f>'UPAD-BAHAN-ALAT'!$I$12</f>
        <v>110000</v>
      </c>
      <c r="G4503" s="248">
        <f>F4503*E4503</f>
        <v>88000</v>
      </c>
    </row>
    <row r="4504" spans="1:8">
      <c r="A4504" s="294"/>
      <c r="B4504" s="410" t="s">
        <v>871</v>
      </c>
      <c r="C4504" s="247" t="s">
        <v>678</v>
      </c>
      <c r="D4504" s="247" t="s">
        <v>675</v>
      </c>
      <c r="E4504" s="372">
        <v>2.4</v>
      </c>
      <c r="F4504" s="360">
        <f>'UPAD-BAHAN-ALAT'!$I$13</f>
        <v>140000</v>
      </c>
      <c r="G4504" s="248">
        <f>F4504*E4504</f>
        <v>336000</v>
      </c>
    </row>
    <row r="4505" spans="1:8">
      <c r="A4505" s="294"/>
      <c r="B4505" s="410" t="s">
        <v>751</v>
      </c>
      <c r="C4505" s="247" t="s">
        <v>681</v>
      </c>
      <c r="D4505" s="247" t="s">
        <v>675</v>
      </c>
      <c r="E4505" s="372">
        <v>0.24</v>
      </c>
      <c r="F4505" s="360">
        <f>'UPAD-BAHAN-ALAT'!$I$15</f>
        <v>150000</v>
      </c>
      <c r="G4505" s="248">
        <f>F4505*E4505</f>
        <v>36000</v>
      </c>
    </row>
    <row r="4506" spans="1:8">
      <c r="A4506" s="294"/>
      <c r="B4506" s="410" t="s">
        <v>683</v>
      </c>
      <c r="C4506" s="247" t="s">
        <v>684</v>
      </c>
      <c r="D4506" s="247" t="s">
        <v>675</v>
      </c>
      <c r="E4506" s="372">
        <v>0.04</v>
      </c>
      <c r="F4506" s="360">
        <f>'UPAD-BAHAN-ALAT'!$I$14</f>
        <v>140000</v>
      </c>
      <c r="G4506" s="248">
        <f>F4506*E4506</f>
        <v>5600</v>
      </c>
    </row>
    <row r="4507" spans="1:8">
      <c r="A4507" s="294"/>
      <c r="B4507" s="410"/>
      <c r="C4507" s="247"/>
      <c r="D4507" s="247"/>
      <c r="E4507" s="1146" t="s">
        <v>685</v>
      </c>
      <c r="F4507" s="1146"/>
      <c r="G4507" s="248">
        <f>SUM(G4503:G4506)</f>
        <v>465600</v>
      </c>
    </row>
    <row r="4508" spans="1:8">
      <c r="A4508" s="294" t="s">
        <v>686</v>
      </c>
      <c r="B4508" s="410" t="s">
        <v>687</v>
      </c>
      <c r="C4508" s="247"/>
      <c r="D4508" s="247"/>
      <c r="E4508" s="372"/>
      <c r="F4508" s="360"/>
      <c r="G4508" s="248"/>
    </row>
    <row r="4509" spans="1:8">
      <c r="A4509" s="294"/>
      <c r="B4509" s="410" t="s">
        <v>1270</v>
      </c>
      <c r="C4509" s="247"/>
      <c r="D4509" s="247" t="s">
        <v>2646</v>
      </c>
      <c r="E4509" s="372">
        <v>2.4E-2</v>
      </c>
      <c r="F4509" s="429">
        <f>'UPAD-BAHAN-ALAT'!$I$95</f>
        <v>6825000</v>
      </c>
      <c r="G4509" s="248">
        <f>F4509*E4509</f>
        <v>163800</v>
      </c>
    </row>
    <row r="4510" spans="1:8">
      <c r="A4510" s="294"/>
      <c r="B4510" s="410" t="s">
        <v>1268</v>
      </c>
      <c r="C4510" s="247"/>
      <c r="D4510" s="247" t="s">
        <v>690</v>
      </c>
      <c r="E4510" s="372">
        <v>0.3</v>
      </c>
      <c r="F4510" s="624">
        <f>'UPAD-BAHAN-ALAT'!$I$97</f>
        <v>22000</v>
      </c>
      <c r="G4510" s="248">
        <f>F4510*E4510</f>
        <v>6600</v>
      </c>
    </row>
    <row r="4511" spans="1:8">
      <c r="A4511" s="294"/>
      <c r="B4511" s="295"/>
      <c r="C4511" s="296"/>
      <c r="D4511" s="296"/>
      <c r="E4511" s="1146" t="s">
        <v>702</v>
      </c>
      <c r="F4511" s="1146"/>
      <c r="G4511" s="248">
        <f>SUM(G4509:G4510)</f>
        <v>170400</v>
      </c>
    </row>
    <row r="4512" spans="1:8" s="265" customFormat="1">
      <c r="A4512" s="294" t="s">
        <v>703</v>
      </c>
      <c r="B4512" s="1147" t="s">
        <v>3910</v>
      </c>
      <c r="C4512" s="1147"/>
      <c r="D4512" s="1147"/>
      <c r="E4512" s="1147"/>
      <c r="F4512" s="1147"/>
      <c r="G4512" s="255">
        <f>G4507+G4511</f>
        <v>636000</v>
      </c>
    </row>
    <row r="4513" spans="1:8" s="265" customFormat="1">
      <c r="A4513" s="294" t="s">
        <v>706</v>
      </c>
      <c r="B4513" s="1148" t="s">
        <v>876</v>
      </c>
      <c r="C4513" s="1148"/>
      <c r="D4513" s="1148"/>
      <c r="E4513" s="1147" t="s">
        <v>4030</v>
      </c>
      <c r="F4513" s="1147"/>
      <c r="G4513" s="255">
        <f>G4512*0.15</f>
        <v>95400</v>
      </c>
    </row>
    <row r="4514" spans="1:8" s="265" customFormat="1">
      <c r="A4514" s="294" t="s">
        <v>708</v>
      </c>
      <c r="B4514" s="1149" t="s">
        <v>3911</v>
      </c>
      <c r="C4514" s="1149"/>
      <c r="D4514" s="1149"/>
      <c r="E4514" s="1149"/>
      <c r="F4514" s="1149"/>
      <c r="G4514" s="255">
        <f>ROUND(SUM(G4512:G4513),2)</f>
        <v>731400</v>
      </c>
      <c r="H4514" s="255">
        <f>SUM(G4512:G4513)</f>
        <v>731400</v>
      </c>
    </row>
    <row r="4515" spans="1:8">
      <c r="A4515" s="268"/>
      <c r="B4515" s="269"/>
      <c r="C4515" s="268"/>
      <c r="D4515" s="268"/>
      <c r="E4515" s="380"/>
      <c r="F4515" s="365"/>
      <c r="G4515" s="270"/>
    </row>
    <row r="4516" spans="1:8">
      <c r="A4516" s="285" t="s">
        <v>4268</v>
      </c>
      <c r="B4516" s="250" t="s">
        <v>3572</v>
      </c>
      <c r="C4516" s="252"/>
      <c r="D4516" s="252"/>
      <c r="E4516" s="374"/>
      <c r="F4516" s="361"/>
      <c r="G4516" s="253"/>
    </row>
    <row r="4517" spans="1:8" s="292" customFormat="1" ht="24.95" customHeight="1">
      <c r="A4517" s="290" t="s">
        <v>1003</v>
      </c>
      <c r="B4517" s="290" t="s">
        <v>1004</v>
      </c>
      <c r="C4517" s="290" t="s">
        <v>1005</v>
      </c>
      <c r="D4517" s="290" t="s">
        <v>1006</v>
      </c>
      <c r="E4517" s="373" t="s">
        <v>1007</v>
      </c>
      <c r="F4517" s="363" t="s">
        <v>2637</v>
      </c>
      <c r="G4517" s="291" t="s">
        <v>2638</v>
      </c>
    </row>
    <row r="4518" spans="1:8">
      <c r="A4518" s="294" t="s">
        <v>671</v>
      </c>
      <c r="B4518" s="410" t="s">
        <v>672</v>
      </c>
      <c r="C4518" s="247"/>
      <c r="D4518" s="247"/>
      <c r="E4518" s="372"/>
      <c r="F4518" s="360"/>
      <c r="G4518" s="248"/>
    </row>
    <row r="4519" spans="1:8">
      <c r="A4519" s="294"/>
      <c r="B4519" s="410" t="s">
        <v>673</v>
      </c>
      <c r="C4519" s="247" t="s">
        <v>674</v>
      </c>
      <c r="D4519" s="247" t="s">
        <v>675</v>
      </c>
      <c r="E4519" s="372">
        <v>1</v>
      </c>
      <c r="F4519" s="360">
        <f>'UPAD-BAHAN-ALAT'!$I$12</f>
        <v>110000</v>
      </c>
      <c r="G4519" s="248">
        <f>F4519*E4519</f>
        <v>110000</v>
      </c>
    </row>
    <row r="4520" spans="1:8">
      <c r="A4520" s="294"/>
      <c r="B4520" s="410" t="s">
        <v>871</v>
      </c>
      <c r="C4520" s="247" t="s">
        <v>678</v>
      </c>
      <c r="D4520" s="247" t="s">
        <v>675</v>
      </c>
      <c r="E4520" s="372">
        <v>3</v>
      </c>
      <c r="F4520" s="360">
        <f>'UPAD-BAHAN-ALAT'!$I$13</f>
        <v>140000</v>
      </c>
      <c r="G4520" s="248">
        <f>F4520*E4520</f>
        <v>420000</v>
      </c>
    </row>
    <row r="4521" spans="1:8">
      <c r="A4521" s="294"/>
      <c r="B4521" s="410" t="s">
        <v>751</v>
      </c>
      <c r="C4521" s="247" t="s">
        <v>681</v>
      </c>
      <c r="D4521" s="247" t="s">
        <v>675</v>
      </c>
      <c r="E4521" s="372">
        <v>0.3</v>
      </c>
      <c r="F4521" s="360">
        <f>'UPAD-BAHAN-ALAT'!$I$15</f>
        <v>150000</v>
      </c>
      <c r="G4521" s="248">
        <f>F4521*E4521</f>
        <v>45000</v>
      </c>
    </row>
    <row r="4522" spans="1:8">
      <c r="A4522" s="294"/>
      <c r="B4522" s="410" t="s">
        <v>683</v>
      </c>
      <c r="C4522" s="247" t="s">
        <v>684</v>
      </c>
      <c r="D4522" s="247" t="s">
        <v>675</v>
      </c>
      <c r="E4522" s="372">
        <v>0.05</v>
      </c>
      <c r="F4522" s="360">
        <f>'UPAD-BAHAN-ALAT'!$I$14</f>
        <v>140000</v>
      </c>
      <c r="G4522" s="248">
        <f>F4522*E4522</f>
        <v>7000</v>
      </c>
    </row>
    <row r="4523" spans="1:8">
      <c r="A4523" s="294"/>
      <c r="B4523" s="410"/>
      <c r="C4523" s="247"/>
      <c r="D4523" s="247"/>
      <c r="E4523" s="1146" t="s">
        <v>685</v>
      </c>
      <c r="F4523" s="1146"/>
      <c r="G4523" s="248">
        <f>SUM(G4519:G4522)</f>
        <v>582000</v>
      </c>
    </row>
    <row r="4524" spans="1:8">
      <c r="A4524" s="294" t="s">
        <v>686</v>
      </c>
      <c r="B4524" s="410" t="s">
        <v>687</v>
      </c>
      <c r="C4524" s="247"/>
      <c r="D4524" s="247"/>
      <c r="E4524" s="372"/>
      <c r="F4524" s="360"/>
      <c r="G4524" s="248"/>
    </row>
    <row r="4525" spans="1:8">
      <c r="A4525" s="294"/>
      <c r="B4525" s="410" t="s">
        <v>1270</v>
      </c>
      <c r="C4525" s="247"/>
      <c r="D4525" s="247" t="s">
        <v>2646</v>
      </c>
      <c r="E4525" s="372">
        <v>6.4000000000000001E-2</v>
      </c>
      <c r="F4525" s="429">
        <f>'UPAD-BAHAN-ALAT'!$I$95</f>
        <v>6825000</v>
      </c>
      <c r="G4525" s="248">
        <f>F4525*E4525</f>
        <v>436800</v>
      </c>
    </row>
    <row r="4526" spans="1:8">
      <c r="A4526" s="294"/>
      <c r="B4526" s="410" t="s">
        <v>1268</v>
      </c>
      <c r="C4526" s="247"/>
      <c r="D4526" s="247" t="s">
        <v>690</v>
      </c>
      <c r="E4526" s="372">
        <v>0.5</v>
      </c>
      <c r="F4526" s="624">
        <f>'UPAD-BAHAN-ALAT'!$I$97</f>
        <v>22000</v>
      </c>
      <c r="G4526" s="248">
        <f>F4526*E4526</f>
        <v>11000</v>
      </c>
    </row>
    <row r="4527" spans="1:8">
      <c r="A4527" s="294"/>
      <c r="B4527" s="410"/>
      <c r="C4527" s="247"/>
      <c r="D4527" s="247"/>
      <c r="E4527" s="1144" t="s">
        <v>702</v>
      </c>
      <c r="F4527" s="1144"/>
      <c r="G4527" s="248">
        <f>SUM(G4525:G4526)</f>
        <v>447800</v>
      </c>
    </row>
    <row r="4528" spans="1:8" s="265" customFormat="1">
      <c r="A4528" s="294" t="s">
        <v>703</v>
      </c>
      <c r="B4528" s="1147" t="s">
        <v>3910</v>
      </c>
      <c r="C4528" s="1147"/>
      <c r="D4528" s="1147"/>
      <c r="E4528" s="1147"/>
      <c r="F4528" s="1147"/>
      <c r="G4528" s="255">
        <f>G4523+G4527</f>
        <v>1029800</v>
      </c>
    </row>
    <row r="4529" spans="1:8" s="265" customFormat="1">
      <c r="A4529" s="294" t="s">
        <v>706</v>
      </c>
      <c r="B4529" s="1148" t="s">
        <v>876</v>
      </c>
      <c r="C4529" s="1148"/>
      <c r="D4529" s="1148"/>
      <c r="E4529" s="1147" t="s">
        <v>4030</v>
      </c>
      <c r="F4529" s="1147"/>
      <c r="G4529" s="255">
        <f>G4528*0.15</f>
        <v>154470</v>
      </c>
    </row>
    <row r="4530" spans="1:8" s="265" customFormat="1">
      <c r="A4530" s="294" t="s">
        <v>708</v>
      </c>
      <c r="B4530" s="1147" t="s">
        <v>3911</v>
      </c>
      <c r="C4530" s="1147"/>
      <c r="D4530" s="1147"/>
      <c r="E4530" s="1147"/>
      <c r="F4530" s="1147"/>
      <c r="G4530" s="255">
        <f>ROUND(SUM(G4528:G4529),2)</f>
        <v>1184270</v>
      </c>
      <c r="H4530" s="255">
        <f>SUM(G4528:G4529)</f>
        <v>1184270</v>
      </c>
    </row>
    <row r="4532" spans="1:8">
      <c r="A4532" s="600" t="s">
        <v>4269</v>
      </c>
      <c r="B4532" s="265" t="s">
        <v>2765</v>
      </c>
    </row>
    <row r="4533" spans="1:8" s="292" customFormat="1" ht="24.95" customHeight="1">
      <c r="A4533" s="290" t="s">
        <v>1003</v>
      </c>
      <c r="B4533" s="293" t="s">
        <v>1004</v>
      </c>
      <c r="C4533" s="293" t="s">
        <v>1005</v>
      </c>
      <c r="D4533" s="293" t="s">
        <v>1006</v>
      </c>
      <c r="E4533" s="379" t="s">
        <v>1007</v>
      </c>
      <c r="F4533" s="389" t="s">
        <v>2637</v>
      </c>
      <c r="G4533" s="291" t="s">
        <v>2638</v>
      </c>
    </row>
    <row r="4534" spans="1:8">
      <c r="A4534" s="294" t="s">
        <v>671</v>
      </c>
      <c r="B4534" s="355" t="s">
        <v>672</v>
      </c>
      <c r="C4534" s="283"/>
      <c r="D4534" s="283"/>
      <c r="E4534" s="428"/>
      <c r="F4534" s="624"/>
      <c r="G4534" s="248"/>
    </row>
    <row r="4535" spans="1:8">
      <c r="A4535" s="294"/>
      <c r="B4535" s="355" t="s">
        <v>673</v>
      </c>
      <c r="C4535" s="247" t="s">
        <v>674</v>
      </c>
      <c r="D4535" s="283" t="s">
        <v>675</v>
      </c>
      <c r="E4535" s="428">
        <v>0.7</v>
      </c>
      <c r="F4535" s="360">
        <f>'UPAD-BAHAN-ALAT'!$I$12</f>
        <v>110000</v>
      </c>
      <c r="G4535" s="248">
        <f>F4535*E4535</f>
        <v>77000</v>
      </c>
    </row>
    <row r="4536" spans="1:8">
      <c r="A4536" s="294"/>
      <c r="B4536" s="355" t="s">
        <v>871</v>
      </c>
      <c r="C4536" s="247" t="s">
        <v>678</v>
      </c>
      <c r="D4536" s="283" t="s">
        <v>675</v>
      </c>
      <c r="E4536" s="428">
        <v>2.1</v>
      </c>
      <c r="F4536" s="360">
        <f>'UPAD-BAHAN-ALAT'!$I$13</f>
        <v>140000</v>
      </c>
      <c r="G4536" s="248">
        <f>F4536*E4536</f>
        <v>294000</v>
      </c>
    </row>
    <row r="4537" spans="1:8">
      <c r="A4537" s="294"/>
      <c r="B4537" s="355" t="s">
        <v>751</v>
      </c>
      <c r="C4537" s="247" t="s">
        <v>681</v>
      </c>
      <c r="D4537" s="283" t="s">
        <v>675</v>
      </c>
      <c r="E4537" s="428">
        <v>0.21</v>
      </c>
      <c r="F4537" s="360">
        <f>'UPAD-BAHAN-ALAT'!$I$15</f>
        <v>150000</v>
      </c>
      <c r="G4537" s="248">
        <f>F4537*E4537</f>
        <v>31500</v>
      </c>
    </row>
    <row r="4538" spans="1:8">
      <c r="A4538" s="294"/>
      <c r="B4538" s="355" t="s">
        <v>683</v>
      </c>
      <c r="C4538" s="247" t="s">
        <v>684</v>
      </c>
      <c r="D4538" s="283" t="s">
        <v>675</v>
      </c>
      <c r="E4538" s="428">
        <v>3.5000000000000003E-2</v>
      </c>
      <c r="F4538" s="360">
        <f>'UPAD-BAHAN-ALAT'!$I$14</f>
        <v>140000</v>
      </c>
      <c r="G4538" s="248">
        <f>F4538*E4538</f>
        <v>4900.0000000000009</v>
      </c>
    </row>
    <row r="4539" spans="1:8">
      <c r="A4539" s="294"/>
      <c r="B4539" s="355"/>
      <c r="C4539" s="283"/>
      <c r="D4539" s="283"/>
      <c r="E4539" s="428" t="s">
        <v>685</v>
      </c>
      <c r="F4539" s="663"/>
      <c r="G4539" s="248">
        <f>SUM(G4535:G4538)</f>
        <v>407400</v>
      </c>
    </row>
    <row r="4540" spans="1:8">
      <c r="A4540" s="294" t="s">
        <v>686</v>
      </c>
      <c r="B4540" s="355" t="s">
        <v>687</v>
      </c>
      <c r="C4540" s="283"/>
      <c r="D4540" s="283"/>
      <c r="E4540" s="428"/>
      <c r="F4540" s="624"/>
      <c r="G4540" s="248"/>
    </row>
    <row r="4541" spans="1:8">
      <c r="A4541" s="294"/>
      <c r="B4541" s="355" t="s">
        <v>1270</v>
      </c>
      <c r="C4541" s="283"/>
      <c r="D4541" s="283" t="s">
        <v>2646</v>
      </c>
      <c r="E4541" s="428">
        <v>2.5000000000000001E-2</v>
      </c>
      <c r="F4541" s="429">
        <f>'UPAD-BAHAN-ALAT'!$I$95</f>
        <v>6825000</v>
      </c>
      <c r="G4541" s="248">
        <f>F4541*E4541</f>
        <v>170625</v>
      </c>
    </row>
    <row r="4542" spans="1:8">
      <c r="A4542" s="294"/>
      <c r="B4542" s="355" t="s">
        <v>2654</v>
      </c>
      <c r="C4542" s="283"/>
      <c r="D4542" s="283" t="s">
        <v>773</v>
      </c>
      <c r="E4542" s="428">
        <v>0.03</v>
      </c>
      <c r="F4542" s="360">
        <f>'UPAD-BAHAN-ALAT'!$I$139</f>
        <v>21000</v>
      </c>
      <c r="G4542" s="248">
        <f>F4542*E4542</f>
        <v>630</v>
      </c>
    </row>
    <row r="4543" spans="1:8">
      <c r="A4543" s="294"/>
      <c r="B4543" s="355" t="s">
        <v>1268</v>
      </c>
      <c r="C4543" s="283"/>
      <c r="D4543" s="283" t="s">
        <v>773</v>
      </c>
      <c r="E4543" s="428">
        <v>0.5</v>
      </c>
      <c r="F4543" s="624">
        <f>'UPAD-BAHAN-ALAT'!$I$97</f>
        <v>22000</v>
      </c>
      <c r="G4543" s="248">
        <f>F4543*E4543</f>
        <v>11000</v>
      </c>
    </row>
    <row r="4544" spans="1:8">
      <c r="A4544" s="294"/>
      <c r="B4544" s="729" t="s">
        <v>4270</v>
      </c>
      <c r="C4544" s="283"/>
      <c r="D4544" s="283" t="s">
        <v>888</v>
      </c>
      <c r="E4544" s="428">
        <v>1</v>
      </c>
      <c r="F4544" s="624">
        <f>'UPAD-BAHAN-ALAT'!$I$102</f>
        <v>93500</v>
      </c>
      <c r="G4544" s="248">
        <f>F4544*E4544</f>
        <v>93500</v>
      </c>
    </row>
    <row r="4545" spans="1:8">
      <c r="A4545" s="294"/>
      <c r="B4545" s="355"/>
      <c r="C4545" s="283"/>
      <c r="D4545" s="283"/>
      <c r="E4545" s="428" t="s">
        <v>702</v>
      </c>
      <c r="F4545" s="663"/>
      <c r="G4545" s="248">
        <f>SUM(G4541:G4544)</f>
        <v>275755</v>
      </c>
    </row>
    <row r="4546" spans="1:8" s="265" customFormat="1">
      <c r="A4546" s="294" t="s">
        <v>703</v>
      </c>
      <c r="B4546" s="357" t="s">
        <v>3910</v>
      </c>
      <c r="C4546" s="610"/>
      <c r="D4546" s="610"/>
      <c r="E4546" s="611"/>
      <c r="F4546" s="616"/>
      <c r="G4546" s="255">
        <f>G4539+G4545</f>
        <v>683155</v>
      </c>
    </row>
    <row r="4547" spans="1:8" s="265" customFormat="1">
      <c r="A4547" s="294" t="s">
        <v>706</v>
      </c>
      <c r="B4547" s="617" t="s">
        <v>876</v>
      </c>
      <c r="C4547" s="618"/>
      <c r="D4547" s="618"/>
      <c r="E4547" s="613" t="s">
        <v>4030</v>
      </c>
      <c r="F4547" s="616"/>
      <c r="G4547" s="255">
        <f>G4546*0.15</f>
        <v>102473.25</v>
      </c>
    </row>
    <row r="4548" spans="1:8" s="265" customFormat="1">
      <c r="A4548" s="294" t="s">
        <v>708</v>
      </c>
      <c r="B4548" s="357" t="s">
        <v>3911</v>
      </c>
      <c r="C4548" s="610"/>
      <c r="D4548" s="610"/>
      <c r="E4548" s="611"/>
      <c r="F4548" s="616"/>
      <c r="G4548" s="255">
        <f>ROUND(SUM(G4546:G4547),2)</f>
        <v>785628.25</v>
      </c>
      <c r="H4548" s="255">
        <f>SUM(G4546:G4547)</f>
        <v>785628.25</v>
      </c>
    </row>
    <row r="4549" spans="1:8">
      <c r="A4549" s="268"/>
      <c r="B4549" s="269"/>
      <c r="C4549" s="268"/>
      <c r="D4549" s="268"/>
      <c r="E4549" s="380"/>
      <c r="F4549" s="365"/>
      <c r="G4549" s="270"/>
    </row>
    <row r="4550" spans="1:8">
      <c r="A4550" s="285" t="s">
        <v>4271</v>
      </c>
      <c r="B4550" s="250" t="s">
        <v>3573</v>
      </c>
      <c r="C4550" s="252"/>
      <c r="D4550" s="252"/>
      <c r="E4550" s="374"/>
      <c r="F4550" s="361"/>
      <c r="G4550" s="253"/>
    </row>
    <row r="4551" spans="1:8" s="292" customFormat="1" ht="24.95" customHeight="1">
      <c r="A4551" s="293" t="s">
        <v>1003</v>
      </c>
      <c r="B4551" s="290" t="s">
        <v>1004</v>
      </c>
      <c r="C4551" s="293" t="s">
        <v>1005</v>
      </c>
      <c r="D4551" s="293" t="s">
        <v>1006</v>
      </c>
      <c r="E4551" s="379" t="s">
        <v>1007</v>
      </c>
      <c r="F4551" s="389" t="s">
        <v>2637</v>
      </c>
      <c r="G4551" s="291" t="s">
        <v>2638</v>
      </c>
    </row>
    <row r="4552" spans="1:8">
      <c r="A4552" s="432" t="s">
        <v>671</v>
      </c>
      <c r="B4552" s="410" t="s">
        <v>672</v>
      </c>
      <c r="C4552" s="283"/>
      <c r="D4552" s="283"/>
      <c r="E4552" s="428"/>
      <c r="F4552" s="429"/>
      <c r="G4552" s="632"/>
    </row>
    <row r="4553" spans="1:8">
      <c r="A4553" s="432"/>
      <c r="B4553" s="410" t="s">
        <v>673</v>
      </c>
      <c r="C4553" s="247" t="s">
        <v>674</v>
      </c>
      <c r="D4553" s="283" t="s">
        <v>675</v>
      </c>
      <c r="E4553" s="428">
        <v>0.8</v>
      </c>
      <c r="F4553" s="360">
        <f>'UPAD-BAHAN-ALAT'!$I$12</f>
        <v>110000</v>
      </c>
      <c r="G4553" s="248">
        <f>F4553*E4553</f>
        <v>88000</v>
      </c>
    </row>
    <row r="4554" spans="1:8">
      <c r="A4554" s="432"/>
      <c r="B4554" s="410" t="s">
        <v>871</v>
      </c>
      <c r="C4554" s="247" t="s">
        <v>678</v>
      </c>
      <c r="D4554" s="283" t="s">
        <v>675</v>
      </c>
      <c r="E4554" s="428">
        <v>2.4</v>
      </c>
      <c r="F4554" s="360">
        <f>'UPAD-BAHAN-ALAT'!$I$13</f>
        <v>140000</v>
      </c>
      <c r="G4554" s="248">
        <f>F4554*E4554</f>
        <v>336000</v>
      </c>
    </row>
    <row r="4555" spans="1:8">
      <c r="A4555" s="432"/>
      <c r="B4555" s="410" t="s">
        <v>751</v>
      </c>
      <c r="C4555" s="247" t="s">
        <v>681</v>
      </c>
      <c r="D4555" s="283" t="s">
        <v>675</v>
      </c>
      <c r="E4555" s="428">
        <v>0.24</v>
      </c>
      <c r="F4555" s="360">
        <f>'UPAD-BAHAN-ALAT'!$I$15</f>
        <v>150000</v>
      </c>
      <c r="G4555" s="248">
        <f>F4555*E4555</f>
        <v>36000</v>
      </c>
    </row>
    <row r="4556" spans="1:8">
      <c r="A4556" s="432"/>
      <c r="B4556" s="410" t="s">
        <v>683</v>
      </c>
      <c r="C4556" s="247" t="s">
        <v>684</v>
      </c>
      <c r="D4556" s="283" t="s">
        <v>675</v>
      </c>
      <c r="E4556" s="428">
        <v>0.04</v>
      </c>
      <c r="F4556" s="360">
        <f>'UPAD-BAHAN-ALAT'!$I$14</f>
        <v>140000</v>
      </c>
      <c r="G4556" s="248">
        <f>F4556*E4556</f>
        <v>5600</v>
      </c>
    </row>
    <row r="4557" spans="1:8">
      <c r="A4557" s="432"/>
      <c r="B4557" s="410"/>
      <c r="C4557" s="283"/>
      <c r="D4557" s="283"/>
      <c r="E4557" s="428" t="s">
        <v>685</v>
      </c>
      <c r="F4557" s="429"/>
      <c r="G4557" s="632">
        <f>SUM(G4553:G4556)</f>
        <v>465600</v>
      </c>
    </row>
    <row r="4558" spans="1:8">
      <c r="A4558" s="432" t="s">
        <v>686</v>
      </c>
      <c r="B4558" s="410" t="s">
        <v>687</v>
      </c>
      <c r="C4558" s="288"/>
      <c r="D4558" s="283"/>
      <c r="E4558" s="428"/>
      <c r="F4558" s="429"/>
      <c r="G4558" s="632"/>
    </row>
    <row r="4559" spans="1:8">
      <c r="A4559" s="432"/>
      <c r="B4559" s="410" t="s">
        <v>1270</v>
      </c>
      <c r="C4559" s="288"/>
      <c r="D4559" s="283" t="s">
        <v>2646</v>
      </c>
      <c r="E4559" s="428">
        <v>2.5600000000000001E-2</v>
      </c>
      <c r="F4559" s="429">
        <f>'UPAD-BAHAN-ALAT'!$I$95</f>
        <v>6825000</v>
      </c>
      <c r="G4559" s="248">
        <f>F4559*E4559</f>
        <v>174720</v>
      </c>
    </row>
    <row r="4560" spans="1:8">
      <c r="A4560" s="432"/>
      <c r="B4560" s="256" t="s">
        <v>2654</v>
      </c>
      <c r="C4560" s="288"/>
      <c r="D4560" s="283" t="s">
        <v>773</v>
      </c>
      <c r="E4560" s="428">
        <v>0.03</v>
      </c>
      <c r="F4560" s="360">
        <f>'UPAD-BAHAN-ALAT'!$I$139</f>
        <v>21000</v>
      </c>
      <c r="G4560" s="248">
        <f>F4560*E4560</f>
        <v>630</v>
      </c>
    </row>
    <row r="4561" spans="1:8">
      <c r="A4561" s="283"/>
      <c r="B4561" s="410" t="s">
        <v>1268</v>
      </c>
      <c r="C4561" s="288"/>
      <c r="D4561" s="283" t="s">
        <v>773</v>
      </c>
      <c r="E4561" s="428">
        <v>0.5</v>
      </c>
      <c r="F4561" s="624">
        <f>'UPAD-BAHAN-ALAT'!$I$97</f>
        <v>22000</v>
      </c>
      <c r="G4561" s="248">
        <f>F4561*E4561</f>
        <v>11000</v>
      </c>
    </row>
    <row r="4562" spans="1:8">
      <c r="A4562" s="283"/>
      <c r="B4562" s="730" t="s">
        <v>4019</v>
      </c>
      <c r="C4562" s="288"/>
      <c r="D4562" s="430" t="s">
        <v>888</v>
      </c>
      <c r="E4562" s="431">
        <v>1</v>
      </c>
      <c r="F4562" s="624">
        <f>'UPAD-BAHAN-ALAT'!$I$102</f>
        <v>93500</v>
      </c>
      <c r="G4562" s="248">
        <f>F4562*E4562</f>
        <v>93500</v>
      </c>
    </row>
    <row r="4563" spans="1:8">
      <c r="A4563" s="283"/>
      <c r="B4563" s="410"/>
      <c r="C4563" s="288"/>
      <c r="D4563" s="283"/>
      <c r="E4563" s="428" t="s">
        <v>702</v>
      </c>
      <c r="F4563" s="429"/>
      <c r="G4563" s="632">
        <f>SUM(G4559:G4562)</f>
        <v>279850</v>
      </c>
    </row>
    <row r="4564" spans="1:8" s="265" customFormat="1">
      <c r="A4564" s="432" t="s">
        <v>703</v>
      </c>
      <c r="B4564" s="357" t="s">
        <v>3910</v>
      </c>
      <c r="C4564" s="610"/>
      <c r="D4564" s="610"/>
      <c r="E4564" s="611"/>
      <c r="F4564" s="639"/>
      <c r="G4564" s="631">
        <f>G4557+G4563</f>
        <v>745450</v>
      </c>
    </row>
    <row r="4565" spans="1:8" s="265" customFormat="1">
      <c r="A4565" s="432" t="s">
        <v>706</v>
      </c>
      <c r="B4565" s="617" t="s">
        <v>876</v>
      </c>
      <c r="C4565" s="618"/>
      <c r="D4565" s="633"/>
      <c r="E4565" s="613" t="s">
        <v>4030</v>
      </c>
      <c r="F4565" s="639"/>
      <c r="G4565" s="255">
        <f>G4564*0.15</f>
        <v>111817.5</v>
      </c>
    </row>
    <row r="4566" spans="1:8" s="265" customFormat="1">
      <c r="A4566" s="432" t="s">
        <v>708</v>
      </c>
      <c r="B4566" s="357" t="s">
        <v>3911</v>
      </c>
      <c r="C4566" s="610"/>
      <c r="D4566" s="610"/>
      <c r="E4566" s="611"/>
      <c r="F4566" s="639"/>
      <c r="G4566" s="255">
        <f>ROUND(SUM(G4564:G4565),2)</f>
        <v>857267.5</v>
      </c>
      <c r="H4566" s="631">
        <f>SUM(G4564:G4565)</f>
        <v>857267.5</v>
      </c>
    </row>
    <row r="4568" spans="1:8">
      <c r="A4568" s="286" t="s">
        <v>4272</v>
      </c>
      <c r="B4568" s="265" t="s">
        <v>3574</v>
      </c>
    </row>
    <row r="4569" spans="1:8" s="292" customFormat="1" ht="24.95" customHeight="1">
      <c r="A4569" s="290" t="s">
        <v>1003</v>
      </c>
      <c r="B4569" s="290" t="s">
        <v>1004</v>
      </c>
      <c r="C4569" s="290" t="s">
        <v>1005</v>
      </c>
      <c r="D4569" s="290" t="s">
        <v>1006</v>
      </c>
      <c r="E4569" s="373" t="s">
        <v>1007</v>
      </c>
      <c r="F4569" s="363" t="s">
        <v>2637</v>
      </c>
      <c r="G4569" s="291" t="s">
        <v>2638</v>
      </c>
    </row>
    <row r="4570" spans="1:8">
      <c r="A4570" s="294" t="s">
        <v>671</v>
      </c>
      <c r="B4570" s="410" t="s">
        <v>672</v>
      </c>
      <c r="C4570" s="247"/>
      <c r="D4570" s="247"/>
      <c r="E4570" s="372"/>
      <c r="F4570" s="360"/>
      <c r="G4570" s="248"/>
    </row>
    <row r="4571" spans="1:8">
      <c r="A4571" s="294"/>
      <c r="B4571" s="410" t="s">
        <v>673</v>
      </c>
      <c r="C4571" s="247" t="s">
        <v>674</v>
      </c>
      <c r="D4571" s="247" t="s">
        <v>675</v>
      </c>
      <c r="E4571" s="372">
        <v>0.67</v>
      </c>
      <c r="F4571" s="360">
        <f>'UPAD-BAHAN-ALAT'!$I$12</f>
        <v>110000</v>
      </c>
      <c r="G4571" s="248">
        <f>F4571*E4571</f>
        <v>73700</v>
      </c>
    </row>
    <row r="4572" spans="1:8">
      <c r="A4572" s="294"/>
      <c r="B4572" s="410" t="s">
        <v>871</v>
      </c>
      <c r="C4572" s="247" t="s">
        <v>678</v>
      </c>
      <c r="D4572" s="247" t="s">
        <v>675</v>
      </c>
      <c r="E4572" s="372">
        <v>2</v>
      </c>
      <c r="F4572" s="360">
        <f>'UPAD-BAHAN-ALAT'!$I$13</f>
        <v>140000</v>
      </c>
      <c r="G4572" s="248">
        <f>F4572*E4572</f>
        <v>280000</v>
      </c>
    </row>
    <row r="4573" spans="1:8">
      <c r="A4573" s="294"/>
      <c r="B4573" s="410" t="s">
        <v>751</v>
      </c>
      <c r="C4573" s="247" t="s">
        <v>681</v>
      </c>
      <c r="D4573" s="247" t="s">
        <v>675</v>
      </c>
      <c r="E4573" s="372">
        <v>0.2</v>
      </c>
      <c r="F4573" s="360">
        <f>'UPAD-BAHAN-ALAT'!$I$15</f>
        <v>150000</v>
      </c>
      <c r="G4573" s="248">
        <f>F4573*E4573</f>
        <v>30000</v>
      </c>
    </row>
    <row r="4574" spans="1:8">
      <c r="A4574" s="294"/>
      <c r="B4574" s="410" t="s">
        <v>683</v>
      </c>
      <c r="C4574" s="247" t="s">
        <v>684</v>
      </c>
      <c r="D4574" s="247" t="s">
        <v>675</v>
      </c>
      <c r="E4574" s="372">
        <v>0.33500000000000002</v>
      </c>
      <c r="F4574" s="360">
        <f>'UPAD-BAHAN-ALAT'!$I$14</f>
        <v>140000</v>
      </c>
      <c r="G4574" s="248">
        <f>F4574*E4574</f>
        <v>46900</v>
      </c>
    </row>
    <row r="4575" spans="1:8">
      <c r="A4575" s="294"/>
      <c r="B4575" s="410"/>
      <c r="C4575" s="247"/>
      <c r="D4575" s="247"/>
      <c r="E4575" s="1146" t="s">
        <v>685</v>
      </c>
      <c r="F4575" s="1146"/>
      <c r="G4575" s="248">
        <f>SUM(G4571:G4574)</f>
        <v>430600</v>
      </c>
    </row>
    <row r="4576" spans="1:8">
      <c r="A4576" s="294" t="s">
        <v>686</v>
      </c>
      <c r="B4576" s="410" t="s">
        <v>687</v>
      </c>
      <c r="C4576" s="247"/>
      <c r="D4576" s="247"/>
      <c r="E4576" s="372"/>
      <c r="F4576" s="360"/>
      <c r="G4576" s="248"/>
    </row>
    <row r="4577" spans="1:8">
      <c r="A4577" s="294"/>
      <c r="B4577" s="410" t="s">
        <v>1270</v>
      </c>
      <c r="C4577" s="247"/>
      <c r="D4577" s="247" t="s">
        <v>2646</v>
      </c>
      <c r="E4577" s="372">
        <v>0.06</v>
      </c>
      <c r="F4577" s="429">
        <f>'UPAD-BAHAN-ALAT'!$I$95</f>
        <v>6825000</v>
      </c>
      <c r="G4577" s="248">
        <f>F4577*E4577</f>
        <v>409500</v>
      </c>
    </row>
    <row r="4578" spans="1:8">
      <c r="A4578" s="294"/>
      <c r="B4578" s="410" t="s">
        <v>2657</v>
      </c>
      <c r="C4578" s="247"/>
      <c r="D4578" s="247" t="s">
        <v>773</v>
      </c>
      <c r="E4578" s="372">
        <v>0.15</v>
      </c>
      <c r="F4578" s="360">
        <f>'UPAD-BAHAN-ALAT'!$I$139</f>
        <v>21000</v>
      </c>
      <c r="G4578" s="248">
        <f>F4578*E4578</f>
        <v>3150</v>
      </c>
    </row>
    <row r="4579" spans="1:8">
      <c r="A4579" s="294"/>
      <c r="B4579" s="295"/>
      <c r="C4579" s="296"/>
      <c r="D4579" s="296"/>
      <c r="E4579" s="1146" t="s">
        <v>702</v>
      </c>
      <c r="F4579" s="1146"/>
      <c r="G4579" s="248">
        <f>SUM(G4577:G4578)</f>
        <v>412650</v>
      </c>
    </row>
    <row r="4580" spans="1:8" s="265" customFormat="1">
      <c r="A4580" s="294" t="s">
        <v>703</v>
      </c>
      <c r="B4580" s="1147" t="s">
        <v>3910</v>
      </c>
      <c r="C4580" s="1147"/>
      <c r="D4580" s="1147"/>
      <c r="E4580" s="1147"/>
      <c r="F4580" s="1147"/>
      <c r="G4580" s="255">
        <f>G4575+G4579</f>
        <v>843250</v>
      </c>
    </row>
    <row r="4581" spans="1:8" s="265" customFormat="1">
      <c r="A4581" s="294" t="s">
        <v>706</v>
      </c>
      <c r="B4581" s="1148" t="s">
        <v>876</v>
      </c>
      <c r="C4581" s="1148"/>
      <c r="D4581" s="1148"/>
      <c r="E4581" s="1147" t="s">
        <v>4030</v>
      </c>
      <c r="F4581" s="1147"/>
      <c r="G4581" s="255">
        <f>G4580*0.15</f>
        <v>126487.5</v>
      </c>
    </row>
    <row r="4582" spans="1:8" s="265" customFormat="1">
      <c r="A4582" s="294" t="s">
        <v>708</v>
      </c>
      <c r="B4582" s="1149" t="s">
        <v>3911</v>
      </c>
      <c r="C4582" s="1149"/>
      <c r="D4582" s="1149"/>
      <c r="E4582" s="1149"/>
      <c r="F4582" s="1149"/>
      <c r="G4582" s="255">
        <f>ROUND(SUM(G4580:G4581),2)</f>
        <v>969737.5</v>
      </c>
      <c r="H4582" s="255">
        <f>SUM(G4580:G4581)</f>
        <v>969737.5</v>
      </c>
    </row>
    <row r="4583" spans="1:8">
      <c r="A4583" s="268"/>
      <c r="B4583" s="269"/>
      <c r="C4583" s="268"/>
      <c r="D4583" s="268"/>
      <c r="E4583" s="380"/>
      <c r="F4583" s="365"/>
      <c r="G4583" s="270"/>
    </row>
    <row r="4584" spans="1:8">
      <c r="A4584" s="284" t="s">
        <v>4273</v>
      </c>
      <c r="B4584" s="250" t="s">
        <v>4650</v>
      </c>
      <c r="C4584" s="252"/>
      <c r="D4584" s="252"/>
      <c r="E4584" s="374"/>
      <c r="F4584" s="361"/>
      <c r="G4584" s="253"/>
    </row>
    <row r="4585" spans="1:8" s="292" customFormat="1" ht="24.95" customHeight="1">
      <c r="A4585" s="290" t="s">
        <v>1003</v>
      </c>
      <c r="B4585" s="293" t="s">
        <v>1004</v>
      </c>
      <c r="C4585" s="293" t="s">
        <v>1005</v>
      </c>
      <c r="D4585" s="290" t="s">
        <v>1006</v>
      </c>
      <c r="E4585" s="373" t="s">
        <v>1007</v>
      </c>
      <c r="F4585" s="363" t="s">
        <v>2637</v>
      </c>
      <c r="G4585" s="291" t="s">
        <v>2638</v>
      </c>
    </row>
    <row r="4586" spans="1:8">
      <c r="A4586" s="294" t="s">
        <v>671</v>
      </c>
      <c r="B4586" s="355" t="s">
        <v>672</v>
      </c>
      <c r="C4586" s="283"/>
      <c r="D4586" s="247"/>
      <c r="E4586" s="372"/>
      <c r="F4586" s="360"/>
      <c r="G4586" s="248"/>
    </row>
    <row r="4587" spans="1:8">
      <c r="A4587" s="294"/>
      <c r="B4587" s="355" t="s">
        <v>673</v>
      </c>
      <c r="C4587" s="247" t="s">
        <v>674</v>
      </c>
      <c r="D4587" s="247" t="s">
        <v>675</v>
      </c>
      <c r="E4587" s="372">
        <v>0.8</v>
      </c>
      <c r="F4587" s="360">
        <f>'UPAD-BAHAN-ALAT'!$I$12</f>
        <v>110000</v>
      </c>
      <c r="G4587" s="248">
        <f>F4587*E4587</f>
        <v>88000</v>
      </c>
    </row>
    <row r="4588" spans="1:8">
      <c r="A4588" s="294"/>
      <c r="B4588" s="355" t="s">
        <v>871</v>
      </c>
      <c r="C4588" s="247" t="s">
        <v>678</v>
      </c>
      <c r="D4588" s="247" t="s">
        <v>675</v>
      </c>
      <c r="E4588" s="372">
        <v>2.4</v>
      </c>
      <c r="F4588" s="360">
        <f>'UPAD-BAHAN-ALAT'!$I$13</f>
        <v>140000</v>
      </c>
      <c r="G4588" s="248">
        <f>F4588*E4588</f>
        <v>336000</v>
      </c>
    </row>
    <row r="4589" spans="1:8">
      <c r="A4589" s="294"/>
      <c r="B4589" s="355" t="s">
        <v>751</v>
      </c>
      <c r="C4589" s="247" t="s">
        <v>681</v>
      </c>
      <c r="D4589" s="247" t="s">
        <v>675</v>
      </c>
      <c r="E4589" s="372">
        <v>0.24</v>
      </c>
      <c r="F4589" s="360">
        <f>'UPAD-BAHAN-ALAT'!$I$15</f>
        <v>150000</v>
      </c>
      <c r="G4589" s="248">
        <f>F4589*E4589</f>
        <v>36000</v>
      </c>
    </row>
    <row r="4590" spans="1:8">
      <c r="A4590" s="294"/>
      <c r="B4590" s="355" t="s">
        <v>683</v>
      </c>
      <c r="C4590" s="247" t="s">
        <v>684</v>
      </c>
      <c r="D4590" s="247" t="s">
        <v>675</v>
      </c>
      <c r="E4590" s="372">
        <v>0.04</v>
      </c>
      <c r="F4590" s="360">
        <f>'UPAD-BAHAN-ALAT'!$I$14</f>
        <v>140000</v>
      </c>
      <c r="G4590" s="248">
        <f>F4590*E4590</f>
        <v>5600</v>
      </c>
    </row>
    <row r="4591" spans="1:8">
      <c r="A4591" s="294"/>
      <c r="B4591" s="355"/>
      <c r="C4591" s="662"/>
      <c r="D4591" s="247"/>
      <c r="E4591" s="428" t="s">
        <v>685</v>
      </c>
      <c r="F4591" s="390"/>
      <c r="G4591" s="248">
        <f>SUM(G4587:G4590)</f>
        <v>465600</v>
      </c>
    </row>
    <row r="4592" spans="1:8">
      <c r="A4592" s="294" t="s">
        <v>686</v>
      </c>
      <c r="B4592" s="355" t="s">
        <v>687</v>
      </c>
      <c r="C4592" s="665"/>
      <c r="D4592" s="247"/>
      <c r="E4592" s="372"/>
      <c r="F4592" s="360"/>
      <c r="G4592" s="248"/>
    </row>
    <row r="4593" spans="1:8">
      <c r="A4593" s="294"/>
      <c r="B4593" s="355" t="s">
        <v>1270</v>
      </c>
      <c r="C4593" s="665"/>
      <c r="D4593" s="247" t="s">
        <v>2646</v>
      </c>
      <c r="E4593" s="372">
        <v>2.5000000000000001E-2</v>
      </c>
      <c r="F4593" s="360">
        <f>'UPAD-BAHAN-ALAT'!$I$94</f>
        <v>10500000</v>
      </c>
      <c r="G4593" s="248">
        <f>F4593*E4593</f>
        <v>262500</v>
      </c>
    </row>
    <row r="4594" spans="1:8">
      <c r="A4594" s="294"/>
      <c r="B4594" s="355" t="s">
        <v>2657</v>
      </c>
      <c r="C4594" s="665"/>
      <c r="D4594" s="247" t="s">
        <v>773</v>
      </c>
      <c r="E4594" s="372">
        <v>0.03</v>
      </c>
      <c r="F4594" s="360">
        <f>'UPAD-BAHAN-ALAT'!$I$139</f>
        <v>21000</v>
      </c>
      <c r="G4594" s="248">
        <f>F4594*E4594</f>
        <v>630</v>
      </c>
    </row>
    <row r="4595" spans="1:8">
      <c r="A4595" s="294"/>
      <c r="B4595" s="355" t="s">
        <v>1268</v>
      </c>
      <c r="C4595" s="665"/>
      <c r="D4595" s="247" t="s">
        <v>773</v>
      </c>
      <c r="E4595" s="372">
        <v>0.3</v>
      </c>
      <c r="F4595" s="624">
        <f>'UPAD-BAHAN-ALAT'!$I$97</f>
        <v>22000</v>
      </c>
      <c r="G4595" s="248">
        <f>F4595*E4595</f>
        <v>6600</v>
      </c>
    </row>
    <row r="4596" spans="1:8">
      <c r="A4596" s="294"/>
      <c r="B4596" s="614" t="s">
        <v>3494</v>
      </c>
      <c r="C4596" s="665"/>
      <c r="D4596" s="257" t="s">
        <v>888</v>
      </c>
      <c r="E4596" s="375">
        <v>1</v>
      </c>
      <c r="F4596" s="624">
        <f>'UPAD-BAHAN-ALAT'!$I$102</f>
        <v>93500</v>
      </c>
      <c r="G4596" s="248">
        <f>F4596*E4596</f>
        <v>93500</v>
      </c>
    </row>
    <row r="4597" spans="1:8">
      <c r="A4597" s="247"/>
      <c r="B4597" s="355"/>
      <c r="C4597" s="662"/>
      <c r="D4597" s="665"/>
      <c r="E4597" s="428" t="s">
        <v>702</v>
      </c>
      <c r="F4597" s="390"/>
      <c r="G4597" s="248">
        <f>SUM(G4593:G4596)</f>
        <v>363230</v>
      </c>
    </row>
    <row r="4598" spans="1:8" s="265" customFormat="1">
      <c r="A4598" s="294" t="s">
        <v>703</v>
      </c>
      <c r="B4598" s="357" t="s">
        <v>3910</v>
      </c>
      <c r="C4598" s="666"/>
      <c r="D4598" s="666"/>
      <c r="E4598" s="731"/>
      <c r="F4598" s="612"/>
      <c r="G4598" s="255">
        <f>G4591+G4597</f>
        <v>828830</v>
      </c>
    </row>
    <row r="4599" spans="1:8" s="265" customFormat="1">
      <c r="A4599" s="294" t="s">
        <v>706</v>
      </c>
      <c r="B4599" s="617" t="s">
        <v>876</v>
      </c>
      <c r="C4599" s="667"/>
      <c r="D4599" s="667"/>
      <c r="E4599" s="731" t="s">
        <v>4030</v>
      </c>
      <c r="F4599" s="612"/>
      <c r="G4599" s="255">
        <f>G4598*0.15</f>
        <v>124324.5</v>
      </c>
    </row>
    <row r="4600" spans="1:8" s="265" customFormat="1">
      <c r="A4600" s="294" t="s">
        <v>708</v>
      </c>
      <c r="B4600" s="357" t="s">
        <v>3911</v>
      </c>
      <c r="C4600" s="666"/>
      <c r="D4600" s="666"/>
      <c r="E4600" s="731"/>
      <c r="F4600" s="612"/>
      <c r="G4600" s="255">
        <f>ROUND(SUM(G4598:G4599),2)</f>
        <v>953154.5</v>
      </c>
      <c r="H4600" s="255">
        <f>SUM(G4598:G4599)</f>
        <v>953154.5</v>
      </c>
    </row>
    <row r="4602" spans="1:8">
      <c r="A4602" s="286" t="s">
        <v>4274</v>
      </c>
      <c r="B4602" s="265" t="s">
        <v>4722</v>
      </c>
    </row>
    <row r="4603" spans="1:8" s="292" customFormat="1" ht="24.95" customHeight="1">
      <c r="A4603" s="290" t="s">
        <v>1003</v>
      </c>
      <c r="B4603" s="293" t="s">
        <v>1004</v>
      </c>
      <c r="C4603" s="293" t="s">
        <v>1005</v>
      </c>
      <c r="D4603" s="293" t="s">
        <v>1006</v>
      </c>
      <c r="E4603" s="379" t="s">
        <v>1007</v>
      </c>
      <c r="F4603" s="389" t="s">
        <v>2637</v>
      </c>
      <c r="G4603" s="291" t="s">
        <v>2638</v>
      </c>
    </row>
    <row r="4604" spans="1:8">
      <c r="A4604" s="294" t="s">
        <v>671</v>
      </c>
      <c r="B4604" s="355" t="s">
        <v>672</v>
      </c>
      <c r="C4604" s="283"/>
      <c r="D4604" s="283"/>
      <c r="E4604" s="428"/>
      <c r="F4604" s="624"/>
      <c r="G4604" s="248"/>
    </row>
    <row r="4605" spans="1:8">
      <c r="A4605" s="294"/>
      <c r="B4605" s="355" t="s">
        <v>673</v>
      </c>
      <c r="C4605" s="247" t="s">
        <v>674</v>
      </c>
      <c r="D4605" s="283" t="s">
        <v>675</v>
      </c>
      <c r="E4605" s="428">
        <v>0.85</v>
      </c>
      <c r="F4605" s="360">
        <f>'UPAD-BAHAN-ALAT'!$I$12</f>
        <v>110000</v>
      </c>
      <c r="G4605" s="248">
        <f>F4605*E4605</f>
        <v>93500</v>
      </c>
    </row>
    <row r="4606" spans="1:8">
      <c r="A4606" s="294"/>
      <c r="B4606" s="355" t="s">
        <v>871</v>
      </c>
      <c r="C4606" s="247" t="s">
        <v>678</v>
      </c>
      <c r="D4606" s="283" t="s">
        <v>675</v>
      </c>
      <c r="E4606" s="428">
        <v>2.5499999999999998</v>
      </c>
      <c r="F4606" s="360">
        <f>'UPAD-BAHAN-ALAT'!$I$13</f>
        <v>140000</v>
      </c>
      <c r="G4606" s="248">
        <f>F4606*E4606</f>
        <v>357000</v>
      </c>
    </row>
    <row r="4607" spans="1:8">
      <c r="A4607" s="294"/>
      <c r="B4607" s="355" t="s">
        <v>751</v>
      </c>
      <c r="C4607" s="247" t="s">
        <v>681</v>
      </c>
      <c r="D4607" s="283" t="s">
        <v>675</v>
      </c>
      <c r="E4607" s="428">
        <v>0.255</v>
      </c>
      <c r="F4607" s="360">
        <f>'UPAD-BAHAN-ALAT'!$I$15</f>
        <v>150000</v>
      </c>
      <c r="G4607" s="248">
        <f>F4607*E4607</f>
        <v>38250</v>
      </c>
    </row>
    <row r="4608" spans="1:8">
      <c r="A4608" s="294"/>
      <c r="B4608" s="355" t="s">
        <v>683</v>
      </c>
      <c r="C4608" s="247" t="s">
        <v>684</v>
      </c>
      <c r="D4608" s="283" t="s">
        <v>675</v>
      </c>
      <c r="E4608" s="428">
        <v>4.2999999999999997E-2</v>
      </c>
      <c r="F4608" s="360">
        <f>'UPAD-BAHAN-ALAT'!$I$14</f>
        <v>140000</v>
      </c>
      <c r="G4608" s="248">
        <f>F4608*E4608</f>
        <v>6019.9999999999991</v>
      </c>
    </row>
    <row r="4609" spans="1:8">
      <c r="A4609" s="294"/>
      <c r="B4609" s="355"/>
      <c r="C4609" s="283"/>
      <c r="D4609" s="283"/>
      <c r="E4609" s="428" t="s">
        <v>685</v>
      </c>
      <c r="F4609" s="663"/>
      <c r="G4609" s="248">
        <f>SUM(G4605:G4608)</f>
        <v>494770</v>
      </c>
    </row>
    <row r="4610" spans="1:8">
      <c r="A4610" s="294" t="s">
        <v>686</v>
      </c>
      <c r="B4610" s="355" t="s">
        <v>687</v>
      </c>
      <c r="C4610" s="283"/>
      <c r="D4610" s="283"/>
      <c r="E4610" s="428"/>
      <c r="F4610" s="624"/>
      <c r="G4610" s="248"/>
    </row>
    <row r="4611" spans="1:8">
      <c r="A4611" s="294"/>
      <c r="B4611" s="355" t="s">
        <v>1270</v>
      </c>
      <c r="C4611" s="283"/>
      <c r="D4611" s="283" t="s">
        <v>2646</v>
      </c>
      <c r="E4611" s="428">
        <v>2.5000000000000001E-2</v>
      </c>
      <c r="F4611" s="624">
        <f>'UPAD-BAHAN-ALAT'!$I$95</f>
        <v>6825000</v>
      </c>
      <c r="G4611" s="248">
        <f>F4611*E4611</f>
        <v>170625</v>
      </c>
    </row>
    <row r="4612" spans="1:8">
      <c r="A4612" s="294"/>
      <c r="B4612" s="355" t="s">
        <v>2657</v>
      </c>
      <c r="C4612" s="283"/>
      <c r="D4612" s="283" t="s">
        <v>773</v>
      </c>
      <c r="E4612" s="428">
        <v>0.03</v>
      </c>
      <c r="F4612" s="360">
        <f>'UPAD-BAHAN-ALAT'!$I$139</f>
        <v>21000</v>
      </c>
      <c r="G4612" s="248">
        <f>F4612*E4612</f>
        <v>630</v>
      </c>
    </row>
    <row r="4613" spans="1:8">
      <c r="A4613" s="294"/>
      <c r="B4613" s="355" t="s">
        <v>1268</v>
      </c>
      <c r="C4613" s="283"/>
      <c r="D4613" s="283" t="s">
        <v>773</v>
      </c>
      <c r="E4613" s="428">
        <v>0.8</v>
      </c>
      <c r="F4613" s="624">
        <f>'UPAD-BAHAN-ALAT'!$I$97</f>
        <v>22000</v>
      </c>
      <c r="G4613" s="248">
        <f>F4613*E4613</f>
        <v>17600</v>
      </c>
    </row>
    <row r="4614" spans="1:8">
      <c r="A4614" s="294"/>
      <c r="B4614" s="614" t="s">
        <v>3494</v>
      </c>
      <c r="C4614" s="283"/>
      <c r="D4614" s="430" t="s">
        <v>888</v>
      </c>
      <c r="E4614" s="431">
        <v>1</v>
      </c>
      <c r="F4614" s="624">
        <f>'UPAD-BAHAN-ALAT'!$I$102</f>
        <v>93500</v>
      </c>
      <c r="G4614" s="248">
        <f>F4614*E4614</f>
        <v>93500</v>
      </c>
    </row>
    <row r="4615" spans="1:8">
      <c r="A4615" s="294"/>
      <c r="B4615" s="355" t="s">
        <v>1289</v>
      </c>
      <c r="C4615" s="283"/>
      <c r="D4615" s="283" t="s">
        <v>888</v>
      </c>
      <c r="E4615" s="428">
        <v>0.5</v>
      </c>
      <c r="F4615" s="624">
        <f>'UPAD-BAHAN-ALAT'!$I$108</f>
        <v>125000</v>
      </c>
      <c r="G4615" s="248">
        <f>F4615*E4615</f>
        <v>62500</v>
      </c>
    </row>
    <row r="4616" spans="1:8">
      <c r="A4616" s="247"/>
      <c r="B4616" s="355"/>
      <c r="C4616" s="283"/>
      <c r="D4616" s="283"/>
      <c r="E4616" s="428" t="s">
        <v>702</v>
      </c>
      <c r="F4616" s="663"/>
      <c r="G4616" s="248">
        <f>SUM(G4611:G4615)</f>
        <v>344855</v>
      </c>
    </row>
    <row r="4617" spans="1:8" s="265" customFormat="1">
      <c r="A4617" s="294" t="s">
        <v>703</v>
      </c>
      <c r="B4617" s="357" t="s">
        <v>3910</v>
      </c>
      <c r="C4617" s="610"/>
      <c r="D4617" s="610"/>
      <c r="E4617" s="611"/>
      <c r="F4617" s="616"/>
      <c r="G4617" s="255">
        <f>G4609+G4616</f>
        <v>839625</v>
      </c>
    </row>
    <row r="4618" spans="1:8" s="265" customFormat="1">
      <c r="A4618" s="294" t="s">
        <v>706</v>
      </c>
      <c r="B4618" s="617" t="s">
        <v>876</v>
      </c>
      <c r="C4618" s="618"/>
      <c r="D4618" s="618"/>
      <c r="E4618" s="613" t="s">
        <v>4030</v>
      </c>
      <c r="F4618" s="616"/>
      <c r="G4618" s="255">
        <f>G4617*0.15</f>
        <v>125943.75</v>
      </c>
    </row>
    <row r="4619" spans="1:8" s="265" customFormat="1">
      <c r="A4619" s="294" t="s">
        <v>708</v>
      </c>
      <c r="B4619" s="357" t="s">
        <v>3911</v>
      </c>
      <c r="C4619" s="610"/>
      <c r="D4619" s="610"/>
      <c r="E4619" s="611"/>
      <c r="F4619" s="616"/>
      <c r="G4619" s="255">
        <f>ROUND(SUM(G4617:G4618),2)</f>
        <v>965568.75</v>
      </c>
      <c r="H4619" s="255">
        <f>SUM(G4617:G4618)</f>
        <v>965568.75</v>
      </c>
    </row>
    <row r="4620" spans="1:8">
      <c r="A4620" s="268"/>
      <c r="B4620" s="269"/>
      <c r="C4620" s="268"/>
      <c r="D4620" s="268"/>
      <c r="E4620" s="380"/>
      <c r="F4620" s="365"/>
      <c r="G4620" s="270"/>
    </row>
    <row r="4621" spans="1:8">
      <c r="A4621" s="284" t="s">
        <v>4275</v>
      </c>
      <c r="B4621" s="250" t="s">
        <v>3575</v>
      </c>
      <c r="C4621" s="252"/>
      <c r="D4621" s="252"/>
      <c r="E4621" s="374"/>
      <c r="F4621" s="361"/>
      <c r="G4621" s="253"/>
    </row>
    <row r="4622" spans="1:8" s="292" customFormat="1" ht="24.95" customHeight="1">
      <c r="A4622" s="290" t="s">
        <v>1003</v>
      </c>
      <c r="B4622" s="290" t="s">
        <v>1004</v>
      </c>
      <c r="C4622" s="293" t="s">
        <v>1005</v>
      </c>
      <c r="D4622" s="293" t="s">
        <v>1006</v>
      </c>
      <c r="E4622" s="379" t="s">
        <v>1007</v>
      </c>
      <c r="F4622" s="427" t="s">
        <v>2637</v>
      </c>
      <c r="G4622" s="291" t="s">
        <v>2638</v>
      </c>
    </row>
    <row r="4623" spans="1:8">
      <c r="A4623" s="294" t="s">
        <v>671</v>
      </c>
      <c r="B4623" s="410" t="s">
        <v>672</v>
      </c>
      <c r="C4623" s="283"/>
      <c r="D4623" s="283"/>
      <c r="E4623" s="428"/>
      <c r="F4623" s="429"/>
      <c r="G4623" s="248"/>
    </row>
    <row r="4624" spans="1:8">
      <c r="A4624" s="294"/>
      <c r="B4624" s="410" t="s">
        <v>673</v>
      </c>
      <c r="C4624" s="247" t="s">
        <v>674</v>
      </c>
      <c r="D4624" s="283" t="s">
        <v>675</v>
      </c>
      <c r="E4624" s="428">
        <v>4</v>
      </c>
      <c r="F4624" s="360">
        <f>'UPAD-BAHAN-ALAT'!$I$12</f>
        <v>110000</v>
      </c>
      <c r="G4624" s="248">
        <f>F4624*E4624</f>
        <v>440000</v>
      </c>
    </row>
    <row r="4625" spans="1:8">
      <c r="A4625" s="294"/>
      <c r="B4625" s="410" t="s">
        <v>871</v>
      </c>
      <c r="C4625" s="247" t="s">
        <v>678</v>
      </c>
      <c r="D4625" s="283" t="s">
        <v>675</v>
      </c>
      <c r="E4625" s="428">
        <v>12</v>
      </c>
      <c r="F4625" s="360">
        <f>'UPAD-BAHAN-ALAT'!$I$13</f>
        <v>140000</v>
      </c>
      <c r="G4625" s="248">
        <f>F4625*E4625</f>
        <v>1680000</v>
      </c>
    </row>
    <row r="4626" spans="1:8">
      <c r="A4626" s="294"/>
      <c r="B4626" s="410" t="s">
        <v>751</v>
      </c>
      <c r="C4626" s="247" t="s">
        <v>681</v>
      </c>
      <c r="D4626" s="283" t="s">
        <v>675</v>
      </c>
      <c r="E4626" s="428">
        <v>1.2</v>
      </c>
      <c r="F4626" s="360">
        <f>'UPAD-BAHAN-ALAT'!$I$15</f>
        <v>150000</v>
      </c>
      <c r="G4626" s="248">
        <f>F4626*E4626</f>
        <v>180000</v>
      </c>
    </row>
    <row r="4627" spans="1:8">
      <c r="A4627" s="294"/>
      <c r="B4627" s="410" t="s">
        <v>683</v>
      </c>
      <c r="C4627" s="247" t="s">
        <v>684</v>
      </c>
      <c r="D4627" s="283" t="s">
        <v>675</v>
      </c>
      <c r="E4627" s="428">
        <v>0.2</v>
      </c>
      <c r="F4627" s="360">
        <f>'UPAD-BAHAN-ALAT'!$I$14</f>
        <v>140000</v>
      </c>
      <c r="G4627" s="248">
        <f>F4627*E4627</f>
        <v>28000</v>
      </c>
    </row>
    <row r="4628" spans="1:8">
      <c r="A4628" s="294"/>
      <c r="B4628" s="410"/>
      <c r="C4628" s="283"/>
      <c r="D4628" s="283"/>
      <c r="E4628" s="428" t="s">
        <v>685</v>
      </c>
      <c r="F4628" s="429"/>
      <c r="G4628" s="248">
        <f>SUM(G4624:G4627)</f>
        <v>2328000</v>
      </c>
    </row>
    <row r="4629" spans="1:8">
      <c r="A4629" s="294" t="s">
        <v>686</v>
      </c>
      <c r="B4629" s="410" t="s">
        <v>687</v>
      </c>
      <c r="C4629" s="283"/>
      <c r="D4629" s="283"/>
      <c r="E4629" s="428"/>
      <c r="F4629" s="429"/>
      <c r="G4629" s="248"/>
    </row>
    <row r="4630" spans="1:8">
      <c r="A4630" s="294"/>
      <c r="B4630" s="410" t="s">
        <v>1266</v>
      </c>
      <c r="C4630" s="283"/>
      <c r="D4630" s="283" t="s">
        <v>2646</v>
      </c>
      <c r="E4630" s="428">
        <v>1.1000000000000001</v>
      </c>
      <c r="F4630" s="429">
        <f>'UPAD-BAHAN-ALAT'!$I$94</f>
        <v>10500000</v>
      </c>
      <c r="G4630" s="248">
        <f>F4630*E4630</f>
        <v>11550000.000000002</v>
      </c>
    </row>
    <row r="4631" spans="1:8">
      <c r="A4631" s="247"/>
      <c r="B4631" s="410" t="s">
        <v>1291</v>
      </c>
      <c r="C4631" s="288"/>
      <c r="D4631" s="283" t="s">
        <v>773</v>
      </c>
      <c r="E4631" s="428">
        <v>15</v>
      </c>
      <c r="F4631" s="429">
        <f>'UPAD-BAHAN-ALAT'!$I$116</f>
        <v>15750</v>
      </c>
      <c r="G4631" s="248">
        <f>F4631*E4631</f>
        <v>236250</v>
      </c>
    </row>
    <row r="4632" spans="1:8">
      <c r="A4632" s="247"/>
      <c r="B4632" s="410" t="s">
        <v>1292</v>
      </c>
      <c r="C4632" s="288"/>
      <c r="D4632" s="283" t="s">
        <v>773</v>
      </c>
      <c r="E4632" s="428">
        <v>5.6</v>
      </c>
      <c r="F4632" s="429">
        <f>'UPAD-BAHAN-ALAT'!$I$139</f>
        <v>21000</v>
      </c>
      <c r="G4632" s="248">
        <f>F4632*E4632</f>
        <v>117599.99999999999</v>
      </c>
    </row>
    <row r="4633" spans="1:8">
      <c r="A4633" s="247"/>
      <c r="B4633" s="410"/>
      <c r="C4633" s="247"/>
      <c r="D4633" s="283"/>
      <c r="E4633" s="428" t="s">
        <v>702</v>
      </c>
      <c r="F4633" s="429"/>
      <c r="G4633" s="248">
        <f>SUM(G4630:G4632)</f>
        <v>11903850.000000002</v>
      </c>
    </row>
    <row r="4634" spans="1:8" s="265" customFormat="1">
      <c r="A4634" s="294" t="s">
        <v>703</v>
      </c>
      <c r="B4634" s="1151" t="s">
        <v>3910</v>
      </c>
      <c r="C4634" s="1151"/>
      <c r="D4634" s="1151"/>
      <c r="E4634" s="1151"/>
      <c r="F4634" s="1151"/>
      <c r="G4634" s="255">
        <f>G4628+G4633</f>
        <v>14231850.000000002</v>
      </c>
    </row>
    <row r="4635" spans="1:8" s="265" customFormat="1">
      <c r="A4635" s="294" t="s">
        <v>706</v>
      </c>
      <c r="B4635" s="1148" t="s">
        <v>876</v>
      </c>
      <c r="C4635" s="1148"/>
      <c r="D4635" s="1148"/>
      <c r="E4635" s="1147" t="s">
        <v>4030</v>
      </c>
      <c r="F4635" s="1147"/>
      <c r="G4635" s="255">
        <f>G4634*0.15</f>
        <v>2134777.5</v>
      </c>
    </row>
    <row r="4636" spans="1:8" s="265" customFormat="1">
      <c r="A4636" s="294" t="s">
        <v>708</v>
      </c>
      <c r="B4636" s="1149" t="s">
        <v>3911</v>
      </c>
      <c r="C4636" s="1149"/>
      <c r="D4636" s="1149"/>
      <c r="E4636" s="1149"/>
      <c r="F4636" s="1149"/>
      <c r="G4636" s="255">
        <f>ROUND(SUM(G4634:G4635),2)</f>
        <v>16366627.5</v>
      </c>
      <c r="H4636" s="255">
        <f>SUM(G4634:G4635)</f>
        <v>16366627.500000002</v>
      </c>
    </row>
    <row r="4638" spans="1:8">
      <c r="A4638" s="284" t="s">
        <v>4276</v>
      </c>
      <c r="B4638" s="250" t="s">
        <v>4007</v>
      </c>
      <c r="C4638" s="252"/>
      <c r="D4638" s="252"/>
      <c r="E4638" s="374"/>
      <c r="F4638" s="361"/>
      <c r="G4638" s="253"/>
    </row>
    <row r="4639" spans="1:8" s="292" customFormat="1" ht="24.95" customHeight="1">
      <c r="A4639" s="290" t="s">
        <v>1003</v>
      </c>
      <c r="B4639" s="290" t="s">
        <v>1004</v>
      </c>
      <c r="C4639" s="293" t="s">
        <v>1005</v>
      </c>
      <c r="D4639" s="293" t="s">
        <v>1006</v>
      </c>
      <c r="E4639" s="379" t="s">
        <v>1007</v>
      </c>
      <c r="F4639" s="427" t="s">
        <v>2637</v>
      </c>
      <c r="G4639" s="291" t="s">
        <v>2638</v>
      </c>
    </row>
    <row r="4640" spans="1:8">
      <c r="A4640" s="294" t="s">
        <v>671</v>
      </c>
      <c r="B4640" s="410" t="s">
        <v>672</v>
      </c>
      <c r="C4640" s="283"/>
      <c r="D4640" s="283"/>
      <c r="E4640" s="428"/>
      <c r="F4640" s="429"/>
      <c r="G4640" s="248"/>
    </row>
    <row r="4641" spans="1:8">
      <c r="A4641" s="294"/>
      <c r="B4641" s="410" t="s">
        <v>673</v>
      </c>
      <c r="C4641" s="247" t="s">
        <v>674</v>
      </c>
      <c r="D4641" s="283" t="s">
        <v>675</v>
      </c>
      <c r="E4641" s="428">
        <v>4</v>
      </c>
      <c r="F4641" s="360">
        <f>'UPAD-BAHAN-ALAT'!$I$12</f>
        <v>110000</v>
      </c>
      <c r="G4641" s="248">
        <f>F4641*E4641</f>
        <v>440000</v>
      </c>
    </row>
    <row r="4642" spans="1:8">
      <c r="A4642" s="294"/>
      <c r="B4642" s="410" t="s">
        <v>871</v>
      </c>
      <c r="C4642" s="247" t="s">
        <v>678</v>
      </c>
      <c r="D4642" s="283" t="s">
        <v>675</v>
      </c>
      <c r="E4642" s="428">
        <v>12</v>
      </c>
      <c r="F4642" s="360">
        <f>'UPAD-BAHAN-ALAT'!$I$13</f>
        <v>140000</v>
      </c>
      <c r="G4642" s="248">
        <f>F4642*E4642</f>
        <v>1680000</v>
      </c>
    </row>
    <row r="4643" spans="1:8">
      <c r="A4643" s="294"/>
      <c r="B4643" s="410" t="s">
        <v>751</v>
      </c>
      <c r="C4643" s="247" t="s">
        <v>681</v>
      </c>
      <c r="D4643" s="283" t="s">
        <v>675</v>
      </c>
      <c r="E4643" s="428">
        <v>1.2</v>
      </c>
      <c r="F4643" s="360">
        <f>'UPAD-BAHAN-ALAT'!$I$15</f>
        <v>150000</v>
      </c>
      <c r="G4643" s="248">
        <f>F4643*E4643</f>
        <v>180000</v>
      </c>
    </row>
    <row r="4644" spans="1:8">
      <c r="A4644" s="294"/>
      <c r="B4644" s="410" t="s">
        <v>683</v>
      </c>
      <c r="C4644" s="247" t="s">
        <v>684</v>
      </c>
      <c r="D4644" s="283" t="s">
        <v>675</v>
      </c>
      <c r="E4644" s="428">
        <v>0.2</v>
      </c>
      <c r="F4644" s="360">
        <f>'UPAD-BAHAN-ALAT'!$I$14</f>
        <v>140000</v>
      </c>
      <c r="G4644" s="248">
        <f>F4644*E4644</f>
        <v>28000</v>
      </c>
    </row>
    <row r="4645" spans="1:8">
      <c r="A4645" s="294"/>
      <c r="B4645" s="410"/>
      <c r="C4645" s="283"/>
      <c r="D4645" s="283"/>
      <c r="E4645" s="428" t="s">
        <v>685</v>
      </c>
      <c r="F4645" s="429"/>
      <c r="G4645" s="248">
        <f>SUM(G4641:G4644)</f>
        <v>2328000</v>
      </c>
    </row>
    <row r="4646" spans="1:8">
      <c r="A4646" s="294" t="s">
        <v>686</v>
      </c>
      <c r="B4646" s="410" t="s">
        <v>687</v>
      </c>
      <c r="C4646" s="283"/>
      <c r="D4646" s="283"/>
      <c r="E4646" s="428"/>
      <c r="F4646" s="429"/>
      <c r="G4646" s="248"/>
    </row>
    <row r="4647" spans="1:8">
      <c r="A4647" s="294"/>
      <c r="B4647" s="410" t="s">
        <v>1266</v>
      </c>
      <c r="C4647" s="283"/>
      <c r="D4647" s="283" t="s">
        <v>2646</v>
      </c>
      <c r="E4647" s="428">
        <v>1.1000000000000001</v>
      </c>
      <c r="F4647" s="429">
        <f>'UPAD-BAHAN-ALAT'!$I$95</f>
        <v>6825000</v>
      </c>
      <c r="G4647" s="248">
        <f>F4647*E4647</f>
        <v>7507500.0000000009</v>
      </c>
    </row>
    <row r="4648" spans="1:8">
      <c r="A4648" s="294"/>
      <c r="B4648" s="410" t="s">
        <v>1291</v>
      </c>
      <c r="C4648" s="288"/>
      <c r="D4648" s="283" t="s">
        <v>773</v>
      </c>
      <c r="E4648" s="428">
        <v>15</v>
      </c>
      <c r="F4648" s="429">
        <f>'UPAD-BAHAN-ALAT'!$I$116</f>
        <v>15750</v>
      </c>
      <c r="G4648" s="248">
        <f>F4648*E4648</f>
        <v>236250</v>
      </c>
    </row>
    <row r="4649" spans="1:8">
      <c r="A4649" s="247"/>
      <c r="B4649" s="410" t="s">
        <v>1292</v>
      </c>
      <c r="C4649" s="288"/>
      <c r="D4649" s="283" t="s">
        <v>773</v>
      </c>
      <c r="E4649" s="428">
        <v>5.6</v>
      </c>
      <c r="F4649" s="429">
        <f>'UPAD-BAHAN-ALAT'!$I$139</f>
        <v>21000</v>
      </c>
      <c r="G4649" s="248">
        <f>F4649*E4649</f>
        <v>117599.99999999999</v>
      </c>
    </row>
    <row r="4650" spans="1:8">
      <c r="A4650" s="247"/>
      <c r="B4650" s="410"/>
      <c r="C4650" s="247"/>
      <c r="D4650" s="283"/>
      <c r="E4650" s="428" t="s">
        <v>702</v>
      </c>
      <c r="F4650" s="429"/>
      <c r="G4650" s="248">
        <f>SUM(G4647:G4649)</f>
        <v>7861350.0000000009</v>
      </c>
    </row>
    <row r="4651" spans="1:8" s="265" customFormat="1">
      <c r="A4651" s="294" t="s">
        <v>703</v>
      </c>
      <c r="B4651" s="1151" t="s">
        <v>3910</v>
      </c>
      <c r="C4651" s="1151"/>
      <c r="D4651" s="1151"/>
      <c r="E4651" s="1151"/>
      <c r="F4651" s="1151"/>
      <c r="G4651" s="255">
        <f>G4645+G4650</f>
        <v>10189350</v>
      </c>
    </row>
    <row r="4652" spans="1:8" s="265" customFormat="1">
      <c r="A4652" s="294" t="s">
        <v>706</v>
      </c>
      <c r="B4652" s="1148" t="s">
        <v>876</v>
      </c>
      <c r="C4652" s="1148"/>
      <c r="D4652" s="1148"/>
      <c r="E4652" s="1147" t="s">
        <v>4030</v>
      </c>
      <c r="F4652" s="1147"/>
      <c r="G4652" s="255">
        <f>G4651*0.15</f>
        <v>1528402.5</v>
      </c>
    </row>
    <row r="4653" spans="1:8" s="265" customFormat="1">
      <c r="A4653" s="294" t="s">
        <v>708</v>
      </c>
      <c r="B4653" s="1149" t="s">
        <v>3911</v>
      </c>
      <c r="C4653" s="1149"/>
      <c r="D4653" s="1149"/>
      <c r="E4653" s="1149"/>
      <c r="F4653" s="1149"/>
      <c r="G4653" s="255">
        <f>ROUND(SUM(G4651:G4652),2)</f>
        <v>11717752.5</v>
      </c>
      <c r="H4653" s="255">
        <f>SUM(G4651:G4652)</f>
        <v>11717752.5</v>
      </c>
    </row>
    <row r="4655" spans="1:8">
      <c r="A4655" s="284" t="s">
        <v>4277</v>
      </c>
      <c r="B4655" s="250" t="s">
        <v>4008</v>
      </c>
      <c r="C4655" s="252"/>
      <c r="D4655" s="252"/>
      <c r="E4655" s="374"/>
      <c r="F4655" s="361"/>
      <c r="G4655" s="253"/>
    </row>
    <row r="4656" spans="1:8" s="292" customFormat="1" ht="24.95" customHeight="1">
      <c r="A4656" s="290" t="s">
        <v>1003</v>
      </c>
      <c r="B4656" s="290" t="s">
        <v>1004</v>
      </c>
      <c r="C4656" s="293" t="s">
        <v>1005</v>
      </c>
      <c r="D4656" s="293" t="s">
        <v>1006</v>
      </c>
      <c r="E4656" s="379" t="s">
        <v>1007</v>
      </c>
      <c r="F4656" s="427" t="s">
        <v>2637</v>
      </c>
      <c r="G4656" s="291" t="s">
        <v>2638</v>
      </c>
    </row>
    <row r="4657" spans="1:8">
      <c r="A4657" s="294" t="s">
        <v>671</v>
      </c>
      <c r="B4657" s="410" t="s">
        <v>672</v>
      </c>
      <c r="C4657" s="283"/>
      <c r="D4657" s="283"/>
      <c r="E4657" s="428"/>
      <c r="F4657" s="429"/>
      <c r="G4657" s="248"/>
    </row>
    <row r="4658" spans="1:8">
      <c r="A4658" s="294"/>
      <c r="B4658" s="410" t="s">
        <v>673</v>
      </c>
      <c r="C4658" s="247" t="s">
        <v>674</v>
      </c>
      <c r="D4658" s="283" t="s">
        <v>675</v>
      </c>
      <c r="E4658" s="428">
        <v>4</v>
      </c>
      <c r="F4658" s="360">
        <f>'UPAD-BAHAN-ALAT'!$I$12</f>
        <v>110000</v>
      </c>
      <c r="G4658" s="248">
        <f>F4658*E4658</f>
        <v>440000</v>
      </c>
    </row>
    <row r="4659" spans="1:8">
      <c r="A4659" s="294"/>
      <c r="B4659" s="410" t="s">
        <v>871</v>
      </c>
      <c r="C4659" s="247" t="s">
        <v>678</v>
      </c>
      <c r="D4659" s="283" t="s">
        <v>675</v>
      </c>
      <c r="E4659" s="428">
        <v>12</v>
      </c>
      <c r="F4659" s="360">
        <f>'UPAD-BAHAN-ALAT'!$I$13</f>
        <v>140000</v>
      </c>
      <c r="G4659" s="248">
        <f>F4659*E4659</f>
        <v>1680000</v>
      </c>
    </row>
    <row r="4660" spans="1:8">
      <c r="A4660" s="294"/>
      <c r="B4660" s="410" t="s">
        <v>751</v>
      </c>
      <c r="C4660" s="247" t="s">
        <v>681</v>
      </c>
      <c r="D4660" s="283" t="s">
        <v>675</v>
      </c>
      <c r="E4660" s="428">
        <v>1.2</v>
      </c>
      <c r="F4660" s="360">
        <f>'UPAD-BAHAN-ALAT'!$I$15</f>
        <v>150000</v>
      </c>
      <c r="G4660" s="248">
        <f>F4660*E4660</f>
        <v>180000</v>
      </c>
    </row>
    <row r="4661" spans="1:8">
      <c r="A4661" s="294"/>
      <c r="B4661" s="410" t="s">
        <v>683</v>
      </c>
      <c r="C4661" s="247" t="s">
        <v>684</v>
      </c>
      <c r="D4661" s="283" t="s">
        <v>675</v>
      </c>
      <c r="E4661" s="428">
        <v>0.2</v>
      </c>
      <c r="F4661" s="360">
        <f>'UPAD-BAHAN-ALAT'!$I$14</f>
        <v>140000</v>
      </c>
      <c r="G4661" s="248">
        <f>F4661*E4661</f>
        <v>28000</v>
      </c>
    </row>
    <row r="4662" spans="1:8">
      <c r="A4662" s="294"/>
      <c r="B4662" s="410"/>
      <c r="C4662" s="283"/>
      <c r="D4662" s="283"/>
      <c r="E4662" s="428" t="s">
        <v>685</v>
      </c>
      <c r="F4662" s="429"/>
      <c r="G4662" s="248">
        <f>SUM(G4658:G4661)</f>
        <v>2328000</v>
      </c>
    </row>
    <row r="4663" spans="1:8">
      <c r="A4663" s="294" t="s">
        <v>686</v>
      </c>
      <c r="B4663" s="410" t="s">
        <v>687</v>
      </c>
      <c r="C4663" s="283"/>
      <c r="D4663" s="283"/>
      <c r="E4663" s="428"/>
      <c r="F4663" s="429"/>
      <c r="G4663" s="248"/>
    </row>
    <row r="4664" spans="1:8">
      <c r="A4664" s="294"/>
      <c r="B4664" s="410" t="s">
        <v>1266</v>
      </c>
      <c r="C4664" s="283"/>
      <c r="D4664" s="283" t="s">
        <v>2646</v>
      </c>
      <c r="E4664" s="428">
        <v>1.1000000000000001</v>
      </c>
      <c r="F4664" s="429">
        <f>'UPAD-BAHAN-ALAT'!$I$96</f>
        <v>3465000</v>
      </c>
      <c r="G4664" s="248">
        <f>F4664*E4664</f>
        <v>3811500.0000000005</v>
      </c>
    </row>
    <row r="4665" spans="1:8">
      <c r="A4665" s="294"/>
      <c r="B4665" s="410" t="s">
        <v>1291</v>
      </c>
      <c r="C4665" s="288"/>
      <c r="D4665" s="283" t="s">
        <v>773</v>
      </c>
      <c r="E4665" s="428">
        <v>15</v>
      </c>
      <c r="F4665" s="429">
        <f>'UPAD-BAHAN-ALAT'!$I$116</f>
        <v>15750</v>
      </c>
      <c r="G4665" s="248">
        <f>F4665*E4665</f>
        <v>236250</v>
      </c>
    </row>
    <row r="4666" spans="1:8">
      <c r="A4666" s="247"/>
      <c r="B4666" s="410" t="s">
        <v>1292</v>
      </c>
      <c r="C4666" s="288"/>
      <c r="D4666" s="283" t="s">
        <v>773</v>
      </c>
      <c r="E4666" s="428">
        <v>5.6</v>
      </c>
      <c r="F4666" s="429">
        <f>'UPAD-BAHAN-ALAT'!$I$139</f>
        <v>21000</v>
      </c>
      <c r="G4666" s="248">
        <f>F4666*E4666</f>
        <v>117599.99999999999</v>
      </c>
    </row>
    <row r="4667" spans="1:8">
      <c r="A4667" s="247"/>
      <c r="B4667" s="410"/>
      <c r="C4667" s="247"/>
      <c r="D4667" s="283"/>
      <c r="E4667" s="428" t="s">
        <v>702</v>
      </c>
      <c r="F4667" s="429"/>
      <c r="G4667" s="248">
        <f>SUM(G4664:G4666)</f>
        <v>4165350.0000000005</v>
      </c>
    </row>
    <row r="4668" spans="1:8" s="265" customFormat="1">
      <c r="A4668" s="294" t="s">
        <v>703</v>
      </c>
      <c r="B4668" s="1151" t="s">
        <v>3910</v>
      </c>
      <c r="C4668" s="1151"/>
      <c r="D4668" s="1151"/>
      <c r="E4668" s="1151"/>
      <c r="F4668" s="1151"/>
      <c r="G4668" s="255">
        <f>G4662+G4667</f>
        <v>6493350</v>
      </c>
    </row>
    <row r="4669" spans="1:8" s="265" customFormat="1">
      <c r="A4669" s="294" t="s">
        <v>706</v>
      </c>
      <c r="B4669" s="1148" t="s">
        <v>876</v>
      </c>
      <c r="C4669" s="1148"/>
      <c r="D4669" s="1148"/>
      <c r="E4669" s="1147" t="s">
        <v>4030</v>
      </c>
      <c r="F4669" s="1147"/>
      <c r="G4669" s="255">
        <f>G4668*0.15</f>
        <v>974002.5</v>
      </c>
    </row>
    <row r="4670" spans="1:8" s="265" customFormat="1">
      <c r="A4670" s="294" t="s">
        <v>708</v>
      </c>
      <c r="B4670" s="1149" t="s">
        <v>3911</v>
      </c>
      <c r="C4670" s="1149"/>
      <c r="D4670" s="1149"/>
      <c r="E4670" s="1149"/>
      <c r="F4670" s="1149"/>
      <c r="G4670" s="255">
        <f>ROUND(SUM(G4668:G4669),2)</f>
        <v>7467352.5</v>
      </c>
      <c r="H4670" s="255">
        <f>SUM(G4668:G4669)</f>
        <v>7467352.5</v>
      </c>
    </row>
    <row r="4672" spans="1:8">
      <c r="A4672" s="600" t="s">
        <v>4278</v>
      </c>
      <c r="B4672" s="265" t="s">
        <v>3576</v>
      </c>
    </row>
    <row r="4673" spans="1:8" s="292" customFormat="1" ht="24.95" customHeight="1">
      <c r="A4673" s="290" t="s">
        <v>1003</v>
      </c>
      <c r="B4673" s="290" t="s">
        <v>1004</v>
      </c>
      <c r="C4673" s="290" t="s">
        <v>1005</v>
      </c>
      <c r="D4673" s="290" t="s">
        <v>1006</v>
      </c>
      <c r="E4673" s="373" t="s">
        <v>1007</v>
      </c>
      <c r="F4673" s="363" t="s">
        <v>2637</v>
      </c>
      <c r="G4673" s="291" t="s">
        <v>2638</v>
      </c>
    </row>
    <row r="4674" spans="1:8">
      <c r="A4674" s="294" t="s">
        <v>671</v>
      </c>
      <c r="B4674" s="410" t="s">
        <v>672</v>
      </c>
      <c r="C4674" s="247"/>
      <c r="D4674" s="247"/>
      <c r="E4674" s="372"/>
      <c r="F4674" s="360"/>
      <c r="G4674" s="248"/>
    </row>
    <row r="4675" spans="1:8">
      <c r="A4675" s="294"/>
      <c r="B4675" s="410" t="s">
        <v>673</v>
      </c>
      <c r="C4675" s="247" t="s">
        <v>674</v>
      </c>
      <c r="D4675" s="247" t="s">
        <v>675</v>
      </c>
      <c r="E4675" s="372">
        <v>6.7</v>
      </c>
      <c r="F4675" s="360">
        <f>'UPAD-BAHAN-ALAT'!$I$12</f>
        <v>110000</v>
      </c>
      <c r="G4675" s="248">
        <f>F4675*E4675</f>
        <v>737000</v>
      </c>
    </row>
    <row r="4676" spans="1:8">
      <c r="A4676" s="294"/>
      <c r="B4676" s="410" t="s">
        <v>871</v>
      </c>
      <c r="C4676" s="247" t="s">
        <v>678</v>
      </c>
      <c r="D4676" s="247" t="s">
        <v>675</v>
      </c>
      <c r="E4676" s="372">
        <v>20.100000000000001</v>
      </c>
      <c r="F4676" s="360">
        <f>'UPAD-BAHAN-ALAT'!$I$13</f>
        <v>140000</v>
      </c>
      <c r="G4676" s="248">
        <f>F4676*E4676</f>
        <v>2814000</v>
      </c>
    </row>
    <row r="4677" spans="1:8">
      <c r="A4677" s="294"/>
      <c r="B4677" s="410" t="s">
        <v>751</v>
      </c>
      <c r="C4677" s="247" t="s">
        <v>681</v>
      </c>
      <c r="D4677" s="247" t="s">
        <v>675</v>
      </c>
      <c r="E4677" s="372">
        <v>2.0099999999999998</v>
      </c>
      <c r="F4677" s="360">
        <f>'UPAD-BAHAN-ALAT'!$I$15</f>
        <v>150000</v>
      </c>
      <c r="G4677" s="248">
        <f>F4677*E4677</f>
        <v>301499.99999999994</v>
      </c>
    </row>
    <row r="4678" spans="1:8">
      <c r="A4678" s="294"/>
      <c r="B4678" s="410" t="s">
        <v>683</v>
      </c>
      <c r="C4678" s="247" t="s">
        <v>684</v>
      </c>
      <c r="D4678" s="247" t="s">
        <v>675</v>
      </c>
      <c r="E4678" s="372">
        <v>0.33500000000000002</v>
      </c>
      <c r="F4678" s="360">
        <f>'UPAD-BAHAN-ALAT'!$I$14</f>
        <v>140000</v>
      </c>
      <c r="G4678" s="248">
        <f>F4678*E4678</f>
        <v>46900</v>
      </c>
    </row>
    <row r="4679" spans="1:8">
      <c r="A4679" s="294"/>
      <c r="B4679" s="410"/>
      <c r="C4679" s="247"/>
      <c r="D4679" s="247"/>
      <c r="E4679" s="1146" t="s">
        <v>685</v>
      </c>
      <c r="F4679" s="1146"/>
      <c r="G4679" s="248">
        <f>SUM(G4675:G4678)</f>
        <v>3899400</v>
      </c>
    </row>
    <row r="4680" spans="1:8">
      <c r="A4680" s="294" t="s">
        <v>686</v>
      </c>
      <c r="B4680" s="410" t="s">
        <v>687</v>
      </c>
      <c r="C4680" s="247"/>
      <c r="D4680" s="247"/>
      <c r="E4680" s="372"/>
      <c r="F4680" s="360"/>
      <c r="G4680" s="248"/>
    </row>
    <row r="4681" spans="1:8">
      <c r="A4681" s="294"/>
      <c r="B4681" s="410" t="s">
        <v>1266</v>
      </c>
      <c r="C4681" s="247"/>
      <c r="D4681" s="247" t="s">
        <v>2646</v>
      </c>
      <c r="E4681" s="372">
        <v>1.2</v>
      </c>
      <c r="F4681" s="360">
        <f>'UPAD-BAHAN-ALAT'!$I$94</f>
        <v>10500000</v>
      </c>
      <c r="G4681" s="248">
        <f>F4681*E4681</f>
        <v>12600000</v>
      </c>
    </row>
    <row r="4682" spans="1:8">
      <c r="A4682" s="294"/>
      <c r="B4682" s="410" t="s">
        <v>1291</v>
      </c>
      <c r="C4682" s="247"/>
      <c r="D4682" s="247" t="s">
        <v>773</v>
      </c>
      <c r="E4682" s="372">
        <v>15</v>
      </c>
      <c r="F4682" s="360">
        <f>'UPAD-BAHAN-ALAT'!$I$116</f>
        <v>15750</v>
      </c>
      <c r="G4682" s="248">
        <f>F4682*E4682</f>
        <v>236250</v>
      </c>
    </row>
    <row r="4683" spans="1:8">
      <c r="A4683" s="294"/>
      <c r="B4683" s="410" t="s">
        <v>1292</v>
      </c>
      <c r="C4683" s="247"/>
      <c r="D4683" s="247" t="s">
        <v>773</v>
      </c>
      <c r="E4683" s="372">
        <v>5.6</v>
      </c>
      <c r="F4683" s="360">
        <f>'UPAD-BAHAN-ALAT'!$I$139</f>
        <v>21000</v>
      </c>
      <c r="G4683" s="248">
        <f>F4683*E4683</f>
        <v>117599.99999999999</v>
      </c>
    </row>
    <row r="4684" spans="1:8">
      <c r="A4684" s="247"/>
      <c r="B4684" s="295"/>
      <c r="C4684" s="296"/>
      <c r="D4684" s="296"/>
      <c r="E4684" s="1146" t="s">
        <v>702</v>
      </c>
      <c r="F4684" s="1146"/>
      <c r="G4684" s="248">
        <f>SUM(G4681:G4683)</f>
        <v>12953850</v>
      </c>
    </row>
    <row r="4685" spans="1:8" s="265" customFormat="1">
      <c r="A4685" s="294" t="s">
        <v>703</v>
      </c>
      <c r="B4685" s="1147" t="s">
        <v>3910</v>
      </c>
      <c r="C4685" s="1147"/>
      <c r="D4685" s="1147"/>
      <c r="E4685" s="1147"/>
      <c r="F4685" s="1147"/>
      <c r="G4685" s="255">
        <f>G4679+G4684</f>
        <v>16853250</v>
      </c>
    </row>
    <row r="4686" spans="1:8" s="265" customFormat="1">
      <c r="A4686" s="294" t="s">
        <v>706</v>
      </c>
      <c r="B4686" s="1148" t="s">
        <v>876</v>
      </c>
      <c r="C4686" s="1148"/>
      <c r="D4686" s="1148"/>
      <c r="E4686" s="1147" t="s">
        <v>4030</v>
      </c>
      <c r="F4686" s="1147"/>
      <c r="G4686" s="255">
        <f>G4685*0.15</f>
        <v>2527987.5</v>
      </c>
    </row>
    <row r="4687" spans="1:8" s="265" customFormat="1">
      <c r="A4687" s="294" t="s">
        <v>708</v>
      </c>
      <c r="B4687" s="1149" t="s">
        <v>3911</v>
      </c>
      <c r="C4687" s="1149"/>
      <c r="D4687" s="1149"/>
      <c r="E4687" s="1149"/>
      <c r="F4687" s="1149"/>
      <c r="G4687" s="255">
        <f>ROUND(SUM(G4685:G4686),2)</f>
        <v>19381237.5</v>
      </c>
      <c r="H4687" s="255">
        <f>SUM(G4685:G4686)</f>
        <v>19381237.5</v>
      </c>
    </row>
    <row r="4688" spans="1:8">
      <c r="A4688" s="268"/>
      <c r="B4688" s="269"/>
      <c r="C4688" s="268"/>
      <c r="D4688" s="268"/>
      <c r="E4688" s="380"/>
      <c r="F4688" s="365"/>
      <c r="G4688" s="270"/>
    </row>
    <row r="4689" spans="1:8">
      <c r="A4689" s="285" t="s">
        <v>4279</v>
      </c>
      <c r="B4689" s="250" t="s">
        <v>3577</v>
      </c>
      <c r="C4689" s="252"/>
      <c r="D4689" s="252"/>
      <c r="E4689" s="374"/>
      <c r="F4689" s="361"/>
      <c r="G4689" s="253"/>
    </row>
    <row r="4690" spans="1:8" s="292" customFormat="1" ht="24.95" customHeight="1">
      <c r="A4690" s="290" t="s">
        <v>1003</v>
      </c>
      <c r="B4690" s="290" t="s">
        <v>1004</v>
      </c>
      <c r="C4690" s="290" t="s">
        <v>1005</v>
      </c>
      <c r="D4690" s="290" t="s">
        <v>1006</v>
      </c>
      <c r="E4690" s="373" t="s">
        <v>1007</v>
      </c>
      <c r="F4690" s="363" t="s">
        <v>2637</v>
      </c>
      <c r="G4690" s="623" t="s">
        <v>2638</v>
      </c>
    </row>
    <row r="4691" spans="1:8">
      <c r="A4691" s="294" t="s">
        <v>671</v>
      </c>
      <c r="B4691" s="410" t="s">
        <v>672</v>
      </c>
      <c r="C4691" s="247"/>
      <c r="D4691" s="247"/>
      <c r="E4691" s="372"/>
      <c r="F4691" s="360"/>
      <c r="G4691" s="248"/>
    </row>
    <row r="4692" spans="1:8">
      <c r="A4692" s="294"/>
      <c r="B4692" s="410" t="s">
        <v>673</v>
      </c>
      <c r="C4692" s="247" t="s">
        <v>674</v>
      </c>
      <c r="D4692" s="247" t="s">
        <v>675</v>
      </c>
      <c r="E4692" s="372">
        <v>6.7</v>
      </c>
      <c r="F4692" s="360">
        <f>'UPAD-BAHAN-ALAT'!$I$12</f>
        <v>110000</v>
      </c>
      <c r="G4692" s="248">
        <f>F4692*E4692</f>
        <v>737000</v>
      </c>
    </row>
    <row r="4693" spans="1:8">
      <c r="A4693" s="294"/>
      <c r="B4693" s="410" t="s">
        <v>871</v>
      </c>
      <c r="C4693" s="247" t="s">
        <v>678</v>
      </c>
      <c r="D4693" s="247" t="s">
        <v>675</v>
      </c>
      <c r="E4693" s="372">
        <v>20.100000000000001</v>
      </c>
      <c r="F4693" s="360">
        <f>'UPAD-BAHAN-ALAT'!$I$13</f>
        <v>140000</v>
      </c>
      <c r="G4693" s="248">
        <f>F4693*E4693</f>
        <v>2814000</v>
      </c>
    </row>
    <row r="4694" spans="1:8">
      <c r="A4694" s="294"/>
      <c r="B4694" s="410" t="s">
        <v>751</v>
      </c>
      <c r="C4694" s="247" t="s">
        <v>681</v>
      </c>
      <c r="D4694" s="247" t="s">
        <v>675</v>
      </c>
      <c r="E4694" s="372">
        <v>2.0099999999999998</v>
      </c>
      <c r="F4694" s="360">
        <f>'UPAD-BAHAN-ALAT'!$I$15</f>
        <v>150000</v>
      </c>
      <c r="G4694" s="248">
        <f>F4694*E4694</f>
        <v>301499.99999999994</v>
      </c>
    </row>
    <row r="4695" spans="1:8">
      <c r="A4695" s="294"/>
      <c r="B4695" s="410" t="s">
        <v>683</v>
      </c>
      <c r="C4695" s="247" t="s">
        <v>684</v>
      </c>
      <c r="D4695" s="247" t="s">
        <v>675</v>
      </c>
      <c r="E4695" s="372">
        <v>0.33500000000000002</v>
      </c>
      <c r="F4695" s="360">
        <f>'UPAD-BAHAN-ALAT'!$I$14</f>
        <v>140000</v>
      </c>
      <c r="G4695" s="248">
        <f>F4695*E4695</f>
        <v>46900</v>
      </c>
    </row>
    <row r="4696" spans="1:8">
      <c r="A4696" s="294"/>
      <c r="B4696" s="410"/>
      <c r="C4696" s="247"/>
      <c r="D4696" s="247"/>
      <c r="E4696" s="1146" t="s">
        <v>685</v>
      </c>
      <c r="F4696" s="1146"/>
      <c r="G4696" s="248">
        <f>SUM(G4692:G4695)</f>
        <v>3899400</v>
      </c>
    </row>
    <row r="4697" spans="1:8">
      <c r="A4697" s="294" t="s">
        <v>686</v>
      </c>
      <c r="B4697" s="410" t="s">
        <v>687</v>
      </c>
      <c r="C4697" s="247"/>
      <c r="D4697" s="247"/>
      <c r="E4697" s="372"/>
      <c r="F4697" s="360"/>
      <c r="G4697" s="248"/>
    </row>
    <row r="4698" spans="1:8">
      <c r="A4698" s="294"/>
      <c r="B4698" s="410" t="s">
        <v>1266</v>
      </c>
      <c r="C4698" s="247"/>
      <c r="D4698" s="247" t="s">
        <v>2646</v>
      </c>
      <c r="E4698" s="372">
        <v>1.1000000000000001</v>
      </c>
      <c r="F4698" s="360">
        <f>'UPAD-BAHAN-ALAT'!$I$95</f>
        <v>6825000</v>
      </c>
      <c r="G4698" s="248">
        <f>F4698*E4698</f>
        <v>7507500.0000000009</v>
      </c>
    </row>
    <row r="4699" spans="1:8">
      <c r="A4699" s="294"/>
      <c r="B4699" s="256" t="s">
        <v>1291</v>
      </c>
      <c r="C4699" s="247"/>
      <c r="D4699" s="247" t="s">
        <v>773</v>
      </c>
      <c r="E4699" s="372">
        <v>15</v>
      </c>
      <c r="F4699" s="360">
        <f>'UPAD-BAHAN-ALAT'!$I$116</f>
        <v>15750</v>
      </c>
      <c r="G4699" s="248">
        <f>F4699*E4699</f>
        <v>236250</v>
      </c>
    </row>
    <row r="4700" spans="1:8">
      <c r="A4700" s="247"/>
      <c r="B4700" s="410" t="s">
        <v>1292</v>
      </c>
      <c r="C4700" s="247"/>
      <c r="D4700" s="247" t="s">
        <v>773</v>
      </c>
      <c r="E4700" s="372">
        <v>3</v>
      </c>
      <c r="F4700" s="360">
        <f>'UPAD-BAHAN-ALAT'!$I$139</f>
        <v>21000</v>
      </c>
      <c r="G4700" s="248">
        <f>F4700*E4700</f>
        <v>63000</v>
      </c>
    </row>
    <row r="4701" spans="1:8">
      <c r="A4701" s="247"/>
      <c r="B4701" s="295"/>
      <c r="C4701" s="296"/>
      <c r="D4701" s="296"/>
      <c r="E4701" s="1146" t="s">
        <v>702</v>
      </c>
      <c r="F4701" s="1146"/>
      <c r="G4701" s="248">
        <f>SUM(G4698:G4700)</f>
        <v>7806750.0000000009</v>
      </c>
    </row>
    <row r="4702" spans="1:8" s="265" customFormat="1">
      <c r="A4702" s="294" t="s">
        <v>703</v>
      </c>
      <c r="B4702" s="1147" t="s">
        <v>3910</v>
      </c>
      <c r="C4702" s="1147"/>
      <c r="D4702" s="1147"/>
      <c r="E4702" s="1147"/>
      <c r="F4702" s="1147"/>
      <c r="G4702" s="255">
        <f>G4696+G4701</f>
        <v>11706150</v>
      </c>
    </row>
    <row r="4703" spans="1:8" s="265" customFormat="1">
      <c r="A4703" s="294" t="s">
        <v>706</v>
      </c>
      <c r="B4703" s="1148" t="s">
        <v>876</v>
      </c>
      <c r="C4703" s="1148"/>
      <c r="D4703" s="1148"/>
      <c r="E4703" s="1147" t="s">
        <v>4030</v>
      </c>
      <c r="F4703" s="1147"/>
      <c r="G4703" s="255">
        <f>G4702*0.15</f>
        <v>1755922.5</v>
      </c>
    </row>
    <row r="4704" spans="1:8" s="265" customFormat="1">
      <c r="A4704" s="294" t="s">
        <v>708</v>
      </c>
      <c r="B4704" s="1149" t="s">
        <v>3911</v>
      </c>
      <c r="C4704" s="1149"/>
      <c r="D4704" s="1149"/>
      <c r="E4704" s="1149"/>
      <c r="F4704" s="1149"/>
      <c r="G4704" s="255">
        <f>ROUND(SUM(G4702:G4703),2)</f>
        <v>13462072.5</v>
      </c>
      <c r="H4704" s="255">
        <f>SUM(G4702:G4703)</f>
        <v>13462072.5</v>
      </c>
    </row>
    <row r="4706" spans="1:7">
      <c r="A4706" s="600" t="s">
        <v>4280</v>
      </c>
      <c r="B4706" s="265" t="s">
        <v>4621</v>
      </c>
    </row>
    <row r="4707" spans="1:7" s="292" customFormat="1" ht="24.95" customHeight="1">
      <c r="A4707" s="290" t="s">
        <v>1003</v>
      </c>
      <c r="B4707" s="293" t="s">
        <v>1004</v>
      </c>
      <c r="C4707" s="293" t="s">
        <v>1005</v>
      </c>
      <c r="D4707" s="293" t="s">
        <v>1006</v>
      </c>
      <c r="E4707" s="379" t="s">
        <v>1007</v>
      </c>
      <c r="F4707" s="389" t="s">
        <v>2637</v>
      </c>
      <c r="G4707" s="291" t="s">
        <v>2638</v>
      </c>
    </row>
    <row r="4708" spans="1:7">
      <c r="A4708" s="294" t="s">
        <v>671</v>
      </c>
      <c r="B4708" s="355" t="s">
        <v>672</v>
      </c>
      <c r="C4708" s="283"/>
      <c r="D4708" s="283"/>
      <c r="E4708" s="428"/>
      <c r="F4708" s="624"/>
      <c r="G4708" s="248"/>
    </row>
    <row r="4709" spans="1:7">
      <c r="A4709" s="294"/>
      <c r="B4709" s="355" t="s">
        <v>673</v>
      </c>
      <c r="C4709" s="247" t="s">
        <v>674</v>
      </c>
      <c r="D4709" s="283" t="s">
        <v>675</v>
      </c>
      <c r="E4709" s="428">
        <v>0.1</v>
      </c>
      <c r="F4709" s="360">
        <f>'UPAD-BAHAN-ALAT'!$I$12</f>
        <v>110000</v>
      </c>
      <c r="G4709" s="248">
        <f>F4709*E4709</f>
        <v>11000</v>
      </c>
    </row>
    <row r="4710" spans="1:7">
      <c r="A4710" s="294"/>
      <c r="B4710" s="355" t="s">
        <v>871</v>
      </c>
      <c r="C4710" s="247" t="s">
        <v>678</v>
      </c>
      <c r="D4710" s="283" t="s">
        <v>675</v>
      </c>
      <c r="E4710" s="428">
        <v>0.1</v>
      </c>
      <c r="F4710" s="360">
        <f>'UPAD-BAHAN-ALAT'!$I$13</f>
        <v>140000</v>
      </c>
      <c r="G4710" s="248">
        <f>F4710*E4710</f>
        <v>14000</v>
      </c>
    </row>
    <row r="4711" spans="1:7">
      <c r="A4711" s="294"/>
      <c r="B4711" s="355" t="s">
        <v>751</v>
      </c>
      <c r="C4711" s="247" t="s">
        <v>681</v>
      </c>
      <c r="D4711" s="283" t="s">
        <v>675</v>
      </c>
      <c r="E4711" s="428">
        <v>0.01</v>
      </c>
      <c r="F4711" s="360">
        <f>'UPAD-BAHAN-ALAT'!$I$15</f>
        <v>150000</v>
      </c>
      <c r="G4711" s="248">
        <f>F4711*E4711</f>
        <v>1500</v>
      </c>
    </row>
    <row r="4712" spans="1:7">
      <c r="A4712" s="294"/>
      <c r="B4712" s="355" t="s">
        <v>683</v>
      </c>
      <c r="C4712" s="247" t="s">
        <v>684</v>
      </c>
      <c r="D4712" s="283" t="s">
        <v>675</v>
      </c>
      <c r="E4712" s="428">
        <v>5.0000000000000001E-3</v>
      </c>
      <c r="F4712" s="360">
        <f>'UPAD-BAHAN-ALAT'!$I$14</f>
        <v>140000</v>
      </c>
      <c r="G4712" s="248">
        <f>F4712*E4712</f>
        <v>700</v>
      </c>
    </row>
    <row r="4713" spans="1:7">
      <c r="A4713" s="294"/>
      <c r="B4713" s="355"/>
      <c r="C4713" s="283"/>
      <c r="D4713" s="283"/>
      <c r="E4713" s="428" t="s">
        <v>685</v>
      </c>
      <c r="F4713" s="663"/>
      <c r="G4713" s="248">
        <f>SUM(G4709:G4712)</f>
        <v>27200</v>
      </c>
    </row>
    <row r="4714" spans="1:7">
      <c r="A4714" s="294" t="s">
        <v>686</v>
      </c>
      <c r="B4714" s="355" t="s">
        <v>687</v>
      </c>
      <c r="C4714" s="283"/>
      <c r="D4714" s="283"/>
      <c r="E4714" s="428"/>
      <c r="F4714" s="624"/>
      <c r="G4714" s="248"/>
    </row>
    <row r="4715" spans="1:7">
      <c r="A4715" s="294"/>
      <c r="B4715" s="355" t="s">
        <v>1301</v>
      </c>
      <c r="C4715" s="283"/>
      <c r="D4715" s="283" t="s">
        <v>2646</v>
      </c>
      <c r="E4715" s="428">
        <v>1.4E-2</v>
      </c>
      <c r="F4715" s="360">
        <f>'UPAD-BAHAN-ALAT'!$I$95</f>
        <v>6825000</v>
      </c>
      <c r="G4715" s="248">
        <f>F4715*E4715</f>
        <v>95550</v>
      </c>
    </row>
    <row r="4716" spans="1:7">
      <c r="A4716" s="294"/>
      <c r="B4716" s="355" t="s">
        <v>4281</v>
      </c>
      <c r="C4716" s="283"/>
      <c r="D4716" s="283" t="s">
        <v>2646</v>
      </c>
      <c r="E4716" s="428">
        <v>3.5999999999999997E-2</v>
      </c>
      <c r="F4716" s="624">
        <f>$F$4715</f>
        <v>6825000</v>
      </c>
      <c r="G4716" s="248">
        <f>F4716*E4716</f>
        <v>245699.99999999997</v>
      </c>
    </row>
    <row r="4717" spans="1:7">
      <c r="A4717" s="247"/>
      <c r="B4717" s="355" t="s">
        <v>1304</v>
      </c>
      <c r="C4717" s="283"/>
      <c r="D4717" s="283" t="s">
        <v>773</v>
      </c>
      <c r="E4717" s="428">
        <v>0.25</v>
      </c>
      <c r="F4717" s="624">
        <f>'UPAD-BAHAN-ALAT'!$I$139</f>
        <v>21000</v>
      </c>
      <c r="G4717" s="248">
        <f>F4717*E4717</f>
        <v>5250</v>
      </c>
    </row>
    <row r="4718" spans="1:7">
      <c r="A4718" s="247"/>
      <c r="B4718" s="355"/>
      <c r="C4718" s="283"/>
      <c r="D4718" s="283"/>
      <c r="E4718" s="428" t="s">
        <v>702</v>
      </c>
      <c r="F4718" s="663"/>
      <c r="G4718" s="248">
        <f>SUM(G4715:G4717)</f>
        <v>346500</v>
      </c>
    </row>
    <row r="4719" spans="1:7" s="265" customFormat="1">
      <c r="A4719" s="294" t="s">
        <v>703</v>
      </c>
      <c r="B4719" s="357" t="s">
        <v>3910</v>
      </c>
      <c r="C4719" s="610"/>
      <c r="D4719" s="610"/>
      <c r="E4719" s="611"/>
      <c r="F4719" s="616"/>
      <c r="G4719" s="255">
        <f>G4713+G4718</f>
        <v>373700</v>
      </c>
    </row>
    <row r="4720" spans="1:7" s="265" customFormat="1">
      <c r="A4720" s="294" t="s">
        <v>706</v>
      </c>
      <c r="B4720" s="617" t="s">
        <v>876</v>
      </c>
      <c r="C4720" s="618"/>
      <c r="D4720" s="618"/>
      <c r="E4720" s="613" t="s">
        <v>4030</v>
      </c>
      <c r="F4720" s="616"/>
      <c r="G4720" s="255">
        <f>G4719*0.15</f>
        <v>56055</v>
      </c>
    </row>
    <row r="4721" spans="1:8" s="265" customFormat="1">
      <c r="A4721" s="294" t="s">
        <v>708</v>
      </c>
      <c r="B4721" s="357" t="s">
        <v>3911</v>
      </c>
      <c r="C4721" s="610"/>
      <c r="D4721" s="610"/>
      <c r="E4721" s="611"/>
      <c r="F4721" s="616"/>
      <c r="G4721" s="255">
        <f>ROUND(SUM(G4719:G4720),2)</f>
        <v>429755</v>
      </c>
      <c r="H4721" s="255">
        <f>SUM(G4719:G4720)</f>
        <v>429755</v>
      </c>
    </row>
    <row r="4722" spans="1:8">
      <c r="A4722" s="268"/>
      <c r="B4722" s="269"/>
      <c r="C4722" s="268"/>
      <c r="D4722" s="268"/>
      <c r="E4722" s="380"/>
      <c r="F4722" s="365"/>
      <c r="G4722" s="270"/>
    </row>
    <row r="4723" spans="1:8">
      <c r="A4723" s="285" t="s">
        <v>4282</v>
      </c>
      <c r="B4723" s="250" t="s">
        <v>3578</v>
      </c>
      <c r="C4723" s="252"/>
      <c r="D4723" s="252"/>
      <c r="E4723" s="374"/>
      <c r="F4723" s="361"/>
      <c r="G4723" s="253"/>
    </row>
    <row r="4724" spans="1:8" s="292" customFormat="1" ht="24.95" customHeight="1">
      <c r="A4724" s="290" t="s">
        <v>1003</v>
      </c>
      <c r="B4724" s="290" t="s">
        <v>1004</v>
      </c>
      <c r="C4724" s="293" t="s">
        <v>1005</v>
      </c>
      <c r="D4724" s="293" t="s">
        <v>1006</v>
      </c>
      <c r="E4724" s="379" t="s">
        <v>1007</v>
      </c>
      <c r="F4724" s="389" t="s">
        <v>2637</v>
      </c>
      <c r="G4724" s="291" t="s">
        <v>2638</v>
      </c>
    </row>
    <row r="4725" spans="1:8">
      <c r="A4725" s="294" t="s">
        <v>671</v>
      </c>
      <c r="B4725" s="410" t="s">
        <v>672</v>
      </c>
      <c r="C4725" s="283"/>
      <c r="D4725" s="283"/>
      <c r="E4725" s="428"/>
      <c r="F4725" s="429"/>
      <c r="G4725" s="632"/>
    </row>
    <row r="4726" spans="1:8">
      <c r="A4726" s="294"/>
      <c r="B4726" s="410" t="s">
        <v>673</v>
      </c>
      <c r="C4726" s="247" t="s">
        <v>674</v>
      </c>
      <c r="D4726" s="283" t="s">
        <v>675</v>
      </c>
      <c r="E4726" s="428">
        <v>0.1</v>
      </c>
      <c r="F4726" s="360">
        <f>'UPAD-BAHAN-ALAT'!$I$12</f>
        <v>110000</v>
      </c>
      <c r="G4726" s="248">
        <f>F4726*E4726</f>
        <v>11000</v>
      </c>
    </row>
    <row r="4727" spans="1:8">
      <c r="A4727" s="294"/>
      <c r="B4727" s="410" t="s">
        <v>871</v>
      </c>
      <c r="C4727" s="247" t="s">
        <v>678</v>
      </c>
      <c r="D4727" s="283" t="s">
        <v>675</v>
      </c>
      <c r="E4727" s="428">
        <v>0.1</v>
      </c>
      <c r="F4727" s="360">
        <f>'UPAD-BAHAN-ALAT'!$I$13</f>
        <v>140000</v>
      </c>
      <c r="G4727" s="248">
        <f>F4727*E4727</f>
        <v>14000</v>
      </c>
    </row>
    <row r="4728" spans="1:8">
      <c r="A4728" s="294"/>
      <c r="B4728" s="410" t="s">
        <v>751</v>
      </c>
      <c r="C4728" s="247" t="s">
        <v>681</v>
      </c>
      <c r="D4728" s="283" t="s">
        <v>675</v>
      </c>
      <c r="E4728" s="428">
        <v>0.01</v>
      </c>
      <c r="F4728" s="360">
        <f>'UPAD-BAHAN-ALAT'!$I$15</f>
        <v>150000</v>
      </c>
      <c r="G4728" s="248">
        <f>F4728*E4728</f>
        <v>1500</v>
      </c>
    </row>
    <row r="4729" spans="1:8">
      <c r="A4729" s="294"/>
      <c r="B4729" s="410" t="s">
        <v>683</v>
      </c>
      <c r="C4729" s="247" t="s">
        <v>684</v>
      </c>
      <c r="D4729" s="283" t="s">
        <v>675</v>
      </c>
      <c r="E4729" s="428">
        <v>5.0000000000000001E-3</v>
      </c>
      <c r="F4729" s="360">
        <f>'UPAD-BAHAN-ALAT'!$I$14</f>
        <v>140000</v>
      </c>
      <c r="G4729" s="248">
        <f>F4729*E4729</f>
        <v>700</v>
      </c>
    </row>
    <row r="4730" spans="1:8">
      <c r="A4730" s="294"/>
      <c r="B4730" s="410"/>
      <c r="C4730" s="283"/>
      <c r="D4730" s="283"/>
      <c r="E4730" s="428" t="s">
        <v>685</v>
      </c>
      <c r="F4730" s="429"/>
      <c r="G4730" s="632">
        <f>SUM(G4726:G4729)</f>
        <v>27200</v>
      </c>
    </row>
    <row r="4731" spans="1:8">
      <c r="A4731" s="294" t="s">
        <v>686</v>
      </c>
      <c r="B4731" s="410" t="s">
        <v>687</v>
      </c>
      <c r="C4731" s="283"/>
      <c r="D4731" s="283"/>
      <c r="E4731" s="428"/>
      <c r="F4731" s="429"/>
      <c r="G4731" s="632"/>
    </row>
    <row r="4732" spans="1:8">
      <c r="A4732" s="294"/>
      <c r="B4732" s="410" t="s">
        <v>1301</v>
      </c>
      <c r="C4732" s="283"/>
      <c r="D4732" s="283" t="s">
        <v>2646</v>
      </c>
      <c r="E4732" s="428">
        <v>1.4E-2</v>
      </c>
      <c r="F4732" s="360">
        <f>'UPAD-BAHAN-ALAT'!$I$95</f>
        <v>6825000</v>
      </c>
      <c r="G4732" s="248">
        <f>F4732*E4732</f>
        <v>95550</v>
      </c>
    </row>
    <row r="4733" spans="1:8">
      <c r="A4733" s="247"/>
      <c r="B4733" s="410" t="s">
        <v>1302</v>
      </c>
      <c r="C4733" s="283"/>
      <c r="D4733" s="283" t="s">
        <v>2646</v>
      </c>
      <c r="E4733" s="428">
        <v>5.7000000000000002E-2</v>
      </c>
      <c r="F4733" s="429">
        <f>$F$4732</f>
        <v>6825000</v>
      </c>
      <c r="G4733" s="248">
        <f>F4733*E4733</f>
        <v>389025</v>
      </c>
    </row>
    <row r="4734" spans="1:8">
      <c r="A4734" s="247"/>
      <c r="B4734" s="410" t="s">
        <v>1304</v>
      </c>
      <c r="C4734" s="283"/>
      <c r="D4734" s="283" t="s">
        <v>773</v>
      </c>
      <c r="E4734" s="428">
        <v>0.25</v>
      </c>
      <c r="F4734" s="624">
        <f>'UPAD-BAHAN-ALAT'!$I$139</f>
        <v>21000</v>
      </c>
      <c r="G4734" s="248">
        <f>F4734*E4734</f>
        <v>5250</v>
      </c>
    </row>
    <row r="4735" spans="1:8">
      <c r="A4735" s="247"/>
      <c r="B4735" s="410"/>
      <c r="C4735" s="283"/>
      <c r="D4735" s="283"/>
      <c r="E4735" s="428" t="s">
        <v>702</v>
      </c>
      <c r="F4735" s="429"/>
      <c r="G4735" s="632">
        <f>SUM(G4732:G4734)</f>
        <v>489825</v>
      </c>
    </row>
    <row r="4736" spans="1:8" s="265" customFormat="1">
      <c r="A4736" s="294" t="s">
        <v>703</v>
      </c>
      <c r="B4736" s="357" t="s">
        <v>3910</v>
      </c>
      <c r="C4736" s="610"/>
      <c r="D4736" s="610"/>
      <c r="E4736" s="611"/>
      <c r="F4736" s="639"/>
      <c r="G4736" s="631">
        <f>G4730+G4735</f>
        <v>517025</v>
      </c>
    </row>
    <row r="4737" spans="1:8" s="265" customFormat="1">
      <c r="A4737" s="294" t="s">
        <v>706</v>
      </c>
      <c r="B4737" s="617" t="s">
        <v>876</v>
      </c>
      <c r="C4737" s="618"/>
      <c r="D4737" s="633"/>
      <c r="E4737" s="613" t="s">
        <v>4030</v>
      </c>
      <c r="F4737" s="639"/>
      <c r="G4737" s="255">
        <f>G4736*0.15</f>
        <v>77553.75</v>
      </c>
    </row>
    <row r="4738" spans="1:8" s="265" customFormat="1">
      <c r="A4738" s="294" t="s">
        <v>708</v>
      </c>
      <c r="B4738" s="357" t="s">
        <v>3911</v>
      </c>
      <c r="C4738" s="610"/>
      <c r="D4738" s="610"/>
      <c r="E4738" s="611"/>
      <c r="F4738" s="639"/>
      <c r="G4738" s="255">
        <f>ROUND(SUM(G4736:G4737),2)</f>
        <v>594578.75</v>
      </c>
      <c r="H4738" s="631">
        <f>SUM(G4736:G4737)</f>
        <v>594578.75</v>
      </c>
    </row>
    <row r="4740" spans="1:8">
      <c r="A4740" s="285" t="s">
        <v>4283</v>
      </c>
      <c r="B4740" s="265" t="s">
        <v>3708</v>
      </c>
    </row>
    <row r="4741" spans="1:8" s="292" customFormat="1" ht="24.95" customHeight="1">
      <c r="A4741" s="290" t="s">
        <v>1003</v>
      </c>
      <c r="B4741" s="290" t="s">
        <v>1004</v>
      </c>
      <c r="C4741" s="290" t="s">
        <v>1005</v>
      </c>
      <c r="D4741" s="290" t="s">
        <v>1006</v>
      </c>
      <c r="E4741" s="373" t="s">
        <v>1007</v>
      </c>
      <c r="F4741" s="363" t="s">
        <v>2637</v>
      </c>
      <c r="G4741" s="291" t="s">
        <v>2638</v>
      </c>
    </row>
    <row r="4742" spans="1:8">
      <c r="A4742" s="294" t="s">
        <v>671</v>
      </c>
      <c r="B4742" s="410" t="s">
        <v>672</v>
      </c>
      <c r="C4742" s="247"/>
      <c r="D4742" s="247"/>
      <c r="E4742" s="372"/>
      <c r="F4742" s="360"/>
      <c r="G4742" s="248"/>
    </row>
    <row r="4743" spans="1:8">
      <c r="A4743" s="294"/>
      <c r="B4743" s="410" t="s">
        <v>673</v>
      </c>
      <c r="C4743" s="247" t="s">
        <v>674</v>
      </c>
      <c r="D4743" s="247" t="s">
        <v>675</v>
      </c>
      <c r="E4743" s="372">
        <v>0.12</v>
      </c>
      <c r="F4743" s="360">
        <f>'UPAD-BAHAN-ALAT'!$I$12</f>
        <v>110000</v>
      </c>
      <c r="G4743" s="248">
        <f>F4743*E4743</f>
        <v>13200</v>
      </c>
    </row>
    <row r="4744" spans="1:8">
      <c r="A4744" s="294"/>
      <c r="B4744" s="410" t="s">
        <v>677</v>
      </c>
      <c r="C4744" s="247" t="s">
        <v>678</v>
      </c>
      <c r="D4744" s="247" t="s">
        <v>675</v>
      </c>
      <c r="E4744" s="372">
        <v>0.12</v>
      </c>
      <c r="F4744" s="360">
        <f>'UPAD-BAHAN-ALAT'!$I$13</f>
        <v>140000</v>
      </c>
      <c r="G4744" s="248">
        <f>F4744*E4744</f>
        <v>16800</v>
      </c>
    </row>
    <row r="4745" spans="1:8">
      <c r="A4745" s="294"/>
      <c r="B4745" s="410" t="s">
        <v>751</v>
      </c>
      <c r="C4745" s="247" t="s">
        <v>681</v>
      </c>
      <c r="D4745" s="247" t="s">
        <v>675</v>
      </c>
      <c r="E4745" s="372">
        <v>1.2E-2</v>
      </c>
      <c r="F4745" s="360">
        <f>'UPAD-BAHAN-ALAT'!$I$15</f>
        <v>150000</v>
      </c>
      <c r="G4745" s="248">
        <f>F4745*E4745</f>
        <v>1800</v>
      </c>
    </row>
    <row r="4746" spans="1:8">
      <c r="A4746" s="294"/>
      <c r="B4746" s="410" t="s">
        <v>683</v>
      </c>
      <c r="C4746" s="247" t="s">
        <v>684</v>
      </c>
      <c r="D4746" s="247" t="s">
        <v>675</v>
      </c>
      <c r="E4746" s="372">
        <v>6.0000000000000001E-3</v>
      </c>
      <c r="F4746" s="360">
        <f>'UPAD-BAHAN-ALAT'!$I$14</f>
        <v>140000</v>
      </c>
      <c r="G4746" s="248">
        <f>F4746*E4746</f>
        <v>840</v>
      </c>
    </row>
    <row r="4747" spans="1:8">
      <c r="A4747" s="294"/>
      <c r="B4747" s="410"/>
      <c r="C4747" s="247"/>
      <c r="D4747" s="247"/>
      <c r="E4747" s="1146" t="s">
        <v>685</v>
      </c>
      <c r="F4747" s="1146"/>
      <c r="G4747" s="248">
        <f>SUM(G4743:G4746)</f>
        <v>32640</v>
      </c>
    </row>
    <row r="4748" spans="1:8">
      <c r="A4748" s="294" t="s">
        <v>686</v>
      </c>
      <c r="B4748" s="410" t="s">
        <v>687</v>
      </c>
      <c r="C4748" s="247"/>
      <c r="D4748" s="247"/>
      <c r="E4748" s="372"/>
      <c r="F4748" s="360"/>
      <c r="G4748" s="248"/>
    </row>
    <row r="4749" spans="1:8">
      <c r="A4749" s="294"/>
      <c r="B4749" s="410" t="s">
        <v>1305</v>
      </c>
      <c r="C4749" s="247"/>
      <c r="D4749" s="247" t="s">
        <v>2646</v>
      </c>
      <c r="E4749" s="372">
        <v>6.1999999999999998E-3</v>
      </c>
      <c r="F4749" s="360">
        <f>'UPAD-BAHAN-ALAT'!$I$95</f>
        <v>6825000</v>
      </c>
      <c r="G4749" s="248">
        <f>F4749*E4749</f>
        <v>42315</v>
      </c>
    </row>
    <row r="4750" spans="1:8">
      <c r="A4750" s="294"/>
      <c r="B4750" s="410" t="s">
        <v>734</v>
      </c>
      <c r="C4750" s="247"/>
      <c r="D4750" s="247" t="s">
        <v>773</v>
      </c>
      <c r="E4750" s="372">
        <v>0.2</v>
      </c>
      <c r="F4750" s="360">
        <f>'UPAD-BAHAN-ALAT'!$I$139</f>
        <v>21000</v>
      </c>
      <c r="G4750" s="248">
        <f>F4750*E4750</f>
        <v>4200</v>
      </c>
    </row>
    <row r="4751" spans="1:8">
      <c r="A4751" s="294"/>
      <c r="B4751" s="410"/>
      <c r="C4751" s="247"/>
      <c r="D4751" s="247"/>
      <c r="E4751" s="1155" t="s">
        <v>702</v>
      </c>
      <c r="F4751" s="1155"/>
      <c r="G4751" s="248">
        <f>SUM(G4749:G4750)</f>
        <v>46515</v>
      </c>
    </row>
    <row r="4752" spans="1:8" s="265" customFormat="1">
      <c r="A4752" s="294" t="s">
        <v>703</v>
      </c>
      <c r="B4752" s="1151" t="s">
        <v>3910</v>
      </c>
      <c r="C4752" s="1151"/>
      <c r="D4752" s="1151"/>
      <c r="E4752" s="1151"/>
      <c r="F4752" s="1151"/>
      <c r="G4752" s="255">
        <f>G4747+G4751</f>
        <v>79155</v>
      </c>
    </row>
    <row r="4753" spans="1:8" s="265" customFormat="1">
      <c r="A4753" s="294" t="s">
        <v>706</v>
      </c>
      <c r="B4753" s="1148" t="s">
        <v>876</v>
      </c>
      <c r="C4753" s="1148"/>
      <c r="D4753" s="1148"/>
      <c r="E4753" s="1147" t="s">
        <v>4030</v>
      </c>
      <c r="F4753" s="1147"/>
      <c r="G4753" s="255">
        <f>G4752*0.15</f>
        <v>11873.25</v>
      </c>
    </row>
    <row r="4754" spans="1:8" s="265" customFormat="1">
      <c r="A4754" s="294" t="s">
        <v>708</v>
      </c>
      <c r="B4754" s="1149" t="s">
        <v>3911</v>
      </c>
      <c r="C4754" s="1149"/>
      <c r="D4754" s="1149"/>
      <c r="E4754" s="1149"/>
      <c r="F4754" s="1149"/>
      <c r="G4754" s="255">
        <f>ROUND(SUM(G4752:G4753),2)</f>
        <v>91028.25</v>
      </c>
      <c r="H4754" s="255">
        <f>SUM(G4752:G4753)</f>
        <v>91028.25</v>
      </c>
    </row>
    <row r="4755" spans="1:8">
      <c r="A4755" s="252"/>
      <c r="B4755" s="251"/>
      <c r="C4755" s="252"/>
      <c r="D4755" s="251"/>
      <c r="E4755" s="378"/>
      <c r="F4755" s="364"/>
      <c r="G4755" s="264"/>
      <c r="H4755" s="253"/>
    </row>
    <row r="4756" spans="1:8">
      <c r="A4756" s="286" t="s">
        <v>4284</v>
      </c>
      <c r="B4756" s="265" t="s">
        <v>4651</v>
      </c>
    </row>
    <row r="4757" spans="1:8" s="292" customFormat="1" ht="24.95" customHeight="1">
      <c r="A4757" s="290" t="s">
        <v>1003</v>
      </c>
      <c r="B4757" s="290" t="s">
        <v>1004</v>
      </c>
      <c r="C4757" s="290" t="s">
        <v>1005</v>
      </c>
      <c r="D4757" s="290" t="s">
        <v>1006</v>
      </c>
      <c r="E4757" s="373" t="s">
        <v>1007</v>
      </c>
      <c r="F4757" s="363" t="s">
        <v>2637</v>
      </c>
      <c r="G4757" s="291" t="s">
        <v>2638</v>
      </c>
    </row>
    <row r="4758" spans="1:8">
      <c r="A4758" s="294" t="s">
        <v>671</v>
      </c>
      <c r="B4758" s="410" t="s">
        <v>672</v>
      </c>
      <c r="C4758" s="247"/>
      <c r="D4758" s="247"/>
      <c r="E4758" s="372"/>
      <c r="F4758" s="360"/>
      <c r="G4758" s="248"/>
    </row>
    <row r="4759" spans="1:8">
      <c r="A4759" s="294"/>
      <c r="B4759" s="410" t="s">
        <v>673</v>
      </c>
      <c r="C4759" s="247" t="s">
        <v>674</v>
      </c>
      <c r="D4759" s="247" t="s">
        <v>675</v>
      </c>
      <c r="E4759" s="372">
        <v>0.12</v>
      </c>
      <c r="F4759" s="360">
        <f>'UPAD-BAHAN-ALAT'!$I$12</f>
        <v>110000</v>
      </c>
      <c r="G4759" s="248">
        <f>F4759*E4759</f>
        <v>13200</v>
      </c>
    </row>
    <row r="4760" spans="1:8">
      <c r="A4760" s="294"/>
      <c r="B4760" s="410" t="s">
        <v>871</v>
      </c>
      <c r="C4760" s="247" t="s">
        <v>678</v>
      </c>
      <c r="D4760" s="247" t="s">
        <v>675</v>
      </c>
      <c r="E4760" s="372">
        <v>0.12</v>
      </c>
      <c r="F4760" s="360">
        <f>'UPAD-BAHAN-ALAT'!$I$13</f>
        <v>140000</v>
      </c>
      <c r="G4760" s="248">
        <f>F4760*E4760</f>
        <v>16800</v>
      </c>
    </row>
    <row r="4761" spans="1:8">
      <c r="A4761" s="294"/>
      <c r="B4761" s="410" t="s">
        <v>751</v>
      </c>
      <c r="C4761" s="247" t="s">
        <v>681</v>
      </c>
      <c r="D4761" s="247" t="s">
        <v>675</v>
      </c>
      <c r="E4761" s="372">
        <v>1.2E-2</v>
      </c>
      <c r="F4761" s="360">
        <f>'UPAD-BAHAN-ALAT'!$I$15</f>
        <v>150000</v>
      </c>
      <c r="G4761" s="248">
        <f>F4761*E4761</f>
        <v>1800</v>
      </c>
    </row>
    <row r="4762" spans="1:8">
      <c r="A4762" s="294"/>
      <c r="B4762" s="410" t="s">
        <v>683</v>
      </c>
      <c r="C4762" s="247" t="s">
        <v>684</v>
      </c>
      <c r="D4762" s="247" t="s">
        <v>675</v>
      </c>
      <c r="E4762" s="372">
        <v>6.0000000000000001E-3</v>
      </c>
      <c r="F4762" s="360">
        <f>'UPAD-BAHAN-ALAT'!$I$14</f>
        <v>140000</v>
      </c>
      <c r="G4762" s="248">
        <f>F4762*E4762</f>
        <v>840</v>
      </c>
    </row>
    <row r="4763" spans="1:8">
      <c r="A4763" s="294"/>
      <c r="B4763" s="410"/>
      <c r="C4763" s="247"/>
      <c r="D4763" s="247"/>
      <c r="E4763" s="1146" t="s">
        <v>685</v>
      </c>
      <c r="F4763" s="1146"/>
      <c r="G4763" s="248">
        <f>SUM(G4759:G4762)</f>
        <v>32640</v>
      </c>
    </row>
    <row r="4764" spans="1:8">
      <c r="A4764" s="294" t="s">
        <v>686</v>
      </c>
      <c r="B4764" s="410" t="s">
        <v>687</v>
      </c>
      <c r="C4764" s="247"/>
      <c r="D4764" s="247"/>
      <c r="E4764" s="372"/>
      <c r="F4764" s="360"/>
      <c r="G4764" s="248"/>
    </row>
    <row r="4765" spans="1:8">
      <c r="A4765" s="294"/>
      <c r="B4765" s="410" t="s">
        <v>1305</v>
      </c>
      <c r="C4765" s="247"/>
      <c r="D4765" s="247" t="s">
        <v>2646</v>
      </c>
      <c r="E4765" s="372">
        <v>1.4E-2</v>
      </c>
      <c r="F4765" s="360">
        <f>'UPAD-BAHAN-ALAT'!$I$95</f>
        <v>6825000</v>
      </c>
      <c r="G4765" s="248">
        <f>F4765*E4765</f>
        <v>95550</v>
      </c>
    </row>
    <row r="4766" spans="1:8">
      <c r="A4766" s="247"/>
      <c r="B4766" s="410" t="s">
        <v>1306</v>
      </c>
      <c r="C4766" s="247"/>
      <c r="D4766" s="247" t="s">
        <v>2646</v>
      </c>
      <c r="E4766" s="372">
        <v>5.7000000000000002E-2</v>
      </c>
      <c r="F4766" s="624">
        <f>'UPAD-BAHAN-ALAT'!$I$139</f>
        <v>21000</v>
      </c>
      <c r="G4766" s="248">
        <f>F4766*E4766</f>
        <v>1197</v>
      </c>
    </row>
    <row r="4767" spans="1:8">
      <c r="A4767" s="247"/>
      <c r="B4767" s="410"/>
      <c r="C4767" s="247"/>
      <c r="D4767" s="247"/>
      <c r="E4767" s="1155" t="s">
        <v>702</v>
      </c>
      <c r="F4767" s="1155"/>
      <c r="G4767" s="248">
        <f>SUM(G4765:G4766)</f>
        <v>96747</v>
      </c>
    </row>
    <row r="4768" spans="1:8" s="265" customFormat="1">
      <c r="A4768" s="294" t="s">
        <v>703</v>
      </c>
      <c r="B4768" s="1151" t="s">
        <v>3910</v>
      </c>
      <c r="C4768" s="1151"/>
      <c r="D4768" s="1151"/>
      <c r="E4768" s="1151"/>
      <c r="F4768" s="1151"/>
      <c r="G4768" s="255">
        <f>G4763+G4767</f>
        <v>129387</v>
      </c>
    </row>
    <row r="4769" spans="1:8" s="265" customFormat="1">
      <c r="A4769" s="294" t="s">
        <v>706</v>
      </c>
      <c r="B4769" s="1148" t="s">
        <v>876</v>
      </c>
      <c r="C4769" s="1148"/>
      <c r="D4769" s="1148"/>
      <c r="E4769" s="1147" t="s">
        <v>4030</v>
      </c>
      <c r="F4769" s="1147"/>
      <c r="G4769" s="255">
        <f>G4768*0.15</f>
        <v>19408.05</v>
      </c>
    </row>
    <row r="4770" spans="1:8" s="265" customFormat="1">
      <c r="A4770" s="294" t="s">
        <v>708</v>
      </c>
      <c r="B4770" s="1149" t="s">
        <v>3911</v>
      </c>
      <c r="C4770" s="1149"/>
      <c r="D4770" s="1149"/>
      <c r="E4770" s="1149"/>
      <c r="F4770" s="1149"/>
      <c r="G4770" s="255">
        <f>ROUND(SUM(G4768:G4769),2)</f>
        <v>148795.04999999999</v>
      </c>
      <c r="H4770" s="255">
        <f>SUM(G4768:G4769)</f>
        <v>148795.04999999999</v>
      </c>
    </row>
    <row r="4771" spans="1:8">
      <c r="A4771" s="268"/>
      <c r="B4771" s="269"/>
      <c r="C4771" s="268"/>
      <c r="D4771" s="268"/>
      <c r="E4771" s="380"/>
      <c r="F4771" s="365"/>
      <c r="G4771" s="270"/>
    </row>
    <row r="4772" spans="1:8">
      <c r="A4772" s="285" t="s">
        <v>4285</v>
      </c>
      <c r="B4772" s="250" t="s">
        <v>4652</v>
      </c>
      <c r="C4772" s="252"/>
      <c r="D4772" s="252"/>
      <c r="E4772" s="374"/>
      <c r="F4772" s="361"/>
      <c r="G4772" s="253"/>
    </row>
    <row r="4773" spans="1:8" s="292" customFormat="1" ht="24.95" customHeight="1">
      <c r="A4773" s="290" t="s">
        <v>1003</v>
      </c>
      <c r="B4773" s="290" t="s">
        <v>1004</v>
      </c>
      <c r="C4773" s="290" t="s">
        <v>1005</v>
      </c>
      <c r="D4773" s="290" t="s">
        <v>1006</v>
      </c>
      <c r="E4773" s="373" t="s">
        <v>1007</v>
      </c>
      <c r="F4773" s="363" t="s">
        <v>2637</v>
      </c>
      <c r="G4773" s="291" t="s">
        <v>2638</v>
      </c>
    </row>
    <row r="4774" spans="1:8">
      <c r="A4774" s="294" t="s">
        <v>671</v>
      </c>
      <c r="B4774" s="410" t="s">
        <v>672</v>
      </c>
      <c r="C4774" s="247"/>
      <c r="D4774" s="247"/>
      <c r="E4774" s="372"/>
      <c r="F4774" s="360"/>
      <c r="G4774" s="248"/>
    </row>
    <row r="4775" spans="1:8">
      <c r="A4775" s="294"/>
      <c r="B4775" s="410" t="s">
        <v>673</v>
      </c>
      <c r="C4775" s="247" t="s">
        <v>674</v>
      </c>
      <c r="D4775" s="247" t="s">
        <v>675</v>
      </c>
      <c r="E4775" s="372">
        <v>0.15</v>
      </c>
      <c r="F4775" s="360">
        <f>'UPAD-BAHAN-ALAT'!$I$12</f>
        <v>110000</v>
      </c>
      <c r="G4775" s="248">
        <f>F4775*E4775</f>
        <v>16500</v>
      </c>
    </row>
    <row r="4776" spans="1:8">
      <c r="A4776" s="294"/>
      <c r="B4776" s="410" t="s">
        <v>871</v>
      </c>
      <c r="C4776" s="247" t="s">
        <v>678</v>
      </c>
      <c r="D4776" s="247" t="s">
        <v>675</v>
      </c>
      <c r="E4776" s="372">
        <v>0.3</v>
      </c>
      <c r="F4776" s="360">
        <f>'UPAD-BAHAN-ALAT'!$I$13</f>
        <v>140000</v>
      </c>
      <c r="G4776" s="248">
        <f>F4776*E4776</f>
        <v>42000</v>
      </c>
    </row>
    <row r="4777" spans="1:8">
      <c r="A4777" s="294"/>
      <c r="B4777" s="410" t="s">
        <v>751</v>
      </c>
      <c r="C4777" s="247" t="s">
        <v>681</v>
      </c>
      <c r="D4777" s="247" t="s">
        <v>675</v>
      </c>
      <c r="E4777" s="372">
        <v>0.03</v>
      </c>
      <c r="F4777" s="360">
        <f>'UPAD-BAHAN-ALAT'!$I$15</f>
        <v>150000</v>
      </c>
      <c r="G4777" s="248">
        <f>F4777*E4777</f>
        <v>4500</v>
      </c>
    </row>
    <row r="4778" spans="1:8">
      <c r="A4778" s="294"/>
      <c r="B4778" s="410" t="s">
        <v>683</v>
      </c>
      <c r="C4778" s="247" t="s">
        <v>684</v>
      </c>
      <c r="D4778" s="247" t="s">
        <v>675</v>
      </c>
      <c r="E4778" s="372">
        <v>7.4999999999999997E-2</v>
      </c>
      <c r="F4778" s="360">
        <f>'UPAD-BAHAN-ALAT'!$I$14</f>
        <v>140000</v>
      </c>
      <c r="G4778" s="248">
        <f>F4778*E4778</f>
        <v>10500</v>
      </c>
    </row>
    <row r="4779" spans="1:8">
      <c r="A4779" s="294"/>
      <c r="B4779" s="410"/>
      <c r="C4779" s="247"/>
      <c r="D4779" s="247"/>
      <c r="E4779" s="1146" t="s">
        <v>685</v>
      </c>
      <c r="F4779" s="1146"/>
      <c r="G4779" s="248">
        <f>SUM(G4775:G4778)</f>
        <v>73500</v>
      </c>
    </row>
    <row r="4780" spans="1:8">
      <c r="A4780" s="294" t="s">
        <v>686</v>
      </c>
      <c r="B4780" s="410" t="s">
        <v>687</v>
      </c>
      <c r="C4780" s="247"/>
      <c r="D4780" s="247"/>
      <c r="E4780" s="372"/>
      <c r="F4780" s="360"/>
      <c r="G4780" s="248"/>
    </row>
    <row r="4781" spans="1:8">
      <c r="A4781" s="294"/>
      <c r="B4781" s="410" t="s">
        <v>1301</v>
      </c>
      <c r="C4781" s="247"/>
      <c r="D4781" s="247" t="s">
        <v>2646</v>
      </c>
      <c r="E4781" s="372">
        <v>1.54E-2</v>
      </c>
      <c r="F4781" s="360">
        <f>'UPAD-BAHAN-ALAT'!$I$96</f>
        <v>3465000</v>
      </c>
      <c r="G4781" s="248">
        <f>F4781*E4781</f>
        <v>53361</v>
      </c>
    </row>
    <row r="4782" spans="1:8">
      <c r="A4782" s="294"/>
      <c r="B4782" s="410" t="s">
        <v>1308</v>
      </c>
      <c r="C4782" s="247"/>
      <c r="D4782" s="247" t="s">
        <v>773</v>
      </c>
      <c r="E4782" s="372">
        <v>0.2</v>
      </c>
      <c r="F4782" s="624">
        <f>'UPAD-BAHAN-ALAT'!$I$139</f>
        <v>21000</v>
      </c>
      <c r="G4782" s="248">
        <f>F4782*E4782</f>
        <v>4200</v>
      </c>
    </row>
    <row r="4783" spans="1:8">
      <c r="A4783" s="247"/>
      <c r="B4783" s="295"/>
      <c r="C4783" s="296"/>
      <c r="D4783" s="296"/>
      <c r="E4783" s="1146" t="s">
        <v>702</v>
      </c>
      <c r="F4783" s="1146"/>
      <c r="G4783" s="248">
        <f>SUM(G4781:G4782)</f>
        <v>57561</v>
      </c>
    </row>
    <row r="4784" spans="1:8" s="265" customFormat="1">
      <c r="A4784" s="294" t="s">
        <v>703</v>
      </c>
      <c r="B4784" s="1147" t="s">
        <v>3910</v>
      </c>
      <c r="C4784" s="1147"/>
      <c r="D4784" s="1147"/>
      <c r="E4784" s="1147"/>
      <c r="F4784" s="1147"/>
      <c r="G4784" s="255">
        <f>G4779+G4783</f>
        <v>131061</v>
      </c>
    </row>
    <row r="4785" spans="1:8" s="265" customFormat="1">
      <c r="A4785" s="294" t="s">
        <v>706</v>
      </c>
      <c r="B4785" s="1148" t="s">
        <v>876</v>
      </c>
      <c r="C4785" s="1148"/>
      <c r="D4785" s="1148"/>
      <c r="E4785" s="1147" t="s">
        <v>4030</v>
      </c>
      <c r="F4785" s="1147"/>
      <c r="G4785" s="255">
        <f>G4784*0.15</f>
        <v>19659.149999999998</v>
      </c>
    </row>
    <row r="4786" spans="1:8" s="265" customFormat="1">
      <c r="A4786" s="294" t="s">
        <v>708</v>
      </c>
      <c r="B4786" s="1149" t="s">
        <v>3911</v>
      </c>
      <c r="C4786" s="1149"/>
      <c r="D4786" s="1149"/>
      <c r="E4786" s="1149"/>
      <c r="F4786" s="1149"/>
      <c r="G4786" s="255">
        <f>ROUND(SUM(G4784:G4785),2)</f>
        <v>150720.15</v>
      </c>
      <c r="H4786" s="255">
        <f>SUM(G4784:G4785)</f>
        <v>150720.15</v>
      </c>
    </row>
    <row r="4788" spans="1:8">
      <c r="A4788" s="286" t="s">
        <v>4286</v>
      </c>
      <c r="B4788" s="265" t="s">
        <v>4653</v>
      </c>
    </row>
    <row r="4789" spans="1:8" s="292" customFormat="1" ht="24.95" customHeight="1">
      <c r="A4789" s="290" t="s">
        <v>1003</v>
      </c>
      <c r="B4789" s="290" t="s">
        <v>1004</v>
      </c>
      <c r="C4789" s="290" t="s">
        <v>1005</v>
      </c>
      <c r="D4789" s="290" t="s">
        <v>1006</v>
      </c>
      <c r="E4789" s="373" t="s">
        <v>1007</v>
      </c>
      <c r="F4789" s="363" t="s">
        <v>2637</v>
      </c>
      <c r="G4789" s="291" t="s">
        <v>2638</v>
      </c>
    </row>
    <row r="4790" spans="1:8">
      <c r="A4790" s="294" t="s">
        <v>671</v>
      </c>
      <c r="B4790" s="410" t="s">
        <v>672</v>
      </c>
      <c r="C4790" s="247"/>
      <c r="D4790" s="247"/>
      <c r="E4790" s="372"/>
      <c r="F4790" s="360"/>
      <c r="G4790" s="248"/>
    </row>
    <row r="4791" spans="1:8">
      <c r="A4791" s="294"/>
      <c r="B4791" s="410" t="s">
        <v>673</v>
      </c>
      <c r="C4791" s="247" t="s">
        <v>674</v>
      </c>
      <c r="D4791" s="247" t="s">
        <v>675</v>
      </c>
      <c r="E4791" s="372">
        <v>0.2</v>
      </c>
      <c r="F4791" s="360">
        <f>'UPAD-BAHAN-ALAT'!$I$12</f>
        <v>110000</v>
      </c>
      <c r="G4791" s="248">
        <f>F4791*E4791</f>
        <v>22000</v>
      </c>
    </row>
    <row r="4792" spans="1:8">
      <c r="A4792" s="294"/>
      <c r="B4792" s="410" t="s">
        <v>871</v>
      </c>
      <c r="C4792" s="247" t="s">
        <v>678</v>
      </c>
      <c r="D4792" s="247" t="s">
        <v>675</v>
      </c>
      <c r="E4792" s="372">
        <v>0.3</v>
      </c>
      <c r="F4792" s="360">
        <f>'UPAD-BAHAN-ALAT'!$I$13</f>
        <v>140000</v>
      </c>
      <c r="G4792" s="248">
        <f>F4792*E4792</f>
        <v>42000</v>
      </c>
    </row>
    <row r="4793" spans="1:8">
      <c r="A4793" s="294"/>
      <c r="B4793" s="410" t="s">
        <v>751</v>
      </c>
      <c r="C4793" s="247" t="s">
        <v>681</v>
      </c>
      <c r="D4793" s="247" t="s">
        <v>675</v>
      </c>
      <c r="E4793" s="372">
        <v>0.03</v>
      </c>
      <c r="F4793" s="360">
        <f>'UPAD-BAHAN-ALAT'!$I$15</f>
        <v>150000</v>
      </c>
      <c r="G4793" s="248">
        <f>F4793*E4793</f>
        <v>4500</v>
      </c>
    </row>
    <row r="4794" spans="1:8">
      <c r="A4794" s="294"/>
      <c r="B4794" s="410" t="s">
        <v>683</v>
      </c>
      <c r="C4794" s="247" t="s">
        <v>684</v>
      </c>
      <c r="D4794" s="247" t="s">
        <v>675</v>
      </c>
      <c r="E4794" s="372">
        <v>0.01</v>
      </c>
      <c r="F4794" s="360">
        <f>'UPAD-BAHAN-ALAT'!$I$14</f>
        <v>140000</v>
      </c>
      <c r="G4794" s="248">
        <f>F4794*E4794</f>
        <v>1400</v>
      </c>
    </row>
    <row r="4795" spans="1:8">
      <c r="A4795" s="294"/>
      <c r="B4795" s="410"/>
      <c r="C4795" s="247"/>
      <c r="D4795" s="247"/>
      <c r="E4795" s="1146" t="s">
        <v>685</v>
      </c>
      <c r="F4795" s="1146"/>
      <c r="G4795" s="248">
        <f>SUM(G4791:G4794)</f>
        <v>69900</v>
      </c>
    </row>
    <row r="4796" spans="1:8">
      <c r="A4796" s="294" t="s">
        <v>686</v>
      </c>
      <c r="B4796" s="410" t="s">
        <v>687</v>
      </c>
      <c r="C4796" s="247"/>
      <c r="D4796" s="247"/>
      <c r="E4796" s="372"/>
      <c r="F4796" s="360"/>
      <c r="G4796" s="248"/>
    </row>
    <row r="4797" spans="1:8">
      <c r="A4797" s="294"/>
      <c r="B4797" s="410" t="s">
        <v>2643</v>
      </c>
      <c r="C4797" s="247"/>
      <c r="D4797" s="257" t="s">
        <v>2646</v>
      </c>
      <c r="E4797" s="375">
        <v>1.6299999999999999E-2</v>
      </c>
      <c r="F4797" s="360">
        <f>'UPAD-BAHAN-ALAT'!$I$96</f>
        <v>3465000</v>
      </c>
      <c r="G4797" s="248">
        <f>F4797*E4797</f>
        <v>56479.499999999993</v>
      </c>
    </row>
    <row r="4798" spans="1:8">
      <c r="A4798" s="247"/>
      <c r="B4798" s="410" t="s">
        <v>1312</v>
      </c>
      <c r="C4798" s="247"/>
      <c r="D4798" s="247" t="s">
        <v>773</v>
      </c>
      <c r="E4798" s="372">
        <v>0.25</v>
      </c>
      <c r="F4798" s="624">
        <f>'UPAD-BAHAN-ALAT'!$I$139</f>
        <v>21000</v>
      </c>
      <c r="G4798" s="248">
        <f>F4798*E4798</f>
        <v>5250</v>
      </c>
    </row>
    <row r="4799" spans="1:8">
      <c r="A4799" s="247"/>
      <c r="B4799" s="295"/>
      <c r="C4799" s="296"/>
      <c r="D4799" s="296"/>
      <c r="E4799" s="1146" t="s">
        <v>702</v>
      </c>
      <c r="F4799" s="1146"/>
      <c r="G4799" s="248">
        <f>SUM(G4797:G4798)</f>
        <v>61729.499999999993</v>
      </c>
    </row>
    <row r="4800" spans="1:8" s="265" customFormat="1">
      <c r="A4800" s="294" t="s">
        <v>703</v>
      </c>
      <c r="B4800" s="1147" t="s">
        <v>3910</v>
      </c>
      <c r="C4800" s="1147"/>
      <c r="D4800" s="1147"/>
      <c r="E4800" s="1147"/>
      <c r="F4800" s="1147"/>
      <c r="G4800" s="255">
        <f>G4795+G4799</f>
        <v>131629.5</v>
      </c>
    </row>
    <row r="4801" spans="1:8" s="265" customFormat="1">
      <c r="A4801" s="294" t="s">
        <v>706</v>
      </c>
      <c r="B4801" s="1148" t="s">
        <v>876</v>
      </c>
      <c r="C4801" s="1148"/>
      <c r="D4801" s="1148"/>
      <c r="E4801" s="1147" t="s">
        <v>4030</v>
      </c>
      <c r="F4801" s="1147"/>
      <c r="G4801" s="255">
        <f>G4800*0.15</f>
        <v>19744.424999999999</v>
      </c>
    </row>
    <row r="4802" spans="1:8" s="265" customFormat="1">
      <c r="A4802" s="294" t="s">
        <v>708</v>
      </c>
      <c r="B4802" s="1149" t="s">
        <v>3911</v>
      </c>
      <c r="C4802" s="1149"/>
      <c r="D4802" s="1149"/>
      <c r="E4802" s="1149"/>
      <c r="F4802" s="1149"/>
      <c r="G4802" s="255">
        <f>ROUND(SUM(G4800:G4801),2)</f>
        <v>151373.93</v>
      </c>
      <c r="H4802" s="255">
        <f>SUM(G4800:G4801)</f>
        <v>151373.92499999999</v>
      </c>
    </row>
    <row r="4803" spans="1:8">
      <c r="A4803" s="268"/>
      <c r="B4803" s="269"/>
      <c r="C4803" s="268"/>
      <c r="D4803" s="268"/>
      <c r="E4803" s="380"/>
      <c r="F4803" s="365"/>
      <c r="G4803" s="270"/>
    </row>
    <row r="4804" spans="1:8">
      <c r="A4804" s="285" t="s">
        <v>4287</v>
      </c>
      <c r="B4804" s="250" t="s">
        <v>4654</v>
      </c>
      <c r="C4804" s="252"/>
      <c r="D4804" s="252"/>
      <c r="E4804" s="374"/>
      <c r="F4804" s="361"/>
      <c r="G4804" s="253"/>
    </row>
    <row r="4805" spans="1:8" s="292" customFormat="1" ht="24.95" customHeight="1">
      <c r="A4805" s="290" t="s">
        <v>1003</v>
      </c>
      <c r="B4805" s="290" t="s">
        <v>1004</v>
      </c>
      <c r="C4805" s="290" t="s">
        <v>1005</v>
      </c>
      <c r="D4805" s="290" t="s">
        <v>1006</v>
      </c>
      <c r="E4805" s="373" t="s">
        <v>1007</v>
      </c>
      <c r="F4805" s="363" t="s">
        <v>2637</v>
      </c>
      <c r="G4805" s="291" t="s">
        <v>2638</v>
      </c>
    </row>
    <row r="4806" spans="1:8">
      <c r="A4806" s="294" t="s">
        <v>671</v>
      </c>
      <c r="B4806" s="410" t="s">
        <v>672</v>
      </c>
      <c r="C4806" s="247"/>
      <c r="D4806" s="247"/>
      <c r="E4806" s="372"/>
      <c r="F4806" s="360"/>
      <c r="G4806" s="248"/>
    </row>
    <row r="4807" spans="1:8">
      <c r="A4807" s="294"/>
      <c r="B4807" s="410" t="s">
        <v>673</v>
      </c>
      <c r="C4807" s="247" t="s">
        <v>674</v>
      </c>
      <c r="D4807" s="247" t="s">
        <v>675</v>
      </c>
      <c r="E4807" s="372">
        <v>0.1</v>
      </c>
      <c r="F4807" s="360">
        <f>'UPAD-BAHAN-ALAT'!$I$12</f>
        <v>110000</v>
      </c>
      <c r="G4807" s="248">
        <f>F4807*E4807</f>
        <v>11000</v>
      </c>
    </row>
    <row r="4808" spans="1:8">
      <c r="A4808" s="294"/>
      <c r="B4808" s="410" t="s">
        <v>871</v>
      </c>
      <c r="C4808" s="247" t="s">
        <v>678</v>
      </c>
      <c r="D4808" s="247" t="s">
        <v>675</v>
      </c>
      <c r="E4808" s="372">
        <v>0.2</v>
      </c>
      <c r="F4808" s="360">
        <f>'UPAD-BAHAN-ALAT'!$I$13</f>
        <v>140000</v>
      </c>
      <c r="G4808" s="248">
        <f>F4808*E4808</f>
        <v>28000</v>
      </c>
    </row>
    <row r="4809" spans="1:8">
      <c r="A4809" s="294"/>
      <c r="B4809" s="410" t="s">
        <v>751</v>
      </c>
      <c r="C4809" s="247" t="s">
        <v>681</v>
      </c>
      <c r="D4809" s="247" t="s">
        <v>675</v>
      </c>
      <c r="E4809" s="372">
        <v>0.02</v>
      </c>
      <c r="F4809" s="360">
        <f>'UPAD-BAHAN-ALAT'!$I$15</f>
        <v>150000</v>
      </c>
      <c r="G4809" s="248">
        <f>F4809*E4809</f>
        <v>3000</v>
      </c>
    </row>
    <row r="4810" spans="1:8">
      <c r="A4810" s="294"/>
      <c r="B4810" s="410" t="s">
        <v>683</v>
      </c>
      <c r="C4810" s="247" t="s">
        <v>684</v>
      </c>
      <c r="D4810" s="247" t="s">
        <v>675</v>
      </c>
      <c r="E4810" s="372">
        <v>5.0000000000000001E-3</v>
      </c>
      <c r="F4810" s="360">
        <f>'UPAD-BAHAN-ALAT'!$I$14</f>
        <v>140000</v>
      </c>
      <c r="G4810" s="248">
        <f>F4810*E4810</f>
        <v>700</v>
      </c>
    </row>
    <row r="4811" spans="1:8">
      <c r="A4811" s="294"/>
      <c r="B4811" s="410"/>
      <c r="C4811" s="247"/>
      <c r="D4811" s="247"/>
      <c r="E4811" s="1146" t="s">
        <v>685</v>
      </c>
      <c r="F4811" s="1146"/>
      <c r="G4811" s="248">
        <f>SUM(G4807:G4810)</f>
        <v>42700</v>
      </c>
    </row>
    <row r="4812" spans="1:8">
      <c r="A4812" s="294" t="s">
        <v>686</v>
      </c>
      <c r="B4812" s="410" t="s">
        <v>687</v>
      </c>
      <c r="C4812" s="247"/>
      <c r="D4812" s="247"/>
      <c r="E4812" s="372"/>
      <c r="F4812" s="360"/>
      <c r="G4812" s="248"/>
    </row>
    <row r="4813" spans="1:8">
      <c r="A4813" s="294"/>
      <c r="B4813" s="410" t="s">
        <v>1270</v>
      </c>
      <c r="C4813" s="247"/>
      <c r="D4813" s="247" t="s">
        <v>2646</v>
      </c>
      <c r="E4813" s="372">
        <v>1.0800000000000001E-2</v>
      </c>
      <c r="F4813" s="360">
        <f>'UPAD-BAHAN-ALAT'!$I$95</f>
        <v>6825000</v>
      </c>
      <c r="G4813" s="248">
        <f>F4813*E4813</f>
        <v>73710</v>
      </c>
    </row>
    <row r="4814" spans="1:8">
      <c r="A4814" s="294"/>
      <c r="B4814" s="410" t="s">
        <v>1314</v>
      </c>
      <c r="C4814" s="247"/>
      <c r="D4814" s="247" t="s">
        <v>773</v>
      </c>
      <c r="E4814" s="372">
        <v>0.1</v>
      </c>
      <c r="F4814" s="624">
        <f>'UPAD-BAHAN-ALAT'!$I$139</f>
        <v>21000</v>
      </c>
      <c r="G4814" s="248">
        <f>F4814*E4814</f>
        <v>2100</v>
      </c>
    </row>
    <row r="4815" spans="1:8">
      <c r="A4815" s="247"/>
      <c r="B4815" s="410"/>
      <c r="C4815" s="247"/>
      <c r="D4815" s="247"/>
      <c r="E4815" s="1155" t="s">
        <v>702</v>
      </c>
      <c r="F4815" s="1155"/>
      <c r="G4815" s="248">
        <f>SUM(G4813:G4814)</f>
        <v>75810</v>
      </c>
    </row>
    <row r="4816" spans="1:8" s="265" customFormat="1">
      <c r="A4816" s="294" t="s">
        <v>703</v>
      </c>
      <c r="B4816" s="1151" t="s">
        <v>3910</v>
      </c>
      <c r="C4816" s="1151"/>
      <c r="D4816" s="1151"/>
      <c r="E4816" s="1151"/>
      <c r="F4816" s="1151"/>
      <c r="G4816" s="255">
        <f>G4811+G4815</f>
        <v>118510</v>
      </c>
    </row>
    <row r="4817" spans="1:8" s="265" customFormat="1">
      <c r="A4817" s="294" t="s">
        <v>706</v>
      </c>
      <c r="B4817" s="1148" t="s">
        <v>876</v>
      </c>
      <c r="C4817" s="1148"/>
      <c r="D4817" s="1148"/>
      <c r="E4817" s="1147" t="s">
        <v>4030</v>
      </c>
      <c r="F4817" s="1147"/>
      <c r="G4817" s="255">
        <f>G4816*0.15</f>
        <v>17776.5</v>
      </c>
    </row>
    <row r="4818" spans="1:8" s="265" customFormat="1">
      <c r="A4818" s="294" t="s">
        <v>708</v>
      </c>
      <c r="B4818" s="1149" t="s">
        <v>3911</v>
      </c>
      <c r="C4818" s="1149"/>
      <c r="D4818" s="1149"/>
      <c r="E4818" s="1149"/>
      <c r="F4818" s="1149"/>
      <c r="G4818" s="255">
        <f>ROUND(SUM(G4816:G4817),2)</f>
        <v>136286.5</v>
      </c>
      <c r="H4818" s="255">
        <f>SUM(G4816:G4817)</f>
        <v>136286.5</v>
      </c>
    </row>
    <row r="4820" spans="1:8">
      <c r="A4820" s="286" t="s">
        <v>4288</v>
      </c>
      <c r="B4820" s="265" t="s">
        <v>4655</v>
      </c>
    </row>
    <row r="4821" spans="1:8" s="292" customFormat="1" ht="24.95" customHeight="1">
      <c r="A4821" s="290" t="s">
        <v>1003</v>
      </c>
      <c r="B4821" s="290" t="s">
        <v>1004</v>
      </c>
      <c r="C4821" s="290" t="s">
        <v>1005</v>
      </c>
      <c r="D4821" s="290" t="s">
        <v>1006</v>
      </c>
      <c r="E4821" s="373" t="s">
        <v>1007</v>
      </c>
      <c r="F4821" s="363" t="s">
        <v>2637</v>
      </c>
      <c r="G4821" s="291" t="s">
        <v>2638</v>
      </c>
    </row>
    <row r="4822" spans="1:8">
      <c r="A4822" s="294" t="s">
        <v>671</v>
      </c>
      <c r="B4822" s="410" t="s">
        <v>672</v>
      </c>
      <c r="C4822" s="247"/>
      <c r="D4822" s="247"/>
      <c r="E4822" s="372"/>
      <c r="F4822" s="360"/>
      <c r="G4822" s="248"/>
    </row>
    <row r="4823" spans="1:8">
      <c r="A4823" s="294"/>
      <c r="B4823" s="410" t="s">
        <v>673</v>
      </c>
      <c r="C4823" s="247" t="s">
        <v>674</v>
      </c>
      <c r="D4823" s="247" t="s">
        <v>675</v>
      </c>
      <c r="E4823" s="372">
        <v>0.1</v>
      </c>
      <c r="F4823" s="360">
        <f>'UPAD-BAHAN-ALAT'!$I$12</f>
        <v>110000</v>
      </c>
      <c r="G4823" s="248">
        <f>F4823*E4823</f>
        <v>11000</v>
      </c>
    </row>
    <row r="4824" spans="1:8">
      <c r="A4824" s="294"/>
      <c r="B4824" s="410" t="s">
        <v>871</v>
      </c>
      <c r="C4824" s="247" t="s">
        <v>678</v>
      </c>
      <c r="D4824" s="247" t="s">
        <v>675</v>
      </c>
      <c r="E4824" s="372">
        <v>0.2</v>
      </c>
      <c r="F4824" s="360">
        <f>'UPAD-BAHAN-ALAT'!$I$13</f>
        <v>140000</v>
      </c>
      <c r="G4824" s="248">
        <f>F4824*E4824</f>
        <v>28000</v>
      </c>
    </row>
    <row r="4825" spans="1:8">
      <c r="A4825" s="294"/>
      <c r="B4825" s="410" t="s">
        <v>751</v>
      </c>
      <c r="C4825" s="247" t="s">
        <v>681</v>
      </c>
      <c r="D4825" s="247" t="s">
        <v>675</v>
      </c>
      <c r="E4825" s="372">
        <v>0.02</v>
      </c>
      <c r="F4825" s="360">
        <f>'UPAD-BAHAN-ALAT'!$I$15</f>
        <v>150000</v>
      </c>
      <c r="G4825" s="248">
        <f>F4825*E4825</f>
        <v>3000</v>
      </c>
    </row>
    <row r="4826" spans="1:8">
      <c r="A4826" s="294"/>
      <c r="B4826" s="410" t="s">
        <v>683</v>
      </c>
      <c r="C4826" s="247" t="s">
        <v>684</v>
      </c>
      <c r="D4826" s="247" t="s">
        <v>675</v>
      </c>
      <c r="E4826" s="372">
        <v>5.0000000000000001E-3</v>
      </c>
      <c r="F4826" s="360">
        <f>'UPAD-BAHAN-ALAT'!$I$14</f>
        <v>140000</v>
      </c>
      <c r="G4826" s="248">
        <f>F4826*E4826</f>
        <v>700</v>
      </c>
    </row>
    <row r="4827" spans="1:8">
      <c r="A4827" s="294"/>
      <c r="B4827" s="410"/>
      <c r="C4827" s="247"/>
      <c r="D4827" s="247"/>
      <c r="E4827" s="1146" t="s">
        <v>685</v>
      </c>
      <c r="F4827" s="1146"/>
      <c r="G4827" s="248">
        <f>SUM(G4823:G4826)</f>
        <v>42700</v>
      </c>
    </row>
    <row r="4828" spans="1:8">
      <c r="A4828" s="294" t="s">
        <v>686</v>
      </c>
      <c r="B4828" s="410" t="s">
        <v>687</v>
      </c>
      <c r="C4828" s="247"/>
      <c r="D4828" s="247"/>
      <c r="E4828" s="372"/>
      <c r="F4828" s="360"/>
      <c r="G4828" s="248"/>
    </row>
    <row r="4829" spans="1:8">
      <c r="A4829" s="294"/>
      <c r="B4829" s="410" t="s">
        <v>1270</v>
      </c>
      <c r="C4829" s="247"/>
      <c r="D4829" s="247" t="s">
        <v>2646</v>
      </c>
      <c r="E4829" s="372">
        <v>1.0999999999999999E-2</v>
      </c>
      <c r="F4829" s="360">
        <f>'UPAD-BAHAN-ALAT'!$I$95</f>
        <v>6825000</v>
      </c>
      <c r="G4829" s="248">
        <f>F4829*E4829</f>
        <v>75075</v>
      </c>
    </row>
    <row r="4830" spans="1:8">
      <c r="A4830" s="247"/>
      <c r="B4830" s="410" t="s">
        <v>1314</v>
      </c>
      <c r="C4830" s="247"/>
      <c r="D4830" s="247" t="s">
        <v>773</v>
      </c>
      <c r="E4830" s="372">
        <v>0.05</v>
      </c>
      <c r="F4830" s="624">
        <f>'UPAD-BAHAN-ALAT'!$I$139</f>
        <v>21000</v>
      </c>
      <c r="G4830" s="248">
        <f>F4830*E4830</f>
        <v>1050</v>
      </c>
    </row>
    <row r="4831" spans="1:8">
      <c r="A4831" s="247"/>
      <c r="B4831" s="410"/>
      <c r="C4831" s="247"/>
      <c r="D4831" s="247"/>
      <c r="E4831" s="1155" t="s">
        <v>702</v>
      </c>
      <c r="F4831" s="1155"/>
      <c r="G4831" s="248">
        <f>SUM(G4829:G4830)</f>
        <v>76125</v>
      </c>
    </row>
    <row r="4832" spans="1:8" s="265" customFormat="1">
      <c r="A4832" s="294" t="s">
        <v>703</v>
      </c>
      <c r="B4832" s="1151" t="s">
        <v>3910</v>
      </c>
      <c r="C4832" s="1151"/>
      <c r="D4832" s="1151"/>
      <c r="E4832" s="1151"/>
      <c r="F4832" s="1151"/>
      <c r="G4832" s="255">
        <f>G4827+G4831</f>
        <v>118825</v>
      </c>
    </row>
    <row r="4833" spans="1:8" s="265" customFormat="1">
      <c r="A4833" s="294" t="s">
        <v>706</v>
      </c>
      <c r="B4833" s="1148" t="s">
        <v>876</v>
      </c>
      <c r="C4833" s="1148"/>
      <c r="D4833" s="1148"/>
      <c r="E4833" s="1147" t="s">
        <v>4030</v>
      </c>
      <c r="F4833" s="1147"/>
      <c r="G4833" s="255">
        <f>G4832*0.15</f>
        <v>17823.75</v>
      </c>
    </row>
    <row r="4834" spans="1:8" s="265" customFormat="1">
      <c r="A4834" s="294" t="s">
        <v>708</v>
      </c>
      <c r="B4834" s="1149" t="s">
        <v>3911</v>
      </c>
      <c r="C4834" s="1149"/>
      <c r="D4834" s="1149"/>
      <c r="E4834" s="1149"/>
      <c r="F4834" s="1149"/>
      <c r="G4834" s="255">
        <f>ROUND(SUM(G4832:G4833),2)</f>
        <v>136648.75</v>
      </c>
      <c r="H4834" s="255">
        <f>SUM(G4832:G4833)</f>
        <v>136648.75</v>
      </c>
    </row>
    <row r="4835" spans="1:8">
      <c r="A4835" s="268"/>
      <c r="B4835" s="269"/>
      <c r="C4835" s="268"/>
      <c r="D4835" s="268"/>
      <c r="E4835" s="380"/>
      <c r="F4835" s="365"/>
      <c r="G4835" s="270"/>
    </row>
    <row r="4836" spans="1:8">
      <c r="A4836" s="286" t="s">
        <v>4289</v>
      </c>
      <c r="B4836" s="250" t="s">
        <v>3694</v>
      </c>
      <c r="C4836" s="252"/>
      <c r="D4836" s="252"/>
      <c r="E4836" s="374"/>
      <c r="F4836" s="361"/>
      <c r="G4836" s="253"/>
    </row>
    <row r="4837" spans="1:8" s="292" customFormat="1" ht="24.95" customHeight="1">
      <c r="A4837" s="290" t="s">
        <v>1003</v>
      </c>
      <c r="B4837" s="290" t="s">
        <v>1004</v>
      </c>
      <c r="C4837" s="290" t="s">
        <v>1005</v>
      </c>
      <c r="D4837" s="290" t="s">
        <v>1006</v>
      </c>
      <c r="E4837" s="373" t="s">
        <v>1007</v>
      </c>
      <c r="F4837" s="363" t="s">
        <v>2637</v>
      </c>
      <c r="G4837" s="291" t="s">
        <v>2638</v>
      </c>
    </row>
    <row r="4838" spans="1:8">
      <c r="A4838" s="294" t="s">
        <v>671</v>
      </c>
      <c r="B4838" s="410" t="s">
        <v>672</v>
      </c>
      <c r="C4838" s="247"/>
      <c r="D4838" s="247"/>
      <c r="E4838" s="372"/>
      <c r="F4838" s="360"/>
      <c r="G4838" s="248"/>
    </row>
    <row r="4839" spans="1:8">
      <c r="A4839" s="294"/>
      <c r="B4839" s="410" t="s">
        <v>673</v>
      </c>
      <c r="C4839" s="247" t="s">
        <v>674</v>
      </c>
      <c r="D4839" s="247" t="s">
        <v>675</v>
      </c>
      <c r="E4839" s="372">
        <v>8.4000000000000005E-2</v>
      </c>
      <c r="F4839" s="360">
        <f>'UPAD-BAHAN-ALAT'!$I$12</f>
        <v>110000</v>
      </c>
      <c r="G4839" s="248">
        <f>F4839*E4839</f>
        <v>9240</v>
      </c>
    </row>
    <row r="4840" spans="1:8">
      <c r="A4840" s="294"/>
      <c r="B4840" s="410" t="s">
        <v>677</v>
      </c>
      <c r="C4840" s="247" t="s">
        <v>678</v>
      </c>
      <c r="D4840" s="247" t="s">
        <v>675</v>
      </c>
      <c r="E4840" s="372">
        <v>0.125</v>
      </c>
      <c r="F4840" s="360">
        <f>'UPAD-BAHAN-ALAT'!$I$13</f>
        <v>140000</v>
      </c>
      <c r="G4840" s="248">
        <f>F4840*E4840</f>
        <v>17500</v>
      </c>
    </row>
    <row r="4841" spans="1:8">
      <c r="A4841" s="294"/>
      <c r="B4841" s="410" t="s">
        <v>751</v>
      </c>
      <c r="C4841" s="247" t="s">
        <v>681</v>
      </c>
      <c r="D4841" s="247" t="s">
        <v>675</v>
      </c>
      <c r="E4841" s="372">
        <v>1.2999999999999999E-2</v>
      </c>
      <c r="F4841" s="360">
        <f>'UPAD-BAHAN-ALAT'!$I$15</f>
        <v>150000</v>
      </c>
      <c r="G4841" s="248">
        <f>F4841*E4841</f>
        <v>1950</v>
      </c>
    </row>
    <row r="4842" spans="1:8">
      <c r="A4842" s="294"/>
      <c r="B4842" s="410" t="s">
        <v>683</v>
      </c>
      <c r="C4842" s="247" t="s">
        <v>684</v>
      </c>
      <c r="D4842" s="247" t="s">
        <v>675</v>
      </c>
      <c r="E4842" s="372">
        <v>4.0000000000000001E-3</v>
      </c>
      <c r="F4842" s="360">
        <f>'UPAD-BAHAN-ALAT'!$I$14</f>
        <v>140000</v>
      </c>
      <c r="G4842" s="248">
        <f>F4842*E4842</f>
        <v>560</v>
      </c>
    </row>
    <row r="4843" spans="1:8">
      <c r="A4843" s="294"/>
      <c r="B4843" s="410"/>
      <c r="C4843" s="247"/>
      <c r="D4843" s="247"/>
      <c r="E4843" s="1146" t="s">
        <v>685</v>
      </c>
      <c r="F4843" s="1146"/>
      <c r="G4843" s="248">
        <f>SUM(G4839:G4842)</f>
        <v>29250</v>
      </c>
    </row>
    <row r="4844" spans="1:8">
      <c r="A4844" s="294" t="s">
        <v>686</v>
      </c>
      <c r="B4844" s="410" t="s">
        <v>687</v>
      </c>
      <c r="C4844" s="247"/>
      <c r="D4844" s="247"/>
      <c r="E4844" s="372"/>
      <c r="F4844" s="360"/>
      <c r="G4844" s="248"/>
    </row>
    <row r="4845" spans="1:8">
      <c r="A4845" s="294"/>
      <c r="B4845" s="410" t="s">
        <v>3695</v>
      </c>
      <c r="C4845" s="247"/>
      <c r="D4845" s="247" t="s">
        <v>715</v>
      </c>
      <c r="E4845" s="372">
        <v>1.1000000000000001</v>
      </c>
      <c r="F4845" s="360">
        <f>'UPAD-BAHAN-ALAT'!$I$325</f>
        <v>35000</v>
      </c>
      <c r="G4845" s="248">
        <f>F4845*E4845</f>
        <v>38500</v>
      </c>
    </row>
    <row r="4846" spans="1:8">
      <c r="A4846" s="294"/>
      <c r="B4846" s="410" t="s">
        <v>2655</v>
      </c>
      <c r="C4846" s="247"/>
      <c r="D4846" s="247" t="s">
        <v>743</v>
      </c>
      <c r="E4846" s="372">
        <v>6</v>
      </c>
      <c r="F4846" s="360">
        <f>'UPAD-BAHAN-ALAT'!$I$142</f>
        <v>550</v>
      </c>
      <c r="G4846" s="248">
        <f>F4846*E4846</f>
        <v>3300</v>
      </c>
    </row>
    <row r="4847" spans="1:8">
      <c r="A4847" s="247"/>
      <c r="B4847" s="410"/>
      <c r="C4847" s="247"/>
      <c r="D4847" s="247"/>
      <c r="E4847" s="1155" t="s">
        <v>702</v>
      </c>
      <c r="F4847" s="1155"/>
      <c r="G4847" s="248">
        <f>SUM(G4845:G4846)</f>
        <v>41800</v>
      </c>
    </row>
    <row r="4848" spans="1:8" s="265" customFormat="1">
      <c r="A4848" s="294" t="s">
        <v>703</v>
      </c>
      <c r="B4848" s="1151" t="s">
        <v>3910</v>
      </c>
      <c r="C4848" s="1151"/>
      <c r="D4848" s="1151"/>
      <c r="E4848" s="1151"/>
      <c r="F4848" s="1151"/>
      <c r="G4848" s="255">
        <f>G4843+G4847</f>
        <v>71050</v>
      </c>
    </row>
    <row r="4849" spans="1:8" s="265" customFormat="1">
      <c r="A4849" s="294" t="s">
        <v>706</v>
      </c>
      <c r="B4849" s="1148" t="s">
        <v>876</v>
      </c>
      <c r="C4849" s="1148"/>
      <c r="D4849" s="1148"/>
      <c r="E4849" s="1147" t="s">
        <v>4030</v>
      </c>
      <c r="F4849" s="1147"/>
      <c r="G4849" s="255">
        <f>G4848*0.15</f>
        <v>10657.5</v>
      </c>
    </row>
    <row r="4850" spans="1:8" s="265" customFormat="1">
      <c r="A4850" s="294" t="s">
        <v>708</v>
      </c>
      <c r="B4850" s="1149" t="s">
        <v>3911</v>
      </c>
      <c r="C4850" s="1149"/>
      <c r="D4850" s="1149"/>
      <c r="E4850" s="1149"/>
      <c r="F4850" s="1149"/>
      <c r="G4850" s="255">
        <f>ROUND(SUM(G4848:G4849),2)</f>
        <v>81707.5</v>
      </c>
      <c r="H4850" s="255">
        <f>SUM(G4848:G4849)</f>
        <v>81707.5</v>
      </c>
    </row>
    <row r="4852" spans="1:8">
      <c r="A4852" s="286" t="s">
        <v>4290</v>
      </c>
      <c r="B4852" s="265" t="s">
        <v>3700</v>
      </c>
    </row>
    <row r="4853" spans="1:8" s="292" customFormat="1" ht="24.95" customHeight="1">
      <c r="A4853" s="290" t="s">
        <v>1003</v>
      </c>
      <c r="B4853" s="290" t="s">
        <v>1004</v>
      </c>
      <c r="C4853" s="290" t="s">
        <v>1005</v>
      </c>
      <c r="D4853" s="290" t="s">
        <v>1006</v>
      </c>
      <c r="E4853" s="373" t="s">
        <v>1007</v>
      </c>
      <c r="F4853" s="363" t="s">
        <v>2637</v>
      </c>
      <c r="G4853" s="291" t="s">
        <v>2638</v>
      </c>
    </row>
    <row r="4854" spans="1:8">
      <c r="A4854" s="294" t="s">
        <v>671</v>
      </c>
      <c r="B4854" s="410" t="s">
        <v>672</v>
      </c>
      <c r="C4854" s="247"/>
      <c r="D4854" s="247"/>
      <c r="E4854" s="372"/>
      <c r="F4854" s="360"/>
      <c r="G4854" s="248"/>
    </row>
    <row r="4855" spans="1:8">
      <c r="A4855" s="294"/>
      <c r="B4855" s="410" t="s">
        <v>673</v>
      </c>
      <c r="C4855" s="247" t="s">
        <v>674</v>
      </c>
      <c r="D4855" s="247" t="s">
        <v>675</v>
      </c>
      <c r="E4855" s="372">
        <v>0.35</v>
      </c>
      <c r="F4855" s="360">
        <f>'UPAD-BAHAN-ALAT'!$I$12</f>
        <v>110000</v>
      </c>
      <c r="G4855" s="248">
        <f>F4855*E4855</f>
        <v>38500</v>
      </c>
    </row>
    <row r="4856" spans="1:8">
      <c r="A4856" s="294"/>
      <c r="B4856" s="410" t="s">
        <v>816</v>
      </c>
      <c r="C4856" s="247" t="s">
        <v>678</v>
      </c>
      <c r="D4856" s="247" t="s">
        <v>675</v>
      </c>
      <c r="E4856" s="372">
        <v>0.17499999999999999</v>
      </c>
      <c r="F4856" s="360">
        <f>'UPAD-BAHAN-ALAT'!$I$13</f>
        <v>140000</v>
      </c>
      <c r="G4856" s="248">
        <f>F4856*E4856</f>
        <v>24500</v>
      </c>
    </row>
    <row r="4857" spans="1:8">
      <c r="A4857" s="294"/>
      <c r="B4857" s="410" t="s">
        <v>751</v>
      </c>
      <c r="C4857" s="247" t="s">
        <v>681</v>
      </c>
      <c r="D4857" s="247" t="s">
        <v>675</v>
      </c>
      <c r="E4857" s="372">
        <v>1.7000000000000001E-2</v>
      </c>
      <c r="F4857" s="360">
        <f>'UPAD-BAHAN-ALAT'!$I$15</f>
        <v>150000</v>
      </c>
      <c r="G4857" s="248">
        <f>F4857*E4857</f>
        <v>2550</v>
      </c>
    </row>
    <row r="4858" spans="1:8">
      <c r="A4858" s="294"/>
      <c r="B4858" s="410" t="s">
        <v>683</v>
      </c>
      <c r="C4858" s="247" t="s">
        <v>684</v>
      </c>
      <c r="D4858" s="247" t="s">
        <v>675</v>
      </c>
      <c r="E4858" s="372">
        <v>2E-3</v>
      </c>
      <c r="F4858" s="360">
        <f>'UPAD-BAHAN-ALAT'!$I$14</f>
        <v>140000</v>
      </c>
      <c r="G4858" s="248">
        <f>F4858*E4858</f>
        <v>280</v>
      </c>
    </row>
    <row r="4859" spans="1:8">
      <c r="A4859" s="294"/>
      <c r="B4859" s="410"/>
      <c r="C4859" s="247"/>
      <c r="D4859" s="247"/>
      <c r="E4859" s="1146" t="s">
        <v>685</v>
      </c>
      <c r="F4859" s="1146"/>
      <c r="G4859" s="248">
        <f>SUM(G4855:G4858)</f>
        <v>65830</v>
      </c>
    </row>
    <row r="4860" spans="1:8">
      <c r="A4860" s="294" t="s">
        <v>686</v>
      </c>
      <c r="B4860" s="410" t="s">
        <v>687</v>
      </c>
      <c r="C4860" s="247"/>
      <c r="D4860" s="247"/>
      <c r="E4860" s="372"/>
      <c r="F4860" s="360"/>
      <c r="G4860" s="248"/>
    </row>
    <row r="4861" spans="1:8">
      <c r="A4861" s="294"/>
      <c r="B4861" s="410" t="str">
        <f>'UPAD-BAHAN-ALAT'!$B$282</f>
        <v>HPL setara TACO</v>
      </c>
      <c r="C4861" s="247"/>
      <c r="D4861" s="247" t="s">
        <v>3106</v>
      </c>
      <c r="E4861" s="372">
        <v>0.4</v>
      </c>
      <c r="F4861" s="360">
        <f>'UPAD-BAHAN-ALAT'!$I$282</f>
        <v>260000</v>
      </c>
      <c r="G4861" s="248">
        <f>F4861*E4861</f>
        <v>104000</v>
      </c>
    </row>
    <row r="4862" spans="1:8">
      <c r="A4862" s="247"/>
      <c r="B4862" s="410" t="s">
        <v>1158</v>
      </c>
      <c r="C4862" s="247"/>
      <c r="D4862" s="247" t="s">
        <v>690</v>
      </c>
      <c r="E4862" s="372">
        <v>0.25</v>
      </c>
      <c r="F4862" s="360">
        <f>'UPAD-BAHAN-ALAT'!$I$98</f>
        <v>33000</v>
      </c>
      <c r="G4862" s="248">
        <f>F4862*E4862</f>
        <v>8250</v>
      </c>
    </row>
    <row r="4863" spans="1:8">
      <c r="A4863" s="247"/>
      <c r="B4863" s="410"/>
      <c r="C4863" s="247"/>
      <c r="D4863" s="247"/>
      <c r="E4863" s="1144" t="s">
        <v>702</v>
      </c>
      <c r="F4863" s="1144"/>
      <c r="G4863" s="248">
        <f>SUM(G4861:G4862)</f>
        <v>112250</v>
      </c>
    </row>
    <row r="4864" spans="1:8" s="265" customFormat="1">
      <c r="A4864" s="294" t="s">
        <v>703</v>
      </c>
      <c r="B4864" s="1147" t="s">
        <v>3910</v>
      </c>
      <c r="C4864" s="1147"/>
      <c r="D4864" s="1147"/>
      <c r="E4864" s="1147"/>
      <c r="F4864" s="1147"/>
      <c r="G4864" s="255">
        <f>G4859+G4863</f>
        <v>178080</v>
      </c>
    </row>
    <row r="4865" spans="1:8" s="265" customFormat="1">
      <c r="A4865" s="294" t="s">
        <v>706</v>
      </c>
      <c r="B4865" s="1148" t="s">
        <v>876</v>
      </c>
      <c r="C4865" s="1148"/>
      <c r="D4865" s="1148"/>
      <c r="E4865" s="1147" t="s">
        <v>4030</v>
      </c>
      <c r="F4865" s="1147"/>
      <c r="G4865" s="255">
        <f>G4864*0.15</f>
        <v>26712</v>
      </c>
    </row>
    <row r="4866" spans="1:8" s="265" customFormat="1">
      <c r="A4866" s="294" t="s">
        <v>708</v>
      </c>
      <c r="B4866" s="1149" t="s">
        <v>3911</v>
      </c>
      <c r="C4866" s="1149"/>
      <c r="D4866" s="1149"/>
      <c r="E4866" s="1149"/>
      <c r="F4866" s="1149"/>
      <c r="G4866" s="255">
        <f>ROUND(SUM(G4864:G4865),2)</f>
        <v>204792</v>
      </c>
      <c r="H4866" s="255">
        <f>SUM(G4864:G4865)</f>
        <v>204792</v>
      </c>
    </row>
    <row r="4867" spans="1:8" s="733" customFormat="1" ht="16.5">
      <c r="A4867" s="732"/>
      <c r="C4867" s="732"/>
      <c r="E4867" s="734"/>
      <c r="F4867" s="735"/>
      <c r="G4867" s="736"/>
    </row>
    <row r="4868" spans="1:8" s="720" customFormat="1">
      <c r="A4868" s="286" t="s">
        <v>4291</v>
      </c>
      <c r="B4868" s="718" t="s">
        <v>3702</v>
      </c>
      <c r="C4868" s="719"/>
      <c r="D4868" s="719"/>
      <c r="E4868" s="376"/>
      <c r="F4868" s="362"/>
      <c r="G4868" s="277"/>
    </row>
    <row r="4869" spans="1:8" s="722" customFormat="1" ht="24.95" customHeight="1">
      <c r="A4869" s="721" t="s">
        <v>1003</v>
      </c>
      <c r="B4869" s="721" t="s">
        <v>1004</v>
      </c>
      <c r="C4869" s="721" t="s">
        <v>1005</v>
      </c>
      <c r="D4869" s="721" t="s">
        <v>1006</v>
      </c>
      <c r="E4869" s="373" t="s">
        <v>1007</v>
      </c>
      <c r="F4869" s="363" t="s">
        <v>2637</v>
      </c>
      <c r="G4869" s="353" t="s">
        <v>2638</v>
      </c>
    </row>
    <row r="4870" spans="1:8" s="720" customFormat="1">
      <c r="A4870" s="723" t="s">
        <v>671</v>
      </c>
      <c r="B4870" s="267" t="s">
        <v>672</v>
      </c>
      <c r="C4870" s="724"/>
      <c r="D4870" s="724"/>
      <c r="E4870" s="372"/>
      <c r="F4870" s="360"/>
      <c r="G4870" s="274"/>
    </row>
    <row r="4871" spans="1:8" s="720" customFormat="1">
      <c r="A4871" s="723"/>
      <c r="B4871" s="267" t="s">
        <v>673</v>
      </c>
      <c r="C4871" s="724" t="s">
        <v>674</v>
      </c>
      <c r="D4871" s="724" t="s">
        <v>675</v>
      </c>
      <c r="E4871" s="372">
        <v>0.2</v>
      </c>
      <c r="F4871" s="360">
        <f>'UPAD-BAHAN-ALAT'!$I$12</f>
        <v>110000</v>
      </c>
      <c r="G4871" s="274">
        <f>F4871*E4871</f>
        <v>22000</v>
      </c>
    </row>
    <row r="4872" spans="1:8" s="720" customFormat="1">
      <c r="A4872" s="723"/>
      <c r="B4872" s="267" t="s">
        <v>677</v>
      </c>
      <c r="C4872" s="724" t="s">
        <v>678</v>
      </c>
      <c r="D4872" s="724" t="s">
        <v>675</v>
      </c>
      <c r="E4872" s="372">
        <v>0.1</v>
      </c>
      <c r="F4872" s="360">
        <f>'UPAD-BAHAN-ALAT'!$I$13</f>
        <v>140000</v>
      </c>
      <c r="G4872" s="274">
        <f>F4872*E4872</f>
        <v>14000</v>
      </c>
    </row>
    <row r="4873" spans="1:8" s="720" customFormat="1">
      <c r="A4873" s="723"/>
      <c r="B4873" s="267" t="s">
        <v>751</v>
      </c>
      <c r="C4873" s="724" t="s">
        <v>681</v>
      </c>
      <c r="D4873" s="724" t="s">
        <v>675</v>
      </c>
      <c r="E4873" s="372">
        <v>0.01</v>
      </c>
      <c r="F4873" s="360">
        <f>'UPAD-BAHAN-ALAT'!$I$15</f>
        <v>150000</v>
      </c>
      <c r="G4873" s="274">
        <f>F4873*E4873</f>
        <v>1500</v>
      </c>
    </row>
    <row r="4874" spans="1:8" s="720" customFormat="1">
      <c r="A4874" s="723"/>
      <c r="B4874" s="267" t="s">
        <v>683</v>
      </c>
      <c r="C4874" s="724" t="s">
        <v>684</v>
      </c>
      <c r="D4874" s="724" t="s">
        <v>675</v>
      </c>
      <c r="E4874" s="372">
        <v>1E-3</v>
      </c>
      <c r="F4874" s="360">
        <f>'UPAD-BAHAN-ALAT'!$I$14</f>
        <v>140000</v>
      </c>
      <c r="G4874" s="274">
        <f>F4874*E4874</f>
        <v>140</v>
      </c>
    </row>
    <row r="4875" spans="1:8" s="720" customFormat="1">
      <c r="A4875" s="723"/>
      <c r="B4875" s="267"/>
      <c r="C4875" s="724"/>
      <c r="D4875" s="724"/>
      <c r="E4875" s="1189" t="s">
        <v>685</v>
      </c>
      <c r="F4875" s="1189"/>
      <c r="G4875" s="274">
        <f>SUM(G4871:G4874)</f>
        <v>37640</v>
      </c>
    </row>
    <row r="4876" spans="1:8" s="720" customFormat="1">
      <c r="A4876" s="723" t="s">
        <v>686</v>
      </c>
      <c r="B4876" s="267" t="s">
        <v>687</v>
      </c>
      <c r="C4876" s="724"/>
      <c r="D4876" s="724"/>
      <c r="E4876" s="372"/>
      <c r="F4876" s="360"/>
      <c r="G4876" s="274"/>
    </row>
    <row r="4877" spans="1:8" s="720" customFormat="1">
      <c r="A4877" s="723"/>
      <c r="B4877" s="267" t="s">
        <v>3704</v>
      </c>
      <c r="C4877" s="724"/>
      <c r="D4877" s="724" t="s">
        <v>2647</v>
      </c>
      <c r="E4877" s="372">
        <v>1.02</v>
      </c>
      <c r="F4877" s="360">
        <f>'UPAD-BAHAN-ALAT'!$I$324</f>
        <v>260000</v>
      </c>
      <c r="G4877" s="274">
        <f>F4877*E4877</f>
        <v>265200</v>
      </c>
    </row>
    <row r="4878" spans="1:8" s="720" customFormat="1">
      <c r="A4878" s="724"/>
      <c r="B4878" s="267" t="s">
        <v>3703</v>
      </c>
      <c r="C4878" s="724"/>
      <c r="D4878" s="724" t="s">
        <v>690</v>
      </c>
      <c r="E4878" s="372">
        <v>0.2</v>
      </c>
      <c r="F4878" s="360">
        <f>'UPAD-BAHAN-ALAT'!$I$140</f>
        <v>27500</v>
      </c>
      <c r="G4878" s="274">
        <f>F4878*E4878</f>
        <v>5500</v>
      </c>
    </row>
    <row r="4879" spans="1:8" s="720" customFormat="1">
      <c r="A4879" s="724"/>
      <c r="B4879" s="267"/>
      <c r="C4879" s="724"/>
      <c r="D4879" s="724"/>
      <c r="E4879" s="1168" t="s">
        <v>702</v>
      </c>
      <c r="F4879" s="1168"/>
      <c r="G4879" s="274">
        <f>SUM(G4877:G4878)</f>
        <v>270700</v>
      </c>
    </row>
    <row r="4880" spans="1:8" s="718" customFormat="1">
      <c r="A4880" s="723" t="s">
        <v>703</v>
      </c>
      <c r="B4880" s="1169" t="s">
        <v>3910</v>
      </c>
      <c r="C4880" s="1169"/>
      <c r="D4880" s="1169"/>
      <c r="E4880" s="1169"/>
      <c r="F4880" s="1169"/>
      <c r="G4880" s="273">
        <f>G4875+G4879</f>
        <v>308340</v>
      </c>
    </row>
    <row r="4881" spans="1:8" s="718" customFormat="1">
      <c r="A4881" s="723" t="s">
        <v>706</v>
      </c>
      <c r="B4881" s="1170" t="s">
        <v>876</v>
      </c>
      <c r="C4881" s="1170"/>
      <c r="D4881" s="1170"/>
      <c r="E4881" s="1169" t="s">
        <v>4030</v>
      </c>
      <c r="F4881" s="1169"/>
      <c r="G4881" s="255">
        <f>G4880*0.15</f>
        <v>46251</v>
      </c>
    </row>
    <row r="4882" spans="1:8" s="718" customFormat="1">
      <c r="A4882" s="723" t="s">
        <v>708</v>
      </c>
      <c r="B4882" s="1169" t="s">
        <v>3911</v>
      </c>
      <c r="C4882" s="1169"/>
      <c r="D4882" s="1169"/>
      <c r="E4882" s="1169"/>
      <c r="F4882" s="1169"/>
      <c r="G4882" s="255">
        <f>ROUND(SUM(G4880:G4881),2)</f>
        <v>354591</v>
      </c>
      <c r="H4882" s="273">
        <f>SUM(G4880:G4881)</f>
        <v>354591</v>
      </c>
    </row>
    <row r="4883" spans="1:8" s="720" customFormat="1">
      <c r="A4883" s="727"/>
      <c r="B4883" s="728"/>
      <c r="C4883" s="727"/>
      <c r="D4883" s="728"/>
      <c r="E4883" s="378"/>
      <c r="F4883" s="364"/>
      <c r="G4883" s="289"/>
      <c r="H4883" s="272"/>
    </row>
    <row r="4884" spans="1:8">
      <c r="A4884" s="285" t="s">
        <v>4292</v>
      </c>
      <c r="B4884" s="250" t="s">
        <v>3579</v>
      </c>
      <c r="C4884" s="252"/>
      <c r="D4884" s="252"/>
      <c r="E4884" s="374"/>
      <c r="F4884" s="361"/>
      <c r="G4884" s="253"/>
    </row>
    <row r="4885" spans="1:8" s="292" customFormat="1" ht="24.95" customHeight="1">
      <c r="A4885" s="290" t="s">
        <v>1003</v>
      </c>
      <c r="B4885" s="293" t="s">
        <v>1004</v>
      </c>
      <c r="C4885" s="290" t="s">
        <v>1005</v>
      </c>
      <c r="D4885" s="290" t="s">
        <v>1006</v>
      </c>
      <c r="E4885" s="373" t="s">
        <v>1007</v>
      </c>
      <c r="F4885" s="363" t="s">
        <v>2637</v>
      </c>
      <c r="G4885" s="291" t="s">
        <v>2638</v>
      </c>
    </row>
    <row r="4886" spans="1:8">
      <c r="A4886" s="294" t="s">
        <v>671</v>
      </c>
      <c r="B4886" s="355" t="s">
        <v>672</v>
      </c>
      <c r="C4886" s="247"/>
      <c r="D4886" s="247"/>
      <c r="E4886" s="372"/>
      <c r="F4886" s="360"/>
      <c r="G4886" s="248"/>
    </row>
    <row r="4887" spans="1:8">
      <c r="A4887" s="294"/>
      <c r="B4887" s="355" t="s">
        <v>673</v>
      </c>
      <c r="C4887" s="247" t="s">
        <v>674</v>
      </c>
      <c r="D4887" s="247" t="s">
        <v>675</v>
      </c>
      <c r="E4887" s="372">
        <v>0.15</v>
      </c>
      <c r="F4887" s="360">
        <f>'UPAD-BAHAN-ALAT'!$I$12</f>
        <v>110000</v>
      </c>
      <c r="G4887" s="248">
        <f>F4887*E4887</f>
        <v>16500</v>
      </c>
    </row>
    <row r="4888" spans="1:8">
      <c r="A4888" s="294"/>
      <c r="B4888" s="355" t="s">
        <v>871</v>
      </c>
      <c r="C4888" s="247" t="s">
        <v>678</v>
      </c>
      <c r="D4888" s="247" t="s">
        <v>675</v>
      </c>
      <c r="E4888" s="372">
        <v>0.45</v>
      </c>
      <c r="F4888" s="360">
        <f>'UPAD-BAHAN-ALAT'!$I$13</f>
        <v>140000</v>
      </c>
      <c r="G4888" s="248">
        <f>F4888*E4888</f>
        <v>63000</v>
      </c>
    </row>
    <row r="4889" spans="1:8">
      <c r="A4889" s="294"/>
      <c r="B4889" s="355" t="s">
        <v>751</v>
      </c>
      <c r="C4889" s="247" t="s">
        <v>681</v>
      </c>
      <c r="D4889" s="247" t="s">
        <v>675</v>
      </c>
      <c r="E4889" s="372">
        <v>4.4999999999999998E-2</v>
      </c>
      <c r="F4889" s="360">
        <f>'UPAD-BAHAN-ALAT'!$I$15</f>
        <v>150000</v>
      </c>
      <c r="G4889" s="248">
        <f>F4889*E4889</f>
        <v>6750</v>
      </c>
    </row>
    <row r="4890" spans="1:8">
      <c r="A4890" s="294"/>
      <c r="B4890" s="355" t="s">
        <v>683</v>
      </c>
      <c r="C4890" s="247" t="s">
        <v>684</v>
      </c>
      <c r="D4890" s="247" t="s">
        <v>675</v>
      </c>
      <c r="E4890" s="372">
        <v>8.0000000000000002E-3</v>
      </c>
      <c r="F4890" s="360">
        <f>'UPAD-BAHAN-ALAT'!$I$14</f>
        <v>140000</v>
      </c>
      <c r="G4890" s="248">
        <f>F4890*E4890</f>
        <v>1120</v>
      </c>
    </row>
    <row r="4891" spans="1:8">
      <c r="A4891" s="294"/>
      <c r="B4891" s="355"/>
      <c r="C4891" s="247"/>
      <c r="D4891" s="247"/>
      <c r="E4891" s="428" t="s">
        <v>685</v>
      </c>
      <c r="F4891" s="390"/>
      <c r="G4891" s="248">
        <f>SUM(G4887:G4890)</f>
        <v>87370</v>
      </c>
    </row>
    <row r="4892" spans="1:8">
      <c r="A4892" s="294" t="s">
        <v>686</v>
      </c>
      <c r="B4892" s="355" t="s">
        <v>687</v>
      </c>
      <c r="C4892" s="247"/>
      <c r="D4892" s="247"/>
      <c r="E4892" s="372"/>
      <c r="F4892" s="360"/>
      <c r="G4892" s="248"/>
    </row>
    <row r="4893" spans="1:8">
      <c r="A4893" s="294"/>
      <c r="B4893" s="355" t="s">
        <v>1266</v>
      </c>
      <c r="C4893" s="247"/>
      <c r="D4893" s="247" t="s">
        <v>2646</v>
      </c>
      <c r="E4893" s="372">
        <v>2.8000000000000001E-2</v>
      </c>
      <c r="F4893" s="360">
        <f>'UPAD-BAHAN-ALAT'!$I$96</f>
        <v>3465000</v>
      </c>
      <c r="G4893" s="248">
        <f>F4893*E4893</f>
        <v>97020</v>
      </c>
    </row>
    <row r="4894" spans="1:8">
      <c r="A4894" s="294"/>
      <c r="B4894" s="355" t="s">
        <v>1314</v>
      </c>
      <c r="C4894" s="247"/>
      <c r="D4894" s="247" t="s">
        <v>773</v>
      </c>
      <c r="E4894" s="372">
        <v>0.15</v>
      </c>
      <c r="F4894" s="624">
        <f>'UPAD-BAHAN-ALAT'!$I$139</f>
        <v>21000</v>
      </c>
      <c r="G4894" s="248">
        <f>F4894*E4894</f>
        <v>3150</v>
      </c>
    </row>
    <row r="4895" spans="1:8">
      <c r="A4895" s="247"/>
      <c r="B4895" s="355"/>
      <c r="C4895" s="247"/>
      <c r="D4895" s="247"/>
      <c r="E4895" s="428" t="s">
        <v>702</v>
      </c>
      <c r="F4895" s="390"/>
      <c r="G4895" s="248">
        <f>SUM(G4893:G4894)</f>
        <v>100170</v>
      </c>
    </row>
    <row r="4896" spans="1:8" s="265" customFormat="1">
      <c r="A4896" s="294" t="s">
        <v>703</v>
      </c>
      <c r="B4896" s="357" t="s">
        <v>3910</v>
      </c>
      <c r="C4896" s="610"/>
      <c r="D4896" s="610"/>
      <c r="E4896" s="611"/>
      <c r="F4896" s="612"/>
      <c r="G4896" s="255">
        <f>G4891+G4895</f>
        <v>187540</v>
      </c>
    </row>
    <row r="4897" spans="1:8" s="265" customFormat="1">
      <c r="A4897" s="294" t="s">
        <v>706</v>
      </c>
      <c r="B4897" s="617" t="s">
        <v>876</v>
      </c>
      <c r="C4897" s="618"/>
      <c r="D4897" s="633"/>
      <c r="E4897" s="613" t="s">
        <v>4030</v>
      </c>
      <c r="F4897" s="612"/>
      <c r="G4897" s="255">
        <f>G4896*0.15</f>
        <v>28131</v>
      </c>
    </row>
    <row r="4898" spans="1:8" s="265" customFormat="1">
      <c r="A4898" s="294" t="s">
        <v>708</v>
      </c>
      <c r="B4898" s="357" t="s">
        <v>3911</v>
      </c>
      <c r="C4898" s="610"/>
      <c r="D4898" s="610"/>
      <c r="E4898" s="611"/>
      <c r="F4898" s="612"/>
      <c r="G4898" s="255">
        <f>ROUND(SUM(G4896:G4897),2)</f>
        <v>215671</v>
      </c>
      <c r="H4898" s="255">
        <f>SUM(G4896:G4897)</f>
        <v>215671</v>
      </c>
    </row>
    <row r="4900" spans="1:8">
      <c r="A4900" s="285" t="s">
        <v>4293</v>
      </c>
      <c r="B4900" s="250" t="s">
        <v>3710</v>
      </c>
      <c r="C4900" s="252"/>
      <c r="D4900" s="252"/>
      <c r="E4900" s="374"/>
      <c r="F4900" s="361"/>
      <c r="G4900" s="253"/>
    </row>
    <row r="4901" spans="1:8" s="292" customFormat="1" ht="24.95" customHeight="1">
      <c r="A4901" s="290" t="s">
        <v>1003</v>
      </c>
      <c r="B4901" s="293" t="s">
        <v>1004</v>
      </c>
      <c r="C4901" s="290" t="s">
        <v>1005</v>
      </c>
      <c r="D4901" s="290" t="s">
        <v>1006</v>
      </c>
      <c r="E4901" s="373" t="s">
        <v>1007</v>
      </c>
      <c r="F4901" s="363" t="s">
        <v>2637</v>
      </c>
      <c r="G4901" s="291" t="s">
        <v>2638</v>
      </c>
    </row>
    <row r="4902" spans="1:8">
      <c r="A4902" s="294" t="s">
        <v>671</v>
      </c>
      <c r="B4902" s="355" t="s">
        <v>672</v>
      </c>
      <c r="C4902" s="247"/>
      <c r="D4902" s="247"/>
      <c r="E4902" s="372"/>
      <c r="F4902" s="360"/>
      <c r="G4902" s="248"/>
    </row>
    <row r="4903" spans="1:8">
      <c r="A4903" s="294"/>
      <c r="B4903" s="355" t="s">
        <v>673</v>
      </c>
      <c r="C4903" s="247" t="s">
        <v>674</v>
      </c>
      <c r="D4903" s="247" t="s">
        <v>675</v>
      </c>
      <c r="E4903" s="372">
        <v>0.15</v>
      </c>
      <c r="F4903" s="360">
        <f>'UPAD-BAHAN-ALAT'!$I$12</f>
        <v>110000</v>
      </c>
      <c r="G4903" s="248">
        <f>F4903*E4903</f>
        <v>16500</v>
      </c>
    </row>
    <row r="4904" spans="1:8">
      <c r="A4904" s="294"/>
      <c r="B4904" s="355" t="s">
        <v>871</v>
      </c>
      <c r="C4904" s="247" t="s">
        <v>678</v>
      </c>
      <c r="D4904" s="247" t="s">
        <v>675</v>
      </c>
      <c r="E4904" s="372">
        <v>0.45</v>
      </c>
      <c r="F4904" s="360">
        <f>'UPAD-BAHAN-ALAT'!$I$13</f>
        <v>140000</v>
      </c>
      <c r="G4904" s="248">
        <f>F4904*E4904</f>
        <v>63000</v>
      </c>
    </row>
    <row r="4905" spans="1:8">
      <c r="A4905" s="294"/>
      <c r="B4905" s="355" t="s">
        <v>751</v>
      </c>
      <c r="C4905" s="247" t="s">
        <v>681</v>
      </c>
      <c r="D4905" s="247" t="s">
        <v>675</v>
      </c>
      <c r="E4905" s="372">
        <v>4.4999999999999998E-2</v>
      </c>
      <c r="F4905" s="360">
        <f>'UPAD-BAHAN-ALAT'!$I$15</f>
        <v>150000</v>
      </c>
      <c r="G4905" s="248">
        <f>F4905*E4905</f>
        <v>6750</v>
      </c>
    </row>
    <row r="4906" spans="1:8">
      <c r="A4906" s="294"/>
      <c r="B4906" s="355" t="s">
        <v>683</v>
      </c>
      <c r="C4906" s="247" t="s">
        <v>684</v>
      </c>
      <c r="D4906" s="247" t="s">
        <v>675</v>
      </c>
      <c r="E4906" s="372">
        <v>8.0000000000000002E-3</v>
      </c>
      <c r="F4906" s="360">
        <f>'UPAD-BAHAN-ALAT'!$I$14</f>
        <v>140000</v>
      </c>
      <c r="G4906" s="248">
        <f>F4906*E4906</f>
        <v>1120</v>
      </c>
    </row>
    <row r="4907" spans="1:8">
      <c r="A4907" s="294"/>
      <c r="B4907" s="355"/>
      <c r="C4907" s="247"/>
      <c r="D4907" s="247"/>
      <c r="E4907" s="428" t="s">
        <v>685</v>
      </c>
      <c r="F4907" s="390"/>
      <c r="G4907" s="248">
        <f>SUM(G4903:G4906)</f>
        <v>87370</v>
      </c>
    </row>
    <row r="4908" spans="1:8">
      <c r="A4908" s="294" t="s">
        <v>686</v>
      </c>
      <c r="B4908" s="355" t="s">
        <v>687</v>
      </c>
      <c r="C4908" s="247"/>
      <c r="D4908" s="247"/>
      <c r="E4908" s="372"/>
      <c r="F4908" s="360"/>
      <c r="G4908" s="248"/>
    </row>
    <row r="4909" spans="1:8">
      <c r="A4909" s="294"/>
      <c r="B4909" s="355" t="s">
        <v>4623</v>
      </c>
      <c r="C4909" s="247"/>
      <c r="D4909" s="247" t="s">
        <v>2970</v>
      </c>
      <c r="E4909" s="372">
        <v>5.6</v>
      </c>
      <c r="F4909" s="360">
        <f>'UPAD-BAHAN-ALAT'!$I$172</f>
        <v>14175</v>
      </c>
      <c r="G4909" s="248">
        <f>F4909*E4909</f>
        <v>79380</v>
      </c>
    </row>
    <row r="4910" spans="1:8">
      <c r="A4910" s="294"/>
      <c r="B4910" s="355" t="s">
        <v>3660</v>
      </c>
      <c r="C4910" s="247"/>
      <c r="D4910" s="247" t="s">
        <v>1423</v>
      </c>
      <c r="E4910" s="372">
        <v>30</v>
      </c>
      <c r="F4910" s="624">
        <f>'UPAD-BAHAN-ALAT'!$I$142</f>
        <v>550</v>
      </c>
      <c r="G4910" s="248">
        <f>F4910*E4910</f>
        <v>16500</v>
      </c>
    </row>
    <row r="4911" spans="1:8">
      <c r="A4911" s="294"/>
      <c r="B4911" s="355"/>
      <c r="C4911" s="247"/>
      <c r="D4911" s="247"/>
      <c r="E4911" s="428" t="s">
        <v>702</v>
      </c>
      <c r="F4911" s="390"/>
      <c r="G4911" s="248">
        <f>SUM(G4909:G4910)</f>
        <v>95880</v>
      </c>
    </row>
    <row r="4912" spans="1:8" s="265" customFormat="1">
      <c r="A4912" s="294" t="s">
        <v>703</v>
      </c>
      <c r="B4912" s="357" t="s">
        <v>3910</v>
      </c>
      <c r="C4912" s="610"/>
      <c r="D4912" s="610"/>
      <c r="E4912" s="611"/>
      <c r="F4912" s="612"/>
      <c r="G4912" s="255">
        <f>G4907+G4911</f>
        <v>183250</v>
      </c>
    </row>
    <row r="4913" spans="1:8" s="265" customFormat="1">
      <c r="A4913" s="294" t="s">
        <v>706</v>
      </c>
      <c r="B4913" s="617" t="s">
        <v>876</v>
      </c>
      <c r="C4913" s="618"/>
      <c r="D4913" s="633"/>
      <c r="E4913" s="613" t="s">
        <v>4030</v>
      </c>
      <c r="F4913" s="612"/>
      <c r="G4913" s="255">
        <f>G4912*0.15</f>
        <v>27487.5</v>
      </c>
    </row>
    <row r="4914" spans="1:8" s="265" customFormat="1">
      <c r="A4914" s="294" t="s">
        <v>708</v>
      </c>
      <c r="B4914" s="357" t="s">
        <v>3911</v>
      </c>
      <c r="C4914" s="610"/>
      <c r="D4914" s="610"/>
      <c r="E4914" s="611"/>
      <c r="F4914" s="612"/>
      <c r="G4914" s="255">
        <f>ROUND(SUM(G4912:G4913),2)</f>
        <v>210737.5</v>
      </c>
      <c r="H4914" s="255">
        <f>SUM(G4912:G4913)</f>
        <v>210737.5</v>
      </c>
    </row>
    <row r="4915" spans="1:8">
      <c r="A4915" s="252"/>
      <c r="B4915" s="737"/>
      <c r="C4915" s="252"/>
      <c r="D4915" s="252"/>
      <c r="E4915" s="374"/>
      <c r="F4915" s="361"/>
      <c r="G4915" s="264"/>
      <c r="H4915" s="253"/>
    </row>
    <row r="4916" spans="1:8">
      <c r="A4916" s="285" t="s">
        <v>4294</v>
      </c>
      <c r="B4916" s="265" t="s">
        <v>4624</v>
      </c>
    </row>
    <row r="4917" spans="1:8" s="292" customFormat="1" ht="24.95" customHeight="1">
      <c r="A4917" s="290" t="s">
        <v>1003</v>
      </c>
      <c r="B4917" s="290" t="s">
        <v>1004</v>
      </c>
      <c r="C4917" s="290" t="s">
        <v>1005</v>
      </c>
      <c r="D4917" s="290" t="s">
        <v>1006</v>
      </c>
      <c r="E4917" s="373" t="s">
        <v>1007</v>
      </c>
      <c r="F4917" s="363" t="s">
        <v>2637</v>
      </c>
      <c r="G4917" s="291" t="s">
        <v>2638</v>
      </c>
    </row>
    <row r="4918" spans="1:8">
      <c r="A4918" s="294" t="s">
        <v>671</v>
      </c>
      <c r="B4918" s="410" t="s">
        <v>672</v>
      </c>
      <c r="C4918" s="247"/>
      <c r="D4918" s="247"/>
      <c r="E4918" s="372"/>
      <c r="F4918" s="360"/>
      <c r="G4918" s="248"/>
    </row>
    <row r="4919" spans="1:8">
      <c r="A4919" s="294"/>
      <c r="B4919" s="410" t="s">
        <v>673</v>
      </c>
      <c r="C4919" s="247" t="s">
        <v>674</v>
      </c>
      <c r="D4919" s="247" t="s">
        <v>675</v>
      </c>
      <c r="E4919" s="372">
        <v>0.1</v>
      </c>
      <c r="F4919" s="360">
        <f>'UPAD-BAHAN-ALAT'!$I$12</f>
        <v>110000</v>
      </c>
      <c r="G4919" s="248">
        <f>F4919*E4919</f>
        <v>11000</v>
      </c>
    </row>
    <row r="4920" spans="1:8">
      <c r="A4920" s="294"/>
      <c r="B4920" s="410" t="s">
        <v>871</v>
      </c>
      <c r="C4920" s="247" t="s">
        <v>678</v>
      </c>
      <c r="D4920" s="247" t="s">
        <v>675</v>
      </c>
      <c r="E4920" s="372">
        <v>0.05</v>
      </c>
      <c r="F4920" s="360">
        <f>'UPAD-BAHAN-ALAT'!$I$13</f>
        <v>140000</v>
      </c>
      <c r="G4920" s="248">
        <f>F4920*E4920</f>
        <v>7000</v>
      </c>
    </row>
    <row r="4921" spans="1:8">
      <c r="A4921" s="294"/>
      <c r="B4921" s="410" t="s">
        <v>751</v>
      </c>
      <c r="C4921" s="247" t="s">
        <v>681</v>
      </c>
      <c r="D4921" s="247" t="s">
        <v>675</v>
      </c>
      <c r="E4921" s="372">
        <v>5.0000000000000001E-3</v>
      </c>
      <c r="F4921" s="360">
        <f>'UPAD-BAHAN-ALAT'!$I$15</f>
        <v>150000</v>
      </c>
      <c r="G4921" s="248">
        <f>F4921*E4921</f>
        <v>750</v>
      </c>
    </row>
    <row r="4922" spans="1:8">
      <c r="A4922" s="294"/>
      <c r="B4922" s="410" t="s">
        <v>683</v>
      </c>
      <c r="C4922" s="247" t="s">
        <v>684</v>
      </c>
      <c r="D4922" s="247" t="s">
        <v>675</v>
      </c>
      <c r="E4922" s="372">
        <v>5.0000000000000001E-3</v>
      </c>
      <c r="F4922" s="360">
        <f>'UPAD-BAHAN-ALAT'!$I$14</f>
        <v>140000</v>
      </c>
      <c r="G4922" s="248">
        <f>F4922*E4922</f>
        <v>700</v>
      </c>
    </row>
    <row r="4923" spans="1:8">
      <c r="A4923" s="294"/>
      <c r="B4923" s="410"/>
      <c r="C4923" s="247"/>
      <c r="D4923" s="247"/>
      <c r="E4923" s="1146" t="s">
        <v>685</v>
      </c>
      <c r="F4923" s="1146"/>
      <c r="G4923" s="248">
        <f>SUM(G4919:G4922)</f>
        <v>19450</v>
      </c>
    </row>
    <row r="4924" spans="1:8">
      <c r="A4924" s="294" t="s">
        <v>686</v>
      </c>
      <c r="B4924" s="410" t="s">
        <v>687</v>
      </c>
      <c r="C4924" s="247"/>
      <c r="D4924" s="247"/>
      <c r="E4924" s="372"/>
      <c r="F4924" s="360"/>
      <c r="G4924" s="248"/>
    </row>
    <row r="4925" spans="1:8">
      <c r="A4925" s="294"/>
      <c r="B4925" s="410" t="s">
        <v>1193</v>
      </c>
      <c r="C4925" s="247"/>
      <c r="D4925" s="247" t="s">
        <v>888</v>
      </c>
      <c r="E4925" s="372">
        <v>0.36399999999999999</v>
      </c>
      <c r="F4925" s="360">
        <f>'UPAD-BAHAN-ALAT'!$I$339</f>
        <v>72250</v>
      </c>
      <c r="G4925" s="248">
        <f>F4925*E4925</f>
        <v>26299</v>
      </c>
    </row>
    <row r="4926" spans="1:8">
      <c r="A4926" s="294"/>
      <c r="B4926" s="410" t="s">
        <v>1194</v>
      </c>
      <c r="C4926" s="247"/>
      <c r="D4926" s="247" t="s">
        <v>773</v>
      </c>
      <c r="E4926" s="372">
        <v>0.11</v>
      </c>
      <c r="F4926" s="360">
        <f>'UPAD-BAHAN-ALAT'!$I$140</f>
        <v>27500</v>
      </c>
      <c r="G4926" s="248">
        <f>F4926*E4926</f>
        <v>3025</v>
      </c>
    </row>
    <row r="4927" spans="1:8">
      <c r="A4927" s="247"/>
      <c r="B4927" s="410"/>
      <c r="C4927" s="247"/>
      <c r="D4927" s="247"/>
      <c r="E4927" s="1155" t="s">
        <v>702</v>
      </c>
      <c r="F4927" s="1155"/>
      <c r="G4927" s="248">
        <f>SUM(G4925:G4926)</f>
        <v>29324</v>
      </c>
    </row>
    <row r="4928" spans="1:8" s="265" customFormat="1">
      <c r="A4928" s="294" t="s">
        <v>703</v>
      </c>
      <c r="B4928" s="1151" t="s">
        <v>3910</v>
      </c>
      <c r="C4928" s="1151"/>
      <c r="D4928" s="1151"/>
      <c r="E4928" s="1151"/>
      <c r="F4928" s="1151"/>
      <c r="G4928" s="255">
        <f>G4923+G4927</f>
        <v>48774</v>
      </c>
    </row>
    <row r="4929" spans="1:8" s="265" customFormat="1">
      <c r="A4929" s="294" t="s">
        <v>706</v>
      </c>
      <c r="B4929" s="1148" t="s">
        <v>876</v>
      </c>
      <c r="C4929" s="1148"/>
      <c r="D4929" s="1148"/>
      <c r="E4929" s="1147" t="s">
        <v>4030</v>
      </c>
      <c r="F4929" s="1147"/>
      <c r="G4929" s="255">
        <f>G4928*0.15</f>
        <v>7316.0999999999995</v>
      </c>
    </row>
    <row r="4930" spans="1:8" s="265" customFormat="1">
      <c r="A4930" s="294" t="s">
        <v>708</v>
      </c>
      <c r="B4930" s="1149" t="s">
        <v>3911</v>
      </c>
      <c r="C4930" s="1149"/>
      <c r="D4930" s="1149"/>
      <c r="E4930" s="1149"/>
      <c r="F4930" s="1149"/>
      <c r="G4930" s="255">
        <f>ROUND(SUM(G4928:G4929),2)</f>
        <v>56090.1</v>
      </c>
      <c r="H4930" s="255">
        <f>SUM(G4928:G4929)</f>
        <v>56090.1</v>
      </c>
    </row>
    <row r="4931" spans="1:8" s="733" customFormat="1" ht="16.5">
      <c r="A4931" s="732"/>
      <c r="C4931" s="732"/>
      <c r="E4931" s="734"/>
      <c r="F4931" s="735"/>
      <c r="G4931" s="736"/>
    </row>
    <row r="4932" spans="1:8">
      <c r="A4932" s="285" t="s">
        <v>4295</v>
      </c>
      <c r="B4932" s="265" t="s">
        <v>3691</v>
      </c>
    </row>
    <row r="4933" spans="1:8" s="292" customFormat="1" ht="24.95" customHeight="1">
      <c r="A4933" s="290" t="s">
        <v>1003</v>
      </c>
      <c r="B4933" s="290" t="s">
        <v>1004</v>
      </c>
      <c r="C4933" s="290" t="s">
        <v>1005</v>
      </c>
      <c r="D4933" s="290" t="s">
        <v>1006</v>
      </c>
      <c r="E4933" s="373" t="s">
        <v>1007</v>
      </c>
      <c r="F4933" s="363" t="s">
        <v>2637</v>
      </c>
      <c r="G4933" s="291" t="s">
        <v>2638</v>
      </c>
    </row>
    <row r="4934" spans="1:8">
      <c r="A4934" s="294" t="s">
        <v>671</v>
      </c>
      <c r="B4934" s="410" t="s">
        <v>672</v>
      </c>
      <c r="C4934" s="247"/>
      <c r="D4934" s="247"/>
      <c r="E4934" s="372"/>
      <c r="F4934" s="360"/>
      <c r="G4934" s="248"/>
    </row>
    <row r="4935" spans="1:8">
      <c r="A4935" s="294"/>
      <c r="B4935" s="410" t="s">
        <v>673</v>
      </c>
      <c r="C4935" s="247" t="s">
        <v>674</v>
      </c>
      <c r="D4935" s="247" t="s">
        <v>675</v>
      </c>
      <c r="E4935" s="372">
        <v>0.1</v>
      </c>
      <c r="F4935" s="360">
        <f>'UPAD-BAHAN-ALAT'!$I$12</f>
        <v>110000</v>
      </c>
      <c r="G4935" s="248">
        <f>F4935*E4935</f>
        <v>11000</v>
      </c>
    </row>
    <row r="4936" spans="1:8">
      <c r="A4936" s="294"/>
      <c r="B4936" s="410" t="s">
        <v>871</v>
      </c>
      <c r="C4936" s="247" t="s">
        <v>678</v>
      </c>
      <c r="D4936" s="247" t="s">
        <v>675</v>
      </c>
      <c r="E4936" s="372">
        <v>0.05</v>
      </c>
      <c r="F4936" s="360">
        <f>'UPAD-BAHAN-ALAT'!$I$13</f>
        <v>140000</v>
      </c>
      <c r="G4936" s="248">
        <f>F4936*E4936</f>
        <v>7000</v>
      </c>
    </row>
    <row r="4937" spans="1:8">
      <c r="A4937" s="294"/>
      <c r="B4937" s="410" t="s">
        <v>751</v>
      </c>
      <c r="C4937" s="247" t="s">
        <v>681</v>
      </c>
      <c r="D4937" s="247" t="s">
        <v>675</v>
      </c>
      <c r="E4937" s="372">
        <v>5.0000000000000001E-3</v>
      </c>
      <c r="F4937" s="360">
        <f>'UPAD-BAHAN-ALAT'!$I$15</f>
        <v>150000</v>
      </c>
      <c r="G4937" s="248">
        <f>F4937*E4937</f>
        <v>750</v>
      </c>
    </row>
    <row r="4938" spans="1:8">
      <c r="A4938" s="294"/>
      <c r="B4938" s="410" t="s">
        <v>683</v>
      </c>
      <c r="C4938" s="247" t="s">
        <v>684</v>
      </c>
      <c r="D4938" s="247" t="s">
        <v>675</v>
      </c>
      <c r="E4938" s="372">
        <v>5.0000000000000001E-3</v>
      </c>
      <c r="F4938" s="360">
        <f>'UPAD-BAHAN-ALAT'!$I$14</f>
        <v>140000</v>
      </c>
      <c r="G4938" s="248">
        <f>F4938*E4938</f>
        <v>700</v>
      </c>
    </row>
    <row r="4939" spans="1:8">
      <c r="A4939" s="294"/>
      <c r="B4939" s="410"/>
      <c r="C4939" s="247"/>
      <c r="D4939" s="247"/>
      <c r="E4939" s="1146" t="s">
        <v>685</v>
      </c>
      <c r="F4939" s="1146"/>
      <c r="G4939" s="248">
        <f>SUM(G4935:G4938)</f>
        <v>19450</v>
      </c>
    </row>
    <row r="4940" spans="1:8">
      <c r="A4940" s="294" t="s">
        <v>686</v>
      </c>
      <c r="B4940" s="410" t="s">
        <v>687</v>
      </c>
      <c r="C4940" s="247"/>
      <c r="D4940" s="247"/>
      <c r="E4940" s="372"/>
      <c r="F4940" s="360"/>
      <c r="G4940" s="248"/>
    </row>
    <row r="4941" spans="1:8">
      <c r="A4941" s="247"/>
      <c r="B4941" s="410" t="s">
        <v>3698</v>
      </c>
      <c r="C4941" s="247"/>
      <c r="D4941" s="247" t="s">
        <v>888</v>
      </c>
      <c r="E4941" s="372">
        <v>0.36399999999999999</v>
      </c>
      <c r="F4941" s="360">
        <f>'UPAD-BAHAN-ALAT'!$I$361</f>
        <v>102000</v>
      </c>
      <c r="G4941" s="248">
        <f>F4941*E4941</f>
        <v>37128</v>
      </c>
    </row>
    <row r="4942" spans="1:8">
      <c r="A4942" s="247"/>
      <c r="B4942" s="410" t="s">
        <v>1194</v>
      </c>
      <c r="C4942" s="247"/>
      <c r="D4942" s="247" t="s">
        <v>773</v>
      </c>
      <c r="E4942" s="372">
        <v>0.11</v>
      </c>
      <c r="F4942" s="360">
        <f>'UPAD-BAHAN-ALAT'!$I$140</f>
        <v>27500</v>
      </c>
      <c r="G4942" s="248">
        <f>F4942*E4942</f>
        <v>3025</v>
      </c>
    </row>
    <row r="4943" spans="1:8">
      <c r="A4943" s="247"/>
      <c r="B4943" s="410"/>
      <c r="C4943" s="247"/>
      <c r="D4943" s="247"/>
      <c r="E4943" s="1155" t="s">
        <v>702</v>
      </c>
      <c r="F4943" s="1155"/>
      <c r="G4943" s="248">
        <f>SUM(G4941:G4942)</f>
        <v>40153</v>
      </c>
    </row>
    <row r="4944" spans="1:8" s="265" customFormat="1">
      <c r="A4944" s="294" t="s">
        <v>703</v>
      </c>
      <c r="B4944" s="1151" t="s">
        <v>3910</v>
      </c>
      <c r="C4944" s="1151"/>
      <c r="D4944" s="1151"/>
      <c r="E4944" s="1151"/>
      <c r="F4944" s="1151"/>
      <c r="G4944" s="255">
        <f>G4939+G4943</f>
        <v>59603</v>
      </c>
    </row>
    <row r="4945" spans="1:8" s="265" customFormat="1">
      <c r="A4945" s="294" t="s">
        <v>706</v>
      </c>
      <c r="B4945" s="1148" t="s">
        <v>876</v>
      </c>
      <c r="C4945" s="1148"/>
      <c r="D4945" s="1148"/>
      <c r="E4945" s="1147" t="s">
        <v>4030</v>
      </c>
      <c r="F4945" s="1147"/>
      <c r="G4945" s="255">
        <f>G4944*0.15</f>
        <v>8940.4499999999989</v>
      </c>
    </row>
    <row r="4946" spans="1:8" s="265" customFormat="1">
      <c r="A4946" s="294" t="s">
        <v>708</v>
      </c>
      <c r="B4946" s="1149" t="s">
        <v>3911</v>
      </c>
      <c r="C4946" s="1149"/>
      <c r="D4946" s="1149"/>
      <c r="E4946" s="1149"/>
      <c r="F4946" s="1149"/>
      <c r="G4946" s="255">
        <f>ROUND(SUM(G4944:G4945),2)</f>
        <v>68543.45</v>
      </c>
      <c r="H4946" s="255">
        <f>SUM(G4944:G4945)</f>
        <v>68543.45</v>
      </c>
    </row>
    <row r="4947" spans="1:8" s="733" customFormat="1" ht="16.5">
      <c r="A4947" s="732"/>
      <c r="C4947" s="732"/>
      <c r="E4947" s="734"/>
      <c r="F4947" s="735"/>
      <c r="G4947" s="736"/>
    </row>
    <row r="4948" spans="1:8">
      <c r="A4948" s="285" t="s">
        <v>4296</v>
      </c>
      <c r="B4948" s="265" t="s">
        <v>4625</v>
      </c>
    </row>
    <row r="4949" spans="1:8" s="292" customFormat="1" ht="24.95" customHeight="1">
      <c r="A4949" s="290" t="s">
        <v>1003</v>
      </c>
      <c r="B4949" s="290" t="s">
        <v>1004</v>
      </c>
      <c r="C4949" s="290" t="s">
        <v>1005</v>
      </c>
      <c r="D4949" s="290" t="s">
        <v>1006</v>
      </c>
      <c r="E4949" s="373" t="s">
        <v>1007</v>
      </c>
      <c r="F4949" s="363" t="s">
        <v>2637</v>
      </c>
      <c r="G4949" s="291" t="s">
        <v>2638</v>
      </c>
    </row>
    <row r="4950" spans="1:8">
      <c r="A4950" s="294" t="s">
        <v>671</v>
      </c>
      <c r="B4950" s="410" t="s">
        <v>672</v>
      </c>
      <c r="C4950" s="247"/>
      <c r="D4950" s="247"/>
      <c r="E4950" s="372"/>
      <c r="F4950" s="360"/>
      <c r="G4950" s="248"/>
    </row>
    <row r="4951" spans="1:8">
      <c r="A4951" s="294"/>
      <c r="B4951" s="410" t="s">
        <v>673</v>
      </c>
      <c r="C4951" s="247" t="s">
        <v>674</v>
      </c>
      <c r="D4951" s="247" t="s">
        <v>675</v>
      </c>
      <c r="E4951" s="372">
        <v>0.1</v>
      </c>
      <c r="F4951" s="360">
        <f>'UPAD-BAHAN-ALAT'!$I$12</f>
        <v>110000</v>
      </c>
      <c r="G4951" s="248">
        <f>F4951*E4951</f>
        <v>11000</v>
      </c>
    </row>
    <row r="4952" spans="1:8">
      <c r="A4952" s="294"/>
      <c r="B4952" s="410" t="s">
        <v>871</v>
      </c>
      <c r="C4952" s="247" t="s">
        <v>678</v>
      </c>
      <c r="D4952" s="247" t="s">
        <v>675</v>
      </c>
      <c r="E4952" s="372">
        <v>0.05</v>
      </c>
      <c r="F4952" s="360">
        <f>'UPAD-BAHAN-ALAT'!$I$13</f>
        <v>140000</v>
      </c>
      <c r="G4952" s="248">
        <f>F4952*E4952</f>
        <v>7000</v>
      </c>
    </row>
    <row r="4953" spans="1:8">
      <c r="A4953" s="294"/>
      <c r="B4953" s="410" t="s">
        <v>751</v>
      </c>
      <c r="C4953" s="247" t="s">
        <v>681</v>
      </c>
      <c r="D4953" s="247" t="s">
        <v>675</v>
      </c>
      <c r="E4953" s="372">
        <v>5.0000000000000001E-3</v>
      </c>
      <c r="F4953" s="360">
        <f>'UPAD-BAHAN-ALAT'!$I$15</f>
        <v>150000</v>
      </c>
      <c r="G4953" s="248">
        <f>F4953*E4953</f>
        <v>750</v>
      </c>
    </row>
    <row r="4954" spans="1:8">
      <c r="A4954" s="294"/>
      <c r="B4954" s="410" t="s">
        <v>683</v>
      </c>
      <c r="C4954" s="247" t="s">
        <v>684</v>
      </c>
      <c r="D4954" s="247" t="s">
        <v>675</v>
      </c>
      <c r="E4954" s="372">
        <v>5.0000000000000001E-3</v>
      </c>
      <c r="F4954" s="360">
        <f>'UPAD-BAHAN-ALAT'!$I$14</f>
        <v>140000</v>
      </c>
      <c r="G4954" s="248">
        <f>F4954*E4954</f>
        <v>700</v>
      </c>
    </row>
    <row r="4955" spans="1:8">
      <c r="A4955" s="294"/>
      <c r="B4955" s="410"/>
      <c r="C4955" s="247"/>
      <c r="D4955" s="247"/>
      <c r="E4955" s="1146" t="s">
        <v>685</v>
      </c>
      <c r="F4955" s="1146"/>
      <c r="G4955" s="248">
        <f>SUM(G4951:G4954)</f>
        <v>19450</v>
      </c>
    </row>
    <row r="4956" spans="1:8">
      <c r="A4956" s="294" t="s">
        <v>686</v>
      </c>
      <c r="B4956" s="410" t="s">
        <v>687</v>
      </c>
      <c r="C4956" s="247"/>
      <c r="D4956" s="247"/>
      <c r="E4956" s="372"/>
      <c r="F4956" s="360"/>
      <c r="G4956" s="248"/>
    </row>
    <row r="4957" spans="1:8">
      <c r="A4957" s="247"/>
      <c r="B4957" s="410" t="s">
        <v>3693</v>
      </c>
      <c r="C4957" s="247"/>
      <c r="D4957" s="247" t="s">
        <v>888</v>
      </c>
      <c r="E4957" s="372">
        <v>0.36399999999999999</v>
      </c>
      <c r="F4957" s="360">
        <f>'UPAD-BAHAN-ALAT'!$I$102</f>
        <v>93500</v>
      </c>
      <c r="G4957" s="248">
        <f>F4957*E4957</f>
        <v>34034</v>
      </c>
    </row>
    <row r="4958" spans="1:8">
      <c r="A4958" s="247"/>
      <c r="B4958" s="410" t="s">
        <v>1194</v>
      </c>
      <c r="C4958" s="247"/>
      <c r="D4958" s="247" t="s">
        <v>773</v>
      </c>
      <c r="E4958" s="372">
        <v>0.11</v>
      </c>
      <c r="F4958" s="360">
        <f>'UPAD-BAHAN-ALAT'!$I$140</f>
        <v>27500</v>
      </c>
      <c r="G4958" s="248">
        <f>F4958*E4958</f>
        <v>3025</v>
      </c>
    </row>
    <row r="4959" spans="1:8">
      <c r="A4959" s="247"/>
      <c r="B4959" s="410"/>
      <c r="C4959" s="247"/>
      <c r="D4959" s="247"/>
      <c r="E4959" s="1155" t="s">
        <v>702</v>
      </c>
      <c r="F4959" s="1155"/>
      <c r="G4959" s="248">
        <f>SUM(G4957:G4958)</f>
        <v>37059</v>
      </c>
    </row>
    <row r="4960" spans="1:8" s="265" customFormat="1">
      <c r="A4960" s="294" t="s">
        <v>703</v>
      </c>
      <c r="B4960" s="1151" t="s">
        <v>3910</v>
      </c>
      <c r="C4960" s="1151"/>
      <c r="D4960" s="1151"/>
      <c r="E4960" s="1151"/>
      <c r="F4960" s="1151"/>
      <c r="G4960" s="255">
        <f>G4955+G4959</f>
        <v>56509</v>
      </c>
    </row>
    <row r="4961" spans="1:8" s="265" customFormat="1">
      <c r="A4961" s="294" t="s">
        <v>706</v>
      </c>
      <c r="B4961" s="1148" t="s">
        <v>876</v>
      </c>
      <c r="C4961" s="1148"/>
      <c r="D4961" s="1148"/>
      <c r="E4961" s="1147" t="s">
        <v>4030</v>
      </c>
      <c r="F4961" s="1147"/>
      <c r="G4961" s="255">
        <f>G4960*0.15</f>
        <v>8476.35</v>
      </c>
    </row>
    <row r="4962" spans="1:8" s="265" customFormat="1">
      <c r="A4962" s="294" t="s">
        <v>708</v>
      </c>
      <c r="B4962" s="1149" t="s">
        <v>3911</v>
      </c>
      <c r="C4962" s="1149"/>
      <c r="D4962" s="1149"/>
      <c r="E4962" s="1149"/>
      <c r="F4962" s="1149"/>
      <c r="G4962" s="255">
        <f>ROUND(SUM(G4960:G4961),2)</f>
        <v>64985.35</v>
      </c>
      <c r="H4962" s="255">
        <f>SUM(G4960:G4961)</f>
        <v>64985.35</v>
      </c>
    </row>
    <row r="4963" spans="1:8">
      <c r="A4963" s="252"/>
      <c r="B4963" s="251"/>
      <c r="C4963" s="252"/>
      <c r="D4963" s="251"/>
      <c r="E4963" s="378"/>
      <c r="F4963" s="364"/>
      <c r="G4963" s="253"/>
    </row>
    <row r="4964" spans="1:8">
      <c r="A4964" s="285" t="s">
        <v>4297</v>
      </c>
      <c r="B4964" s="265" t="s">
        <v>4656</v>
      </c>
    </row>
    <row r="4965" spans="1:8" s="292" customFormat="1" ht="24.95" customHeight="1">
      <c r="A4965" s="290" t="s">
        <v>1003</v>
      </c>
      <c r="B4965" s="290" t="s">
        <v>1004</v>
      </c>
      <c r="C4965" s="290" t="s">
        <v>1005</v>
      </c>
      <c r="D4965" s="290" t="s">
        <v>1006</v>
      </c>
      <c r="E4965" s="373" t="s">
        <v>1007</v>
      </c>
      <c r="F4965" s="363" t="s">
        <v>2637</v>
      </c>
      <c r="G4965" s="291" t="s">
        <v>2638</v>
      </c>
    </row>
    <row r="4966" spans="1:8">
      <c r="A4966" s="294" t="s">
        <v>671</v>
      </c>
      <c r="B4966" s="410" t="s">
        <v>672</v>
      </c>
      <c r="C4966" s="247"/>
      <c r="D4966" s="247"/>
      <c r="E4966" s="372"/>
      <c r="F4966" s="360"/>
      <c r="G4966" s="248"/>
    </row>
    <row r="4967" spans="1:8">
      <c r="A4967" s="294"/>
      <c r="B4967" s="410" t="s">
        <v>673</v>
      </c>
      <c r="C4967" s="247" t="s">
        <v>674</v>
      </c>
      <c r="D4967" s="247" t="s">
        <v>675</v>
      </c>
      <c r="E4967" s="372">
        <v>0.1</v>
      </c>
      <c r="F4967" s="360">
        <f>'UPAD-BAHAN-ALAT'!$I$12</f>
        <v>110000</v>
      </c>
      <c r="G4967" s="248">
        <f>F4967*E4967</f>
        <v>11000</v>
      </c>
    </row>
    <row r="4968" spans="1:8">
      <c r="A4968" s="294"/>
      <c r="B4968" s="410" t="s">
        <v>871</v>
      </c>
      <c r="C4968" s="247" t="s">
        <v>678</v>
      </c>
      <c r="D4968" s="247" t="s">
        <v>675</v>
      </c>
      <c r="E4968" s="372">
        <v>0.05</v>
      </c>
      <c r="F4968" s="360">
        <f>'UPAD-BAHAN-ALAT'!$I$13</f>
        <v>140000</v>
      </c>
      <c r="G4968" s="248">
        <f>F4968*E4968</f>
        <v>7000</v>
      </c>
    </row>
    <row r="4969" spans="1:8">
      <c r="A4969" s="294"/>
      <c r="B4969" s="410" t="s">
        <v>751</v>
      </c>
      <c r="C4969" s="247" t="s">
        <v>681</v>
      </c>
      <c r="D4969" s="247" t="s">
        <v>675</v>
      </c>
      <c r="E4969" s="372">
        <v>5.0000000000000001E-3</v>
      </c>
      <c r="F4969" s="360">
        <f>'UPAD-BAHAN-ALAT'!$I$15</f>
        <v>150000</v>
      </c>
      <c r="G4969" s="248">
        <f>F4969*E4969</f>
        <v>750</v>
      </c>
    </row>
    <row r="4970" spans="1:8">
      <c r="A4970" s="294"/>
      <c r="B4970" s="410" t="s">
        <v>683</v>
      </c>
      <c r="C4970" s="247" t="s">
        <v>684</v>
      </c>
      <c r="D4970" s="247" t="s">
        <v>675</v>
      </c>
      <c r="E4970" s="372">
        <v>5.0000000000000001E-3</v>
      </c>
      <c r="F4970" s="360">
        <f>'UPAD-BAHAN-ALAT'!$I$14</f>
        <v>140000</v>
      </c>
      <c r="G4970" s="248">
        <f>F4970*E4970</f>
        <v>700</v>
      </c>
    </row>
    <row r="4971" spans="1:8">
      <c r="A4971" s="294"/>
      <c r="B4971" s="410"/>
      <c r="C4971" s="247"/>
      <c r="D4971" s="247"/>
      <c r="E4971" s="1146" t="s">
        <v>685</v>
      </c>
      <c r="F4971" s="1146"/>
      <c r="G4971" s="248">
        <f>SUM(G4967:G4970)</f>
        <v>19450</v>
      </c>
    </row>
    <row r="4972" spans="1:8">
      <c r="A4972" s="294" t="s">
        <v>686</v>
      </c>
      <c r="B4972" s="410" t="s">
        <v>687</v>
      </c>
      <c r="C4972" s="247"/>
      <c r="D4972" s="247"/>
      <c r="E4972" s="372"/>
      <c r="F4972" s="360"/>
      <c r="G4972" s="248"/>
    </row>
    <row r="4973" spans="1:8">
      <c r="A4973" s="294"/>
      <c r="B4973" s="410" t="s">
        <v>3712</v>
      </c>
      <c r="C4973" s="247"/>
      <c r="D4973" s="247" t="s">
        <v>888</v>
      </c>
      <c r="E4973" s="372">
        <v>0.36399999999999999</v>
      </c>
      <c r="F4973" s="360">
        <f>'UPAD-BAHAN-ALAT'!I104</f>
        <v>159500</v>
      </c>
      <c r="G4973" s="248">
        <f>F4973*E4973</f>
        <v>58058</v>
      </c>
    </row>
    <row r="4974" spans="1:8">
      <c r="A4974" s="294"/>
      <c r="B4974" s="410" t="s">
        <v>1194</v>
      </c>
      <c r="C4974" s="247"/>
      <c r="D4974" s="247" t="s">
        <v>773</v>
      </c>
      <c r="E4974" s="372">
        <v>0.11</v>
      </c>
      <c r="F4974" s="360">
        <f>'UPAD-BAHAN-ALAT'!$I$140</f>
        <v>27500</v>
      </c>
      <c r="G4974" s="248">
        <f>F4974*E4974</f>
        <v>3025</v>
      </c>
    </row>
    <row r="4975" spans="1:8">
      <c r="A4975" s="247"/>
      <c r="B4975" s="410"/>
      <c r="C4975" s="247"/>
      <c r="D4975" s="247"/>
      <c r="E4975" s="1155" t="s">
        <v>702</v>
      </c>
      <c r="F4975" s="1155"/>
      <c r="G4975" s="248">
        <f>SUM(G4973:G4974)</f>
        <v>61083</v>
      </c>
    </row>
    <row r="4976" spans="1:8" s="265" customFormat="1">
      <c r="A4976" s="294" t="s">
        <v>703</v>
      </c>
      <c r="B4976" s="1151" t="s">
        <v>3910</v>
      </c>
      <c r="C4976" s="1151"/>
      <c r="D4976" s="1151"/>
      <c r="E4976" s="1151"/>
      <c r="F4976" s="1151"/>
      <c r="G4976" s="255">
        <f>G4971+G4975</f>
        <v>80533</v>
      </c>
    </row>
    <row r="4977" spans="1:8" s="265" customFormat="1">
      <c r="A4977" s="294" t="s">
        <v>706</v>
      </c>
      <c r="B4977" s="1148" t="s">
        <v>876</v>
      </c>
      <c r="C4977" s="1148"/>
      <c r="D4977" s="1148"/>
      <c r="E4977" s="1147" t="s">
        <v>4030</v>
      </c>
      <c r="F4977" s="1147"/>
      <c r="G4977" s="255">
        <f>G4976*0.15</f>
        <v>12079.949999999999</v>
      </c>
    </row>
    <row r="4978" spans="1:8" s="265" customFormat="1">
      <c r="A4978" s="294" t="s">
        <v>708</v>
      </c>
      <c r="B4978" s="1149" t="s">
        <v>3911</v>
      </c>
      <c r="C4978" s="1149"/>
      <c r="D4978" s="1149"/>
      <c r="E4978" s="1149"/>
      <c r="F4978" s="1149"/>
      <c r="G4978" s="255">
        <f>ROUND(SUM(G4976:G4977),2)</f>
        <v>92612.95</v>
      </c>
      <c r="H4978" s="255">
        <f>SUM(G4976:G4977)</f>
        <v>92612.95</v>
      </c>
    </row>
    <row r="4979" spans="1:8">
      <c r="A4979" s="252"/>
      <c r="B4979" s="251"/>
      <c r="C4979" s="252"/>
      <c r="D4979" s="251"/>
      <c r="E4979" s="378"/>
      <c r="F4979" s="364"/>
      <c r="G4979" s="289"/>
      <c r="H4979" s="253"/>
    </row>
    <row r="4980" spans="1:8">
      <c r="A4980" s="285" t="s">
        <v>4298</v>
      </c>
      <c r="B4980" s="265" t="s">
        <v>4657</v>
      </c>
    </row>
    <row r="4981" spans="1:8" s="292" customFormat="1" ht="24.95" customHeight="1">
      <c r="A4981" s="290" t="s">
        <v>1003</v>
      </c>
      <c r="B4981" s="290" t="s">
        <v>1004</v>
      </c>
      <c r="C4981" s="290" t="s">
        <v>1005</v>
      </c>
      <c r="D4981" s="290" t="s">
        <v>1006</v>
      </c>
      <c r="E4981" s="373" t="s">
        <v>1007</v>
      </c>
      <c r="F4981" s="363" t="s">
        <v>2637</v>
      </c>
      <c r="G4981" s="291" t="s">
        <v>2638</v>
      </c>
    </row>
    <row r="4982" spans="1:8">
      <c r="A4982" s="294" t="s">
        <v>671</v>
      </c>
      <c r="B4982" s="410" t="s">
        <v>672</v>
      </c>
      <c r="C4982" s="247"/>
      <c r="D4982" s="247"/>
      <c r="E4982" s="372"/>
      <c r="F4982" s="360"/>
      <c r="G4982" s="248"/>
    </row>
    <row r="4983" spans="1:8">
      <c r="A4983" s="294"/>
      <c r="B4983" s="410" t="s">
        <v>673</v>
      </c>
      <c r="C4983" s="247" t="s">
        <v>674</v>
      </c>
      <c r="D4983" s="247" t="s">
        <v>675</v>
      </c>
      <c r="E4983" s="372">
        <f>0.28*0.5</f>
        <v>0.14000000000000001</v>
      </c>
      <c r="F4983" s="360">
        <f>'UPAD-BAHAN-ALAT'!$I$12</f>
        <v>110000</v>
      </c>
      <c r="G4983" s="248">
        <f>F4983*E4983</f>
        <v>15400.000000000002</v>
      </c>
    </row>
    <row r="4984" spans="1:8">
      <c r="A4984" s="294"/>
      <c r="B4984" s="410" t="s">
        <v>871</v>
      </c>
      <c r="C4984" s="247" t="s">
        <v>678</v>
      </c>
      <c r="D4984" s="247" t="s">
        <v>675</v>
      </c>
      <c r="E4984" s="372">
        <f>0.8*0.5</f>
        <v>0.4</v>
      </c>
      <c r="F4984" s="360">
        <f>'UPAD-BAHAN-ALAT'!$I$13</f>
        <v>140000</v>
      </c>
      <c r="G4984" s="248">
        <f>F4984*E4984</f>
        <v>56000</v>
      </c>
    </row>
    <row r="4985" spans="1:8">
      <c r="A4985" s="294"/>
      <c r="B4985" s="410" t="s">
        <v>751</v>
      </c>
      <c r="C4985" s="247" t="s">
        <v>681</v>
      </c>
      <c r="D4985" s="247" t="s">
        <v>675</v>
      </c>
      <c r="E4985" s="372">
        <f>0.08*0.5</f>
        <v>0.04</v>
      </c>
      <c r="F4985" s="360">
        <f>'UPAD-BAHAN-ALAT'!$I$15</f>
        <v>150000</v>
      </c>
      <c r="G4985" s="248">
        <f>F4985*E4985</f>
        <v>6000</v>
      </c>
    </row>
    <row r="4986" spans="1:8">
      <c r="A4986" s="294"/>
      <c r="B4986" s="410" t="s">
        <v>683</v>
      </c>
      <c r="C4986" s="247" t="s">
        <v>684</v>
      </c>
      <c r="D4986" s="247" t="s">
        <v>675</v>
      </c>
      <c r="E4986" s="372">
        <f>0.014*0.5</f>
        <v>7.0000000000000001E-3</v>
      </c>
      <c r="F4986" s="360">
        <f>'UPAD-BAHAN-ALAT'!$I$14</f>
        <v>140000</v>
      </c>
      <c r="G4986" s="248">
        <f>F4986*E4986</f>
        <v>980</v>
      </c>
    </row>
    <row r="4987" spans="1:8">
      <c r="A4987" s="294"/>
      <c r="B4987" s="410"/>
      <c r="C4987" s="247"/>
      <c r="D4987" s="247"/>
      <c r="E4987" s="1146" t="s">
        <v>685</v>
      </c>
      <c r="F4987" s="1146"/>
      <c r="G4987" s="248">
        <f>SUM(G4983:G4986)</f>
        <v>78380</v>
      </c>
    </row>
    <row r="4988" spans="1:8">
      <c r="A4988" s="294" t="s">
        <v>686</v>
      </c>
      <c r="B4988" s="410" t="s">
        <v>687</v>
      </c>
      <c r="C4988" s="247"/>
      <c r="D4988" s="247"/>
      <c r="E4988" s="372"/>
      <c r="F4988" s="360"/>
      <c r="G4988" s="248"/>
    </row>
    <row r="4989" spans="1:8">
      <c r="A4989" s="294"/>
      <c r="B4989" s="410" t="s">
        <v>3988</v>
      </c>
      <c r="C4989" s="247"/>
      <c r="D4989" s="247" t="s">
        <v>2646</v>
      </c>
      <c r="E4989" s="372">
        <v>7.7000000000000002E-3</v>
      </c>
      <c r="F4989" s="360">
        <f>'UPAD-BAHAN-ALAT'!$I$95</f>
        <v>6825000</v>
      </c>
      <c r="G4989" s="248">
        <f>F4989*E4989</f>
        <v>52552.5</v>
      </c>
    </row>
    <row r="4990" spans="1:8">
      <c r="A4990" s="294"/>
      <c r="B4990" s="410" t="s">
        <v>3989</v>
      </c>
      <c r="C4990" s="247"/>
      <c r="D4990" s="247" t="s">
        <v>2646</v>
      </c>
      <c r="E4990" s="372">
        <v>2.75E-2</v>
      </c>
      <c r="F4990" s="360">
        <f>$F$4989</f>
        <v>6825000</v>
      </c>
      <c r="G4990" s="248">
        <f>F4990*E4990</f>
        <v>187687.5</v>
      </c>
    </row>
    <row r="4991" spans="1:8">
      <c r="A4991" s="294"/>
      <c r="B4991" s="410" t="s">
        <v>3990</v>
      </c>
      <c r="C4991" s="247"/>
      <c r="D4991" s="247" t="s">
        <v>773</v>
      </c>
      <c r="E4991" s="372">
        <v>0.25</v>
      </c>
      <c r="F4991" s="360">
        <f>$F$5024</f>
        <v>21000</v>
      </c>
      <c r="G4991" s="248">
        <f>F4991*E4991</f>
        <v>5250</v>
      </c>
    </row>
    <row r="4992" spans="1:8">
      <c r="A4992" s="247"/>
      <c r="B4992" s="410"/>
      <c r="C4992" s="247"/>
      <c r="D4992" s="247"/>
      <c r="E4992" s="1155" t="s">
        <v>702</v>
      </c>
      <c r="F4992" s="1155"/>
      <c r="G4992" s="248">
        <f>SUM(G4989:G4991)</f>
        <v>245490</v>
      </c>
    </row>
    <row r="4993" spans="1:8" s="265" customFormat="1">
      <c r="A4993" s="294" t="s">
        <v>703</v>
      </c>
      <c r="B4993" s="1151" t="s">
        <v>3910</v>
      </c>
      <c r="C4993" s="1151"/>
      <c r="D4993" s="1151"/>
      <c r="E4993" s="1151"/>
      <c r="F4993" s="1151"/>
      <c r="G4993" s="255">
        <f>G4987+G4992</f>
        <v>323870</v>
      </c>
    </row>
    <row r="4994" spans="1:8" s="265" customFormat="1">
      <c r="A4994" s="294" t="s">
        <v>706</v>
      </c>
      <c r="B4994" s="1148" t="s">
        <v>876</v>
      </c>
      <c r="C4994" s="1148"/>
      <c r="D4994" s="1148"/>
      <c r="E4994" s="1147" t="s">
        <v>4030</v>
      </c>
      <c r="F4994" s="1147"/>
      <c r="G4994" s="255">
        <f>G4993*0.15</f>
        <v>48580.5</v>
      </c>
    </row>
    <row r="4995" spans="1:8" s="265" customFormat="1">
      <c r="A4995" s="294" t="s">
        <v>708</v>
      </c>
      <c r="B4995" s="1149" t="s">
        <v>3911</v>
      </c>
      <c r="C4995" s="1149"/>
      <c r="D4995" s="1149"/>
      <c r="E4995" s="1149"/>
      <c r="F4995" s="1149"/>
      <c r="G4995" s="255">
        <f>ROUND(SUM(G4993:G4994),2)</f>
        <v>372450.5</v>
      </c>
      <c r="H4995" s="255">
        <f>SUM(G4993:G4994)</f>
        <v>372450.5</v>
      </c>
    </row>
    <row r="4996" spans="1:8">
      <c r="A4996" s="252"/>
      <c r="B4996" s="251"/>
      <c r="C4996" s="252"/>
      <c r="D4996" s="251"/>
      <c r="E4996" s="378"/>
      <c r="F4996" s="364"/>
      <c r="G4996" s="289"/>
      <c r="H4996" s="253"/>
    </row>
    <row r="4997" spans="1:8">
      <c r="A4997" s="285" t="s">
        <v>4299</v>
      </c>
      <c r="B4997" s="265" t="s">
        <v>4658</v>
      </c>
      <c r="H4997" s="253"/>
    </row>
    <row r="4998" spans="1:8" s="292" customFormat="1" ht="24.95" customHeight="1">
      <c r="A4998" s="290" t="s">
        <v>1003</v>
      </c>
      <c r="B4998" s="290" t="s">
        <v>1004</v>
      </c>
      <c r="C4998" s="290" t="s">
        <v>1005</v>
      </c>
      <c r="D4998" s="290" t="s">
        <v>1006</v>
      </c>
      <c r="E4998" s="373" t="s">
        <v>1007</v>
      </c>
      <c r="F4998" s="363" t="s">
        <v>2637</v>
      </c>
      <c r="G4998" s="291" t="s">
        <v>2638</v>
      </c>
      <c r="H4998" s="351"/>
    </row>
    <row r="4999" spans="1:8">
      <c r="A4999" s="294" t="s">
        <v>671</v>
      </c>
      <c r="B4999" s="410" t="s">
        <v>672</v>
      </c>
      <c r="C4999" s="247"/>
      <c r="D4999" s="247"/>
      <c r="E4999" s="372"/>
      <c r="F4999" s="360"/>
      <c r="G4999" s="248"/>
      <c r="H4999" s="253"/>
    </row>
    <row r="5000" spans="1:8">
      <c r="A5000" s="294"/>
      <c r="B5000" s="410" t="s">
        <v>673</v>
      </c>
      <c r="C5000" s="247" t="s">
        <v>674</v>
      </c>
      <c r="D5000" s="247" t="s">
        <v>675</v>
      </c>
      <c r="E5000" s="372">
        <f>0.28*0.5</f>
        <v>0.14000000000000001</v>
      </c>
      <c r="F5000" s="360">
        <f>'UPAD-BAHAN-ALAT'!$I$12</f>
        <v>110000</v>
      </c>
      <c r="G5000" s="248">
        <f>F5000*E5000</f>
        <v>15400.000000000002</v>
      </c>
      <c r="H5000" s="253"/>
    </row>
    <row r="5001" spans="1:8">
      <c r="A5001" s="294"/>
      <c r="B5001" s="410" t="s">
        <v>871</v>
      </c>
      <c r="C5001" s="247" t="s">
        <v>678</v>
      </c>
      <c r="D5001" s="247" t="s">
        <v>675</v>
      </c>
      <c r="E5001" s="372">
        <f>0.8*0.5</f>
        <v>0.4</v>
      </c>
      <c r="F5001" s="360">
        <f>'UPAD-BAHAN-ALAT'!$I$13</f>
        <v>140000</v>
      </c>
      <c r="G5001" s="248">
        <f>F5001*E5001</f>
        <v>56000</v>
      </c>
      <c r="H5001" s="253"/>
    </row>
    <row r="5002" spans="1:8">
      <c r="A5002" s="294"/>
      <c r="B5002" s="410" t="s">
        <v>751</v>
      </c>
      <c r="C5002" s="247" t="s">
        <v>681</v>
      </c>
      <c r="D5002" s="247" t="s">
        <v>675</v>
      </c>
      <c r="E5002" s="372">
        <f>0.08*0.5</f>
        <v>0.04</v>
      </c>
      <c r="F5002" s="360">
        <f>'UPAD-BAHAN-ALAT'!$I$15</f>
        <v>150000</v>
      </c>
      <c r="G5002" s="248">
        <f>F5002*E5002</f>
        <v>6000</v>
      </c>
      <c r="H5002" s="253"/>
    </row>
    <row r="5003" spans="1:8">
      <c r="A5003" s="294"/>
      <c r="B5003" s="410" t="s">
        <v>683</v>
      </c>
      <c r="C5003" s="247" t="s">
        <v>684</v>
      </c>
      <c r="D5003" s="247" t="s">
        <v>675</v>
      </c>
      <c r="E5003" s="372">
        <f>0.014*0.5</f>
        <v>7.0000000000000001E-3</v>
      </c>
      <c r="F5003" s="360">
        <f>'UPAD-BAHAN-ALAT'!$I$14</f>
        <v>140000</v>
      </c>
      <c r="G5003" s="248">
        <f>F5003*E5003</f>
        <v>980</v>
      </c>
      <c r="H5003" s="253"/>
    </row>
    <row r="5004" spans="1:8">
      <c r="A5004" s="294"/>
      <c r="B5004" s="410"/>
      <c r="C5004" s="247"/>
      <c r="D5004" s="247"/>
      <c r="E5004" s="1146" t="s">
        <v>685</v>
      </c>
      <c r="F5004" s="1146"/>
      <c r="G5004" s="248">
        <f>SUM(G5000:G5003)</f>
        <v>78380</v>
      </c>
      <c r="H5004" s="253"/>
    </row>
    <row r="5005" spans="1:8">
      <c r="A5005" s="294" t="s">
        <v>686</v>
      </c>
      <c r="B5005" s="410" t="s">
        <v>687</v>
      </c>
      <c r="C5005" s="247"/>
      <c r="D5005" s="247"/>
      <c r="E5005" s="372"/>
      <c r="F5005" s="360"/>
      <c r="G5005" s="248"/>
      <c r="H5005" s="253"/>
    </row>
    <row r="5006" spans="1:8">
      <c r="A5006" s="247"/>
      <c r="B5006" s="410" t="s">
        <v>3988</v>
      </c>
      <c r="C5006" s="247"/>
      <c r="D5006" s="247" t="s">
        <v>2646</v>
      </c>
      <c r="E5006" s="372">
        <v>7.7000000000000002E-3</v>
      </c>
      <c r="F5006" s="360">
        <f>'UPAD-BAHAN-ALAT'!$I$96</f>
        <v>3465000</v>
      </c>
      <c r="G5006" s="248">
        <f>F5006*E5006</f>
        <v>26680.5</v>
      </c>
      <c r="H5006" s="253"/>
    </row>
    <row r="5007" spans="1:8">
      <c r="A5007" s="247"/>
      <c r="B5007" s="410" t="s">
        <v>3989</v>
      </c>
      <c r="C5007" s="247"/>
      <c r="D5007" s="247" t="s">
        <v>2646</v>
      </c>
      <c r="E5007" s="372">
        <v>2.75E-2</v>
      </c>
      <c r="F5007" s="360">
        <f>$F$5006</f>
        <v>3465000</v>
      </c>
      <c r="G5007" s="248">
        <f>F5007*E5007</f>
        <v>95287.5</v>
      </c>
      <c r="H5007" s="253"/>
    </row>
    <row r="5008" spans="1:8">
      <c r="A5008" s="247"/>
      <c r="B5008" s="410" t="s">
        <v>3990</v>
      </c>
      <c r="C5008" s="247"/>
      <c r="D5008" s="247" t="s">
        <v>773</v>
      </c>
      <c r="E5008" s="372">
        <v>0.25</v>
      </c>
      <c r="F5008" s="360">
        <f>$F$5024</f>
        <v>21000</v>
      </c>
      <c r="G5008" s="248">
        <f>F5008*E5008</f>
        <v>5250</v>
      </c>
      <c r="H5008" s="253"/>
    </row>
    <row r="5009" spans="1:8">
      <c r="A5009" s="247"/>
      <c r="B5009" s="410"/>
      <c r="C5009" s="247"/>
      <c r="D5009" s="247"/>
      <c r="E5009" s="1155" t="s">
        <v>702</v>
      </c>
      <c r="F5009" s="1155"/>
      <c r="G5009" s="248">
        <f>SUM(G5006:G5008)</f>
        <v>127218</v>
      </c>
      <c r="H5009" s="253"/>
    </row>
    <row r="5010" spans="1:8" s="265" customFormat="1">
      <c r="A5010" s="294" t="s">
        <v>703</v>
      </c>
      <c r="B5010" s="1151" t="s">
        <v>3910</v>
      </c>
      <c r="C5010" s="1151"/>
      <c r="D5010" s="1151"/>
      <c r="E5010" s="1151"/>
      <c r="F5010" s="1151"/>
      <c r="G5010" s="255">
        <f>G5004+G5009</f>
        <v>205598</v>
      </c>
      <c r="H5010" s="352"/>
    </row>
    <row r="5011" spans="1:8" s="265" customFormat="1">
      <c r="A5011" s="294" t="s">
        <v>706</v>
      </c>
      <c r="B5011" s="1148" t="s">
        <v>876</v>
      </c>
      <c r="C5011" s="1148"/>
      <c r="D5011" s="1148"/>
      <c r="E5011" s="1147" t="s">
        <v>4030</v>
      </c>
      <c r="F5011" s="1147"/>
      <c r="G5011" s="255">
        <f>G5010*0.15</f>
        <v>30839.699999999997</v>
      </c>
      <c r="H5011" s="352"/>
    </row>
    <row r="5012" spans="1:8" s="265" customFormat="1">
      <c r="A5012" s="294" t="s">
        <v>708</v>
      </c>
      <c r="B5012" s="1149" t="s">
        <v>3911</v>
      </c>
      <c r="C5012" s="1149"/>
      <c r="D5012" s="1149"/>
      <c r="E5012" s="1149"/>
      <c r="F5012" s="1149"/>
      <c r="G5012" s="255">
        <f>ROUND(SUM(G5010:G5011),2)</f>
        <v>236437.7</v>
      </c>
      <c r="H5012" s="255">
        <f>SUM(G5010:G5011)</f>
        <v>236437.7</v>
      </c>
    </row>
    <row r="5013" spans="1:8">
      <c r="A5013" s="252"/>
      <c r="B5013" s="251"/>
      <c r="C5013" s="252"/>
      <c r="D5013" s="251"/>
      <c r="E5013" s="378"/>
      <c r="F5013" s="364"/>
      <c r="G5013" s="289"/>
      <c r="H5013" s="253"/>
    </row>
    <row r="5014" spans="1:8">
      <c r="A5014" s="286" t="s">
        <v>4300</v>
      </c>
      <c r="B5014" s="265" t="s">
        <v>3689</v>
      </c>
    </row>
    <row r="5015" spans="1:8" s="292" customFormat="1" ht="24.95" customHeight="1">
      <c r="A5015" s="290" t="s">
        <v>1003</v>
      </c>
      <c r="B5015" s="290" t="s">
        <v>1004</v>
      </c>
      <c r="C5015" s="290" t="s">
        <v>1005</v>
      </c>
      <c r="D5015" s="290" t="s">
        <v>1006</v>
      </c>
      <c r="E5015" s="373" t="s">
        <v>1007</v>
      </c>
      <c r="F5015" s="363" t="s">
        <v>2637</v>
      </c>
      <c r="G5015" s="291" t="s">
        <v>2638</v>
      </c>
    </row>
    <row r="5016" spans="1:8">
      <c r="A5016" s="294" t="s">
        <v>671</v>
      </c>
      <c r="B5016" s="410" t="s">
        <v>672</v>
      </c>
      <c r="C5016" s="247"/>
      <c r="D5016" s="247"/>
      <c r="E5016" s="372"/>
      <c r="F5016" s="360"/>
      <c r="G5016" s="248"/>
    </row>
    <row r="5017" spans="1:8">
      <c r="A5017" s="294"/>
      <c r="B5017" s="410" t="s">
        <v>673</v>
      </c>
      <c r="C5017" s="247" t="s">
        <v>674</v>
      </c>
      <c r="D5017" s="247" t="s">
        <v>675</v>
      </c>
      <c r="E5017" s="372">
        <v>0.15</v>
      </c>
      <c r="F5017" s="360">
        <f>'UPAD-BAHAN-ALAT'!$I$12</f>
        <v>110000</v>
      </c>
      <c r="G5017" s="248">
        <f>F5017*E5017</f>
        <v>16500</v>
      </c>
    </row>
    <row r="5018" spans="1:8">
      <c r="A5018" s="294"/>
      <c r="B5018" s="410" t="s">
        <v>871</v>
      </c>
      <c r="C5018" s="247" t="s">
        <v>678</v>
      </c>
      <c r="D5018" s="247" t="s">
        <v>675</v>
      </c>
      <c r="E5018" s="372">
        <v>0.45</v>
      </c>
      <c r="F5018" s="360">
        <f>'UPAD-BAHAN-ALAT'!$I$13</f>
        <v>140000</v>
      </c>
      <c r="G5018" s="248">
        <f>F5018*E5018</f>
        <v>63000</v>
      </c>
    </row>
    <row r="5019" spans="1:8">
      <c r="A5019" s="294"/>
      <c r="B5019" s="410" t="s">
        <v>751</v>
      </c>
      <c r="C5019" s="247" t="s">
        <v>681</v>
      </c>
      <c r="D5019" s="247" t="s">
        <v>675</v>
      </c>
      <c r="E5019" s="372">
        <v>4.4999999999999998E-2</v>
      </c>
      <c r="F5019" s="360">
        <f>'UPAD-BAHAN-ALAT'!$I$15</f>
        <v>150000</v>
      </c>
      <c r="G5019" s="248">
        <f>F5019*E5019</f>
        <v>6750</v>
      </c>
    </row>
    <row r="5020" spans="1:8">
      <c r="A5020" s="294"/>
      <c r="B5020" s="410" t="s">
        <v>683</v>
      </c>
      <c r="C5020" s="247" t="s">
        <v>684</v>
      </c>
      <c r="D5020" s="247" t="s">
        <v>675</v>
      </c>
      <c r="E5020" s="372">
        <v>8.0000000000000002E-3</v>
      </c>
      <c r="F5020" s="360">
        <f>'UPAD-BAHAN-ALAT'!$I$14</f>
        <v>140000</v>
      </c>
      <c r="G5020" s="248">
        <f>F5020*E5020</f>
        <v>1120</v>
      </c>
    </row>
    <row r="5021" spans="1:8">
      <c r="A5021" s="294"/>
      <c r="B5021" s="410"/>
      <c r="C5021" s="247"/>
      <c r="D5021" s="247"/>
      <c r="E5021" s="1146" t="s">
        <v>685</v>
      </c>
      <c r="F5021" s="1146"/>
      <c r="G5021" s="248">
        <f>SUM(G5017:G5020)</f>
        <v>87370</v>
      </c>
    </row>
    <row r="5022" spans="1:8">
      <c r="A5022" s="294" t="s">
        <v>686</v>
      </c>
      <c r="B5022" s="410" t="s">
        <v>687</v>
      </c>
      <c r="C5022" s="247"/>
      <c r="D5022" s="247"/>
      <c r="E5022" s="372"/>
      <c r="F5022" s="360"/>
      <c r="G5022" s="248"/>
    </row>
    <row r="5023" spans="1:8">
      <c r="A5023" s="294"/>
      <c r="B5023" s="410" t="s">
        <v>2658</v>
      </c>
      <c r="C5023" s="247"/>
      <c r="D5023" s="247" t="s">
        <v>2646</v>
      </c>
      <c r="E5023" s="372">
        <v>2.8000000000000001E-2</v>
      </c>
      <c r="F5023" s="360">
        <f>'UPAD-BAHAN-ALAT'!$I$96</f>
        <v>3465000</v>
      </c>
      <c r="G5023" s="248">
        <f>F5023*E5023</f>
        <v>97020</v>
      </c>
    </row>
    <row r="5024" spans="1:8">
      <c r="A5024" s="294"/>
      <c r="B5024" s="410" t="s">
        <v>1316</v>
      </c>
      <c r="C5024" s="247"/>
      <c r="D5024" s="247" t="s">
        <v>773</v>
      </c>
      <c r="E5024" s="372">
        <v>0.15</v>
      </c>
      <c r="F5024" s="624">
        <f>'UPAD-BAHAN-ALAT'!$I$139</f>
        <v>21000</v>
      </c>
      <c r="G5024" s="248">
        <f>F5024*E5024</f>
        <v>3150</v>
      </c>
    </row>
    <row r="5025" spans="1:8">
      <c r="A5025" s="247"/>
      <c r="B5025" s="256" t="s">
        <v>4626</v>
      </c>
      <c r="C5025" s="247"/>
      <c r="D5025" s="257" t="s">
        <v>888</v>
      </c>
      <c r="E5025" s="375">
        <v>0.86</v>
      </c>
      <c r="F5025" s="360">
        <f>'UPAD-BAHAN-ALAT'!$I$102</f>
        <v>93500</v>
      </c>
      <c r="G5025" s="248">
        <f>F5025*E5025</f>
        <v>80410</v>
      </c>
    </row>
    <row r="5026" spans="1:8">
      <c r="A5026" s="247"/>
      <c r="B5026" s="410" t="s">
        <v>1268</v>
      </c>
      <c r="C5026" s="247"/>
      <c r="D5026" s="247" t="s">
        <v>773</v>
      </c>
      <c r="E5026" s="372">
        <v>0.56000000000000005</v>
      </c>
      <c r="F5026" s="360">
        <f>'UPAD-BAHAN-ALAT'!$I$97</f>
        <v>22000</v>
      </c>
      <c r="G5026" s="248">
        <f>F5026*E5026</f>
        <v>12320.000000000002</v>
      </c>
    </row>
    <row r="5027" spans="1:8">
      <c r="A5027" s="247"/>
      <c r="B5027" s="410"/>
      <c r="C5027" s="247"/>
      <c r="D5027" s="247"/>
      <c r="E5027" s="1155" t="s">
        <v>702</v>
      </c>
      <c r="F5027" s="1155"/>
      <c r="G5027" s="248">
        <f>SUM(G5023:G5026)</f>
        <v>192900</v>
      </c>
    </row>
    <row r="5028" spans="1:8" s="265" customFormat="1">
      <c r="A5028" s="294" t="s">
        <v>703</v>
      </c>
      <c r="B5028" s="1151" t="s">
        <v>3910</v>
      </c>
      <c r="C5028" s="1151"/>
      <c r="D5028" s="1151"/>
      <c r="E5028" s="1151"/>
      <c r="F5028" s="1151"/>
      <c r="G5028" s="255">
        <f>G5021+G5027</f>
        <v>280270</v>
      </c>
    </row>
    <row r="5029" spans="1:8" s="265" customFormat="1">
      <c r="A5029" s="294" t="s">
        <v>706</v>
      </c>
      <c r="B5029" s="1148" t="s">
        <v>876</v>
      </c>
      <c r="C5029" s="1148"/>
      <c r="D5029" s="1148"/>
      <c r="E5029" s="1147" t="s">
        <v>4030</v>
      </c>
      <c r="F5029" s="1147"/>
      <c r="G5029" s="255">
        <f>G5028*0.15</f>
        <v>42040.5</v>
      </c>
    </row>
    <row r="5030" spans="1:8" s="265" customFormat="1">
      <c r="A5030" s="294" t="s">
        <v>708</v>
      </c>
      <c r="B5030" s="1149" t="s">
        <v>3911</v>
      </c>
      <c r="C5030" s="1149"/>
      <c r="D5030" s="1149"/>
      <c r="E5030" s="1149"/>
      <c r="F5030" s="1149"/>
      <c r="G5030" s="255">
        <f>ROUND(SUM(G5028:G5029),2)</f>
        <v>322310.5</v>
      </c>
      <c r="H5030" s="255">
        <f>SUM(G5028:G5029)</f>
        <v>322310.5</v>
      </c>
    </row>
    <row r="5031" spans="1:8">
      <c r="A5031" s="268"/>
      <c r="B5031" s="269"/>
      <c r="C5031" s="268"/>
      <c r="D5031" s="268"/>
      <c r="E5031" s="380"/>
      <c r="F5031" s="365"/>
      <c r="G5031" s="270"/>
    </row>
    <row r="5032" spans="1:8">
      <c r="A5032" s="285" t="s">
        <v>4301</v>
      </c>
      <c r="B5032" s="250" t="s">
        <v>4627</v>
      </c>
      <c r="C5032" s="252"/>
      <c r="D5032" s="252"/>
      <c r="E5032" s="374"/>
      <c r="F5032" s="361"/>
      <c r="G5032" s="253"/>
    </row>
    <row r="5033" spans="1:8" s="292" customFormat="1" ht="24.95" customHeight="1">
      <c r="A5033" s="290" t="s">
        <v>1003</v>
      </c>
      <c r="B5033" s="293" t="s">
        <v>1004</v>
      </c>
      <c r="C5033" s="290" t="s">
        <v>1005</v>
      </c>
      <c r="D5033" s="290" t="s">
        <v>1006</v>
      </c>
      <c r="E5033" s="373" t="s">
        <v>1007</v>
      </c>
      <c r="F5033" s="363" t="s">
        <v>2637</v>
      </c>
      <c r="G5033" s="291" t="s">
        <v>2638</v>
      </c>
    </row>
    <row r="5034" spans="1:8">
      <c r="A5034" s="294" t="s">
        <v>671</v>
      </c>
      <c r="B5034" s="355" t="s">
        <v>672</v>
      </c>
      <c r="C5034" s="247"/>
      <c r="D5034" s="247"/>
      <c r="E5034" s="372"/>
      <c r="F5034" s="360"/>
      <c r="G5034" s="248"/>
    </row>
    <row r="5035" spans="1:8">
      <c r="A5035" s="294"/>
      <c r="B5035" s="355" t="s">
        <v>673</v>
      </c>
      <c r="C5035" s="247" t="s">
        <v>674</v>
      </c>
      <c r="D5035" s="247" t="s">
        <v>675</v>
      </c>
      <c r="E5035" s="372">
        <v>0.2</v>
      </c>
      <c r="F5035" s="360">
        <f>'UPAD-BAHAN-ALAT'!$I$12</f>
        <v>110000</v>
      </c>
      <c r="G5035" s="248">
        <f>F5035*E5035</f>
        <v>22000</v>
      </c>
    </row>
    <row r="5036" spans="1:8">
      <c r="A5036" s="294"/>
      <c r="B5036" s="355" t="s">
        <v>871</v>
      </c>
      <c r="C5036" s="247" t="s">
        <v>678</v>
      </c>
      <c r="D5036" s="247" t="s">
        <v>675</v>
      </c>
      <c r="E5036" s="372">
        <v>0.6</v>
      </c>
      <c r="F5036" s="360">
        <f>'UPAD-BAHAN-ALAT'!$I$13</f>
        <v>140000</v>
      </c>
      <c r="G5036" s="248">
        <f>F5036*E5036</f>
        <v>84000</v>
      </c>
    </row>
    <row r="5037" spans="1:8">
      <c r="A5037" s="294"/>
      <c r="B5037" s="355" t="s">
        <v>751</v>
      </c>
      <c r="C5037" s="247" t="s">
        <v>681</v>
      </c>
      <c r="D5037" s="247" t="s">
        <v>675</v>
      </c>
      <c r="E5037" s="372">
        <v>0.06</v>
      </c>
      <c r="F5037" s="360">
        <f>'UPAD-BAHAN-ALAT'!$I$15</f>
        <v>150000</v>
      </c>
      <c r="G5037" s="248">
        <f>F5037*E5037</f>
        <v>9000</v>
      </c>
    </row>
    <row r="5038" spans="1:8">
      <c r="A5038" s="294"/>
      <c r="B5038" s="355" t="s">
        <v>683</v>
      </c>
      <c r="C5038" s="247" t="s">
        <v>684</v>
      </c>
      <c r="D5038" s="247" t="s">
        <v>675</v>
      </c>
      <c r="E5038" s="372">
        <v>0.01</v>
      </c>
      <c r="F5038" s="360">
        <f>'UPAD-BAHAN-ALAT'!$I$14</f>
        <v>140000</v>
      </c>
      <c r="G5038" s="248">
        <f>F5038*E5038</f>
        <v>1400</v>
      </c>
    </row>
    <row r="5039" spans="1:8">
      <c r="A5039" s="294"/>
      <c r="B5039" s="355"/>
      <c r="C5039" s="247"/>
      <c r="D5039" s="247"/>
      <c r="E5039" s="428" t="s">
        <v>685</v>
      </c>
      <c r="F5039" s="390"/>
      <c r="G5039" s="248">
        <f>SUM(G5035:G5038)</f>
        <v>116400</v>
      </c>
    </row>
    <row r="5040" spans="1:8">
      <c r="A5040" s="294" t="s">
        <v>686</v>
      </c>
      <c r="B5040" s="355" t="s">
        <v>687</v>
      </c>
      <c r="C5040" s="247"/>
      <c r="D5040" s="247"/>
      <c r="E5040" s="372"/>
      <c r="F5040" s="360"/>
      <c r="G5040" s="248"/>
    </row>
    <row r="5041" spans="1:8">
      <c r="A5041" s="294"/>
      <c r="B5041" s="355" t="s">
        <v>2659</v>
      </c>
      <c r="C5041" s="247"/>
      <c r="D5041" s="257" t="s">
        <v>2646</v>
      </c>
      <c r="E5041" s="375">
        <v>2.8000000000000001E-2</v>
      </c>
      <c r="F5041" s="360">
        <f>'UPAD-BAHAN-ALAT'!$I$96</f>
        <v>3465000</v>
      </c>
      <c r="G5041" s="248">
        <f>F5041*E5041</f>
        <v>97020</v>
      </c>
    </row>
    <row r="5042" spans="1:8">
      <c r="A5042" s="294"/>
      <c r="B5042" s="355" t="s">
        <v>2644</v>
      </c>
      <c r="C5042" s="247"/>
      <c r="D5042" s="257" t="s">
        <v>773</v>
      </c>
      <c r="E5042" s="372">
        <v>0.15</v>
      </c>
      <c r="F5042" s="624">
        <f>'UPAD-BAHAN-ALAT'!$I$139</f>
        <v>21000</v>
      </c>
      <c r="G5042" s="248">
        <f>F5042*E5042</f>
        <v>3150</v>
      </c>
    </row>
    <row r="5043" spans="1:8">
      <c r="A5043" s="294"/>
      <c r="B5043" s="729" t="s">
        <v>3495</v>
      </c>
      <c r="C5043" s="247"/>
      <c r="D5043" s="257" t="s">
        <v>888</v>
      </c>
      <c r="E5043" s="375">
        <v>0.86</v>
      </c>
      <c r="F5043" s="360">
        <f>'UPAD-BAHAN-ALAT'!$I$102</f>
        <v>93500</v>
      </c>
      <c r="G5043" s="248">
        <f>F5043*E5043</f>
        <v>80410</v>
      </c>
    </row>
    <row r="5044" spans="1:8">
      <c r="A5044" s="247"/>
      <c r="B5044" s="355" t="s">
        <v>1268</v>
      </c>
      <c r="C5044" s="247"/>
      <c r="D5044" s="247" t="s">
        <v>773</v>
      </c>
      <c r="E5044" s="372">
        <v>0.56000000000000005</v>
      </c>
      <c r="F5044" s="360">
        <f>'UPAD-BAHAN-ALAT'!$I$97</f>
        <v>22000</v>
      </c>
      <c r="G5044" s="248">
        <f>F5044*E5044</f>
        <v>12320.000000000002</v>
      </c>
    </row>
    <row r="5045" spans="1:8">
      <c r="A5045" s="247"/>
      <c r="B5045" s="355"/>
      <c r="C5045" s="247"/>
      <c r="D5045" s="247"/>
      <c r="E5045" s="428" t="s">
        <v>702</v>
      </c>
      <c r="F5045" s="390"/>
      <c r="G5045" s="248">
        <f>SUM(G5041:G5044)</f>
        <v>192900</v>
      </c>
    </row>
    <row r="5046" spans="1:8" s="265" customFormat="1">
      <c r="A5046" s="294" t="s">
        <v>703</v>
      </c>
      <c r="B5046" s="357" t="s">
        <v>3910</v>
      </c>
      <c r="C5046" s="610"/>
      <c r="D5046" s="610"/>
      <c r="E5046" s="611"/>
      <c r="F5046" s="612"/>
      <c r="G5046" s="255">
        <f>G5039+G5045</f>
        <v>309300</v>
      </c>
    </row>
    <row r="5047" spans="1:8" s="265" customFormat="1">
      <c r="A5047" s="294" t="s">
        <v>706</v>
      </c>
      <c r="B5047" s="617" t="s">
        <v>876</v>
      </c>
      <c r="C5047" s="618"/>
      <c r="D5047" s="633"/>
      <c r="E5047" s="613" t="s">
        <v>4030</v>
      </c>
      <c r="F5047" s="612"/>
      <c r="G5047" s="255">
        <f>G5046*0.15</f>
        <v>46395</v>
      </c>
    </row>
    <row r="5048" spans="1:8" s="265" customFormat="1">
      <c r="A5048" s="294" t="s">
        <v>708</v>
      </c>
      <c r="B5048" s="357" t="s">
        <v>3911</v>
      </c>
      <c r="C5048" s="610"/>
      <c r="D5048" s="610"/>
      <c r="E5048" s="611"/>
      <c r="F5048" s="612"/>
      <c r="G5048" s="255">
        <f>ROUND(SUM(G5046:G5047),2)</f>
        <v>355695</v>
      </c>
      <c r="H5048" s="255">
        <f>SUM(G5046:G5047)</f>
        <v>355695</v>
      </c>
    </row>
    <row r="5050" spans="1:8">
      <c r="A5050" s="286" t="s">
        <v>4302</v>
      </c>
      <c r="B5050" s="265" t="s">
        <v>3580</v>
      </c>
    </row>
    <row r="5051" spans="1:8" s="292" customFormat="1" ht="24.95" customHeight="1">
      <c r="A5051" s="290" t="s">
        <v>1003</v>
      </c>
      <c r="B5051" s="290" t="s">
        <v>1004</v>
      </c>
      <c r="C5051" s="290" t="s">
        <v>1005</v>
      </c>
      <c r="D5051" s="293" t="s">
        <v>1006</v>
      </c>
      <c r="E5051" s="379" t="s">
        <v>1007</v>
      </c>
      <c r="F5051" s="363" t="s">
        <v>2637</v>
      </c>
      <c r="G5051" s="291" t="s">
        <v>2638</v>
      </c>
    </row>
    <row r="5052" spans="1:8">
      <c r="A5052" s="294" t="s">
        <v>671</v>
      </c>
      <c r="B5052" s="410" t="s">
        <v>672</v>
      </c>
      <c r="C5052" s="247"/>
      <c r="D5052" s="283"/>
      <c r="E5052" s="428"/>
      <c r="F5052" s="360"/>
      <c r="G5052" s="248"/>
    </row>
    <row r="5053" spans="1:8">
      <c r="A5053" s="294"/>
      <c r="B5053" s="410" t="s">
        <v>673</v>
      </c>
      <c r="C5053" s="247" t="s">
        <v>674</v>
      </c>
      <c r="D5053" s="283" t="s">
        <v>675</v>
      </c>
      <c r="E5053" s="428">
        <v>0.6</v>
      </c>
      <c r="F5053" s="360">
        <f>'UPAD-BAHAN-ALAT'!$I$12</f>
        <v>110000</v>
      </c>
      <c r="G5053" s="248">
        <f>F5053*E5053</f>
        <v>66000</v>
      </c>
    </row>
    <row r="5054" spans="1:8">
      <c r="A5054" s="294"/>
      <c r="B5054" s="410" t="s">
        <v>871</v>
      </c>
      <c r="C5054" s="247" t="s">
        <v>678</v>
      </c>
      <c r="D5054" s="283" t="s">
        <v>675</v>
      </c>
      <c r="E5054" s="428">
        <v>1.8</v>
      </c>
      <c r="F5054" s="360">
        <f>'UPAD-BAHAN-ALAT'!$I$13</f>
        <v>140000</v>
      </c>
      <c r="G5054" s="248">
        <f>F5054*E5054</f>
        <v>252000</v>
      </c>
    </row>
    <row r="5055" spans="1:8">
      <c r="A5055" s="294"/>
      <c r="B5055" s="410" t="s">
        <v>751</v>
      </c>
      <c r="C5055" s="247" t="s">
        <v>681</v>
      </c>
      <c r="D5055" s="283" t="s">
        <v>675</v>
      </c>
      <c r="E5055" s="428">
        <v>0.18</v>
      </c>
      <c r="F5055" s="360">
        <f>'UPAD-BAHAN-ALAT'!$I$15</f>
        <v>150000</v>
      </c>
      <c r="G5055" s="248">
        <f>F5055*E5055</f>
        <v>27000</v>
      </c>
    </row>
    <row r="5056" spans="1:8">
      <c r="A5056" s="294"/>
      <c r="B5056" s="410" t="s">
        <v>683</v>
      </c>
      <c r="C5056" s="247" t="s">
        <v>684</v>
      </c>
      <c r="D5056" s="283" t="s">
        <v>675</v>
      </c>
      <c r="E5056" s="428">
        <v>0.03</v>
      </c>
      <c r="F5056" s="360">
        <f>'UPAD-BAHAN-ALAT'!$I$14</f>
        <v>140000</v>
      </c>
      <c r="G5056" s="248">
        <f>F5056*E5056</f>
        <v>4200</v>
      </c>
    </row>
    <row r="5057" spans="1:8">
      <c r="A5057" s="294"/>
      <c r="B5057" s="410"/>
      <c r="C5057" s="247"/>
      <c r="D5057" s="283"/>
      <c r="E5057" s="428" t="s">
        <v>685</v>
      </c>
      <c r="F5057" s="390"/>
      <c r="G5057" s="248">
        <f>SUM(G5053:G5056)</f>
        <v>349200</v>
      </c>
    </row>
    <row r="5058" spans="1:8">
      <c r="A5058" s="294" t="s">
        <v>686</v>
      </c>
      <c r="B5058" s="410" t="s">
        <v>687</v>
      </c>
      <c r="C5058" s="247"/>
      <c r="D5058" s="283"/>
      <c r="E5058" s="428"/>
      <c r="F5058" s="360"/>
      <c r="G5058" s="248"/>
    </row>
    <row r="5059" spans="1:8">
      <c r="A5059" s="294"/>
      <c r="B5059" s="410" t="s">
        <v>1270</v>
      </c>
      <c r="C5059" s="247"/>
      <c r="D5059" s="283" t="s">
        <v>2646</v>
      </c>
      <c r="E5059" s="428">
        <v>7.0000000000000001E-3</v>
      </c>
      <c r="F5059" s="360">
        <f>'UPAD-BAHAN-ALAT'!$I$94</f>
        <v>10500000</v>
      </c>
      <c r="G5059" s="248">
        <f>F5059*E5059</f>
        <v>73500</v>
      </c>
    </row>
    <row r="5060" spans="1:8">
      <c r="A5060" s="247"/>
      <c r="B5060" s="410" t="s">
        <v>1316</v>
      </c>
      <c r="C5060" s="247"/>
      <c r="D5060" s="283" t="s">
        <v>773</v>
      </c>
      <c r="E5060" s="428">
        <v>0.1</v>
      </c>
      <c r="F5060" s="624">
        <f>'UPAD-BAHAN-ALAT'!$I$139</f>
        <v>21000</v>
      </c>
      <c r="G5060" s="248">
        <f>F5060*E5060</f>
        <v>2100</v>
      </c>
    </row>
    <row r="5061" spans="1:8">
      <c r="A5061" s="247"/>
      <c r="B5061" s="410" t="s">
        <v>1326</v>
      </c>
      <c r="C5061" s="247"/>
      <c r="D5061" s="283" t="s">
        <v>773</v>
      </c>
      <c r="E5061" s="428">
        <v>0.15</v>
      </c>
      <c r="F5061" s="360">
        <f>'UPAD-BAHAN-ALAT'!$I$140</f>
        <v>27500</v>
      </c>
      <c r="G5061" s="248">
        <f>F5061*E5061</f>
        <v>4125</v>
      </c>
    </row>
    <row r="5062" spans="1:8">
      <c r="A5062" s="247"/>
      <c r="B5062" s="410"/>
      <c r="C5062" s="247"/>
      <c r="D5062" s="283"/>
      <c r="E5062" s="428" t="s">
        <v>702</v>
      </c>
      <c r="F5062" s="390"/>
      <c r="G5062" s="248">
        <f>SUM(G5059:G5061)</f>
        <v>79725</v>
      </c>
    </row>
    <row r="5063" spans="1:8" s="265" customFormat="1">
      <c r="A5063" s="294" t="s">
        <v>703</v>
      </c>
      <c r="B5063" s="357" t="s">
        <v>3910</v>
      </c>
      <c r="C5063" s="610"/>
      <c r="D5063" s="610"/>
      <c r="E5063" s="611"/>
      <c r="F5063" s="612"/>
      <c r="G5063" s="255">
        <f>G5057+G5062</f>
        <v>428925</v>
      </c>
    </row>
    <row r="5064" spans="1:8" s="265" customFormat="1">
      <c r="A5064" s="294" t="s">
        <v>706</v>
      </c>
      <c r="B5064" s="617" t="s">
        <v>876</v>
      </c>
      <c r="C5064" s="618"/>
      <c r="D5064" s="633"/>
      <c r="E5064" s="613" t="s">
        <v>4030</v>
      </c>
      <c r="F5064" s="612"/>
      <c r="G5064" s="255">
        <f>G5063*0.15</f>
        <v>64338.75</v>
      </c>
    </row>
    <row r="5065" spans="1:8" s="265" customFormat="1">
      <c r="A5065" s="294" t="s">
        <v>708</v>
      </c>
      <c r="B5065" s="357" t="s">
        <v>3911</v>
      </c>
      <c r="C5065" s="610"/>
      <c r="D5065" s="610"/>
      <c r="E5065" s="611"/>
      <c r="F5065" s="612"/>
      <c r="G5065" s="255">
        <f>ROUND(SUM(G5063:G5064),2)</f>
        <v>493263.75</v>
      </c>
      <c r="H5065" s="255">
        <f>SUM(G5063:G5064)</f>
        <v>493263.75</v>
      </c>
    </row>
    <row r="5066" spans="1:8">
      <c r="A5066" s="268"/>
      <c r="B5066" s="269"/>
      <c r="C5066" s="268"/>
      <c r="D5066" s="268"/>
      <c r="E5066" s="380"/>
      <c r="F5066" s="365"/>
      <c r="G5066" s="270"/>
    </row>
    <row r="5067" spans="1:8">
      <c r="A5067" s="285" t="s">
        <v>4303</v>
      </c>
      <c r="B5067" s="250" t="s">
        <v>2764</v>
      </c>
      <c r="C5067" s="252"/>
      <c r="D5067" s="252"/>
      <c r="E5067" s="374"/>
      <c r="F5067" s="361"/>
      <c r="G5067" s="253"/>
    </row>
    <row r="5068" spans="1:8" s="292" customFormat="1" ht="24.95" customHeight="1">
      <c r="A5068" s="290" t="s">
        <v>1003</v>
      </c>
      <c r="B5068" s="293" t="s">
        <v>1004</v>
      </c>
      <c r="C5068" s="293" t="s">
        <v>1005</v>
      </c>
      <c r="D5068" s="293" t="s">
        <v>1006</v>
      </c>
      <c r="E5068" s="373" t="s">
        <v>1007</v>
      </c>
      <c r="F5068" s="389" t="s">
        <v>2637</v>
      </c>
      <c r="G5068" s="291" t="s">
        <v>2638</v>
      </c>
    </row>
    <row r="5069" spans="1:8">
      <c r="A5069" s="294" t="s">
        <v>671</v>
      </c>
      <c r="B5069" s="355" t="s">
        <v>672</v>
      </c>
      <c r="C5069" s="283"/>
      <c r="D5069" s="283"/>
      <c r="E5069" s="372"/>
      <c r="F5069" s="624"/>
      <c r="G5069" s="248"/>
    </row>
    <row r="5070" spans="1:8">
      <c r="A5070" s="294"/>
      <c r="B5070" s="355" t="s">
        <v>673</v>
      </c>
      <c r="C5070" s="247" t="s">
        <v>674</v>
      </c>
      <c r="D5070" s="283" t="s">
        <v>675</v>
      </c>
      <c r="E5070" s="372">
        <v>2.5000000000000001E-2</v>
      </c>
      <c r="F5070" s="360">
        <f>'UPAD-BAHAN-ALAT'!$I$12</f>
        <v>110000</v>
      </c>
      <c r="G5070" s="248">
        <f>F5070*E5070</f>
        <v>2750</v>
      </c>
    </row>
    <row r="5071" spans="1:8">
      <c r="A5071" s="294"/>
      <c r="B5071" s="355" t="s">
        <v>871</v>
      </c>
      <c r="C5071" s="247" t="s">
        <v>678</v>
      </c>
      <c r="D5071" s="283" t="s">
        <v>675</v>
      </c>
      <c r="E5071" s="372">
        <v>7.4999999999999997E-2</v>
      </c>
      <c r="F5071" s="360">
        <f>'UPAD-BAHAN-ALAT'!$I$13</f>
        <v>140000</v>
      </c>
      <c r="G5071" s="248">
        <f>F5071*E5071</f>
        <v>10500</v>
      </c>
    </row>
    <row r="5072" spans="1:8">
      <c r="A5072" s="294"/>
      <c r="B5072" s="355" t="s">
        <v>751</v>
      </c>
      <c r="C5072" s="247" t="s">
        <v>681</v>
      </c>
      <c r="D5072" s="283" t="s">
        <v>675</v>
      </c>
      <c r="E5072" s="372">
        <v>8.0000000000000002E-3</v>
      </c>
      <c r="F5072" s="360">
        <f>'UPAD-BAHAN-ALAT'!$I$15</f>
        <v>150000</v>
      </c>
      <c r="G5072" s="248">
        <f>F5072*E5072</f>
        <v>1200</v>
      </c>
    </row>
    <row r="5073" spans="1:8">
      <c r="A5073" s="294"/>
      <c r="B5073" s="355" t="s">
        <v>683</v>
      </c>
      <c r="C5073" s="247" t="s">
        <v>684</v>
      </c>
      <c r="D5073" s="283" t="s">
        <v>675</v>
      </c>
      <c r="E5073" s="372">
        <v>1E-3</v>
      </c>
      <c r="F5073" s="360">
        <f>'UPAD-BAHAN-ALAT'!$I$14</f>
        <v>140000</v>
      </c>
      <c r="G5073" s="248">
        <f>F5073*E5073</f>
        <v>140</v>
      </c>
    </row>
    <row r="5074" spans="1:8">
      <c r="A5074" s="294"/>
      <c r="B5074" s="355"/>
      <c r="C5074" s="283"/>
      <c r="D5074" s="283"/>
      <c r="E5074" s="428" t="s">
        <v>685</v>
      </c>
      <c r="F5074" s="663"/>
      <c r="G5074" s="248">
        <f>SUM(G5070:G5073)</f>
        <v>14590</v>
      </c>
    </row>
    <row r="5075" spans="1:8">
      <c r="A5075" s="294" t="s">
        <v>686</v>
      </c>
      <c r="B5075" s="355" t="s">
        <v>687</v>
      </c>
      <c r="C5075" s="283"/>
      <c r="D5075" s="283"/>
      <c r="E5075" s="372"/>
      <c r="F5075" s="624"/>
      <c r="G5075" s="248"/>
    </row>
    <row r="5076" spans="1:8">
      <c r="A5076" s="294"/>
      <c r="B5076" s="355" t="s">
        <v>4628</v>
      </c>
      <c r="C5076" s="283"/>
      <c r="D5076" s="283" t="s">
        <v>2646</v>
      </c>
      <c r="E5076" s="372">
        <v>0.4</v>
      </c>
      <c r="F5076" s="624">
        <f>'UPAD-BAHAN-ALAT'!$I$102</f>
        <v>93500</v>
      </c>
      <c r="G5076" s="248">
        <f>F5076*E5076</f>
        <v>37400</v>
      </c>
    </row>
    <row r="5077" spans="1:8">
      <c r="A5077" s="294"/>
      <c r="B5077" s="355" t="s">
        <v>1201</v>
      </c>
      <c r="C5077" s="283"/>
      <c r="D5077" s="283" t="s">
        <v>773</v>
      </c>
      <c r="E5077" s="372">
        <v>0.05</v>
      </c>
      <c r="F5077" s="624">
        <f>'UPAD-BAHAN-ALAT'!$I$139</f>
        <v>21000</v>
      </c>
      <c r="G5077" s="248">
        <f>F5077*E5077</f>
        <v>1050</v>
      </c>
    </row>
    <row r="5078" spans="1:8">
      <c r="A5078" s="294"/>
      <c r="B5078" s="355"/>
      <c r="C5078" s="283"/>
      <c r="D5078" s="283"/>
      <c r="E5078" s="428" t="s">
        <v>702</v>
      </c>
      <c r="F5078" s="663"/>
      <c r="G5078" s="248">
        <f>SUM(G5076:G5077)</f>
        <v>38450</v>
      </c>
    </row>
    <row r="5079" spans="1:8" s="265" customFormat="1">
      <c r="A5079" s="294" t="s">
        <v>703</v>
      </c>
      <c r="B5079" s="357" t="s">
        <v>3910</v>
      </c>
      <c r="C5079" s="610"/>
      <c r="D5079" s="610"/>
      <c r="E5079" s="611"/>
      <c r="F5079" s="616"/>
      <c r="G5079" s="255">
        <f>G5074+G5078</f>
        <v>53040</v>
      </c>
    </row>
    <row r="5080" spans="1:8" s="265" customFormat="1">
      <c r="A5080" s="294" t="s">
        <v>706</v>
      </c>
      <c r="B5080" s="617" t="s">
        <v>876</v>
      </c>
      <c r="C5080" s="618"/>
      <c r="D5080" s="618"/>
      <c r="E5080" s="613" t="s">
        <v>4030</v>
      </c>
      <c r="F5080" s="616"/>
      <c r="G5080" s="255">
        <f>G5079*0.15</f>
        <v>7956</v>
      </c>
    </row>
    <row r="5081" spans="1:8" s="265" customFormat="1">
      <c r="A5081" s="294" t="s">
        <v>708</v>
      </c>
      <c r="B5081" s="357" t="s">
        <v>3911</v>
      </c>
      <c r="C5081" s="610"/>
      <c r="D5081" s="610"/>
      <c r="E5081" s="611"/>
      <c r="F5081" s="616"/>
      <c r="G5081" s="255">
        <f>ROUND(SUM(G5079:G5080),2)</f>
        <v>60996</v>
      </c>
      <c r="H5081" s="255">
        <f>SUM(G5079:G5080)</f>
        <v>60996</v>
      </c>
    </row>
    <row r="5083" spans="1:8">
      <c r="A5083" s="286" t="s">
        <v>4304</v>
      </c>
      <c r="B5083" s="265" t="s">
        <v>4629</v>
      </c>
    </row>
    <row r="5084" spans="1:8" s="292" customFormat="1" ht="24.95" customHeight="1">
      <c r="A5084" s="290" t="s">
        <v>1003</v>
      </c>
      <c r="B5084" s="290" t="s">
        <v>1004</v>
      </c>
      <c r="C5084" s="293" t="s">
        <v>1005</v>
      </c>
      <c r="D5084" s="293" t="s">
        <v>1006</v>
      </c>
      <c r="E5084" s="379" t="s">
        <v>1007</v>
      </c>
      <c r="F5084" s="363" t="s">
        <v>2637</v>
      </c>
      <c r="G5084" s="291" t="s">
        <v>2638</v>
      </c>
    </row>
    <row r="5085" spans="1:8">
      <c r="A5085" s="294" t="s">
        <v>671</v>
      </c>
      <c r="B5085" s="410" t="s">
        <v>672</v>
      </c>
      <c r="C5085" s="283"/>
      <c r="D5085" s="283"/>
      <c r="E5085" s="428"/>
      <c r="F5085" s="360"/>
      <c r="G5085" s="248"/>
    </row>
    <row r="5086" spans="1:8">
      <c r="A5086" s="294"/>
      <c r="B5086" s="355" t="s">
        <v>673</v>
      </c>
      <c r="C5086" s="247" t="s">
        <v>674</v>
      </c>
      <c r="D5086" s="283" t="s">
        <v>675</v>
      </c>
      <c r="E5086" s="428">
        <v>0.1</v>
      </c>
      <c r="F5086" s="360">
        <f>'UPAD-BAHAN-ALAT'!$I$12</f>
        <v>110000</v>
      </c>
      <c r="G5086" s="248">
        <f>F5086*E5086</f>
        <v>11000</v>
      </c>
    </row>
    <row r="5087" spans="1:8">
      <c r="A5087" s="294"/>
      <c r="B5087" s="355" t="s">
        <v>871</v>
      </c>
      <c r="C5087" s="247" t="s">
        <v>678</v>
      </c>
      <c r="D5087" s="283" t="s">
        <v>675</v>
      </c>
      <c r="E5087" s="428">
        <v>0.05</v>
      </c>
      <c r="F5087" s="360">
        <f>'UPAD-BAHAN-ALAT'!$I$13</f>
        <v>140000</v>
      </c>
      <c r="G5087" s="248">
        <f>F5087*E5087</f>
        <v>7000</v>
      </c>
    </row>
    <row r="5088" spans="1:8">
      <c r="A5088" s="294"/>
      <c r="B5088" s="355" t="s">
        <v>751</v>
      </c>
      <c r="C5088" s="247" t="s">
        <v>681</v>
      </c>
      <c r="D5088" s="283" t="s">
        <v>675</v>
      </c>
      <c r="E5088" s="428">
        <v>5.0000000000000001E-3</v>
      </c>
      <c r="F5088" s="360">
        <f>'UPAD-BAHAN-ALAT'!$I$15</f>
        <v>150000</v>
      </c>
      <c r="G5088" s="248">
        <f>F5088*E5088</f>
        <v>750</v>
      </c>
    </row>
    <row r="5089" spans="1:8">
      <c r="A5089" s="294"/>
      <c r="B5089" s="355" t="s">
        <v>683</v>
      </c>
      <c r="C5089" s="247" t="s">
        <v>684</v>
      </c>
      <c r="D5089" s="283" t="s">
        <v>675</v>
      </c>
      <c r="E5089" s="428">
        <v>5.0000000000000001E-3</v>
      </c>
      <c r="F5089" s="360">
        <f>'UPAD-BAHAN-ALAT'!$I$14</f>
        <v>140000</v>
      </c>
      <c r="G5089" s="248">
        <f>F5089*E5089</f>
        <v>700</v>
      </c>
    </row>
    <row r="5090" spans="1:8">
      <c r="A5090" s="294"/>
      <c r="B5090" s="410"/>
      <c r="C5090" s="283"/>
      <c r="D5090" s="283"/>
      <c r="E5090" s="428" t="s">
        <v>685</v>
      </c>
      <c r="F5090" s="390"/>
      <c r="G5090" s="248">
        <f>SUM(G5086:G5089)</f>
        <v>19450</v>
      </c>
    </row>
    <row r="5091" spans="1:8">
      <c r="A5091" s="294" t="s">
        <v>686</v>
      </c>
      <c r="B5091" s="410" t="s">
        <v>687</v>
      </c>
      <c r="C5091" s="283"/>
      <c r="D5091" s="283"/>
      <c r="E5091" s="428"/>
      <c r="F5091" s="360"/>
      <c r="G5091" s="248"/>
    </row>
    <row r="5092" spans="1:8">
      <c r="A5092" s="294"/>
      <c r="B5092" s="410" t="s">
        <v>1329</v>
      </c>
      <c r="C5092" s="283"/>
      <c r="D5092" s="283" t="s">
        <v>2647</v>
      </c>
      <c r="E5092" s="428">
        <v>1.5</v>
      </c>
      <c r="F5092" s="360">
        <f>'UPAD-BAHAN-ALAT'!$I$101</f>
        <v>29750</v>
      </c>
      <c r="G5092" s="248">
        <f>F5092*E5092</f>
        <v>44625</v>
      </c>
    </row>
    <row r="5093" spans="1:8">
      <c r="A5093" s="247"/>
      <c r="B5093" s="410" t="s">
        <v>1330</v>
      </c>
      <c r="C5093" s="283"/>
      <c r="D5093" s="283" t="s">
        <v>2646</v>
      </c>
      <c r="E5093" s="428">
        <v>1.4E-2</v>
      </c>
      <c r="F5093" s="360">
        <f>'UPAD-BAHAN-ALAT'!$I$96</f>
        <v>3465000</v>
      </c>
      <c r="G5093" s="248">
        <f>F5093*E5093</f>
        <v>48510</v>
      </c>
    </row>
    <row r="5094" spans="1:8">
      <c r="A5094" s="247"/>
      <c r="B5094" s="410" t="s">
        <v>1201</v>
      </c>
      <c r="C5094" s="283"/>
      <c r="D5094" s="283" t="s">
        <v>773</v>
      </c>
      <c r="E5094" s="428">
        <v>1.2E-2</v>
      </c>
      <c r="F5094" s="360">
        <f>'UPAD-BAHAN-ALAT'!$I$139</f>
        <v>21000</v>
      </c>
      <c r="G5094" s="248">
        <f>F5094*E5094</f>
        <v>252</v>
      </c>
    </row>
    <row r="5095" spans="1:8">
      <c r="A5095" s="247"/>
      <c r="B5095" s="410" t="s">
        <v>1331</v>
      </c>
      <c r="C5095" s="283"/>
      <c r="D5095" s="283" t="s">
        <v>2646</v>
      </c>
      <c r="E5095" s="428">
        <v>3.0000000000000001E-3</v>
      </c>
      <c r="F5095" s="360">
        <f>'UPAD-BAHAN-ALAT'!$I$96</f>
        <v>3465000</v>
      </c>
      <c r="G5095" s="248">
        <f>F5095*E5095</f>
        <v>10395</v>
      </c>
    </row>
    <row r="5096" spans="1:8">
      <c r="A5096" s="247"/>
      <c r="B5096" s="410"/>
      <c r="C5096" s="283"/>
      <c r="D5096" s="283"/>
      <c r="E5096" s="428" t="s">
        <v>702</v>
      </c>
      <c r="F5096" s="390"/>
      <c r="G5096" s="248">
        <f>SUM(G5092:G5095)</f>
        <v>103782</v>
      </c>
    </row>
    <row r="5097" spans="1:8" s="265" customFormat="1">
      <c r="A5097" s="294" t="s">
        <v>703</v>
      </c>
      <c r="B5097" s="357" t="s">
        <v>3910</v>
      </c>
      <c r="C5097" s="610"/>
      <c r="D5097" s="610"/>
      <c r="E5097" s="611"/>
      <c r="F5097" s="612"/>
      <c r="G5097" s="255">
        <f>G5090+G5096</f>
        <v>123232</v>
      </c>
    </row>
    <row r="5098" spans="1:8" s="265" customFormat="1">
      <c r="A5098" s="294" t="s">
        <v>706</v>
      </c>
      <c r="B5098" s="1148" t="s">
        <v>876</v>
      </c>
      <c r="C5098" s="1148"/>
      <c r="D5098" s="1148"/>
      <c r="E5098" s="1147" t="s">
        <v>4030</v>
      </c>
      <c r="F5098" s="1147"/>
      <c r="G5098" s="255">
        <f>G5097*0.15</f>
        <v>18484.8</v>
      </c>
    </row>
    <row r="5099" spans="1:8" s="265" customFormat="1">
      <c r="A5099" s="294" t="s">
        <v>708</v>
      </c>
      <c r="B5099" s="1149" t="s">
        <v>3911</v>
      </c>
      <c r="C5099" s="1149"/>
      <c r="D5099" s="1149"/>
      <c r="E5099" s="1149"/>
      <c r="F5099" s="1149"/>
      <c r="G5099" s="255">
        <f>ROUND(SUM(G5097:G5098),2)</f>
        <v>141716.79999999999</v>
      </c>
      <c r="H5099" s="255">
        <f>SUM(G5097:G5098)</f>
        <v>141716.79999999999</v>
      </c>
    </row>
    <row r="5101" spans="1:8">
      <c r="A5101" s="286" t="s">
        <v>3981</v>
      </c>
      <c r="B5101" s="265" t="s">
        <v>4507</v>
      </c>
    </row>
    <row r="5102" spans="1:8" s="292" customFormat="1" ht="24.95" customHeight="1">
      <c r="A5102" s="290" t="s">
        <v>1003</v>
      </c>
      <c r="B5102" s="290" t="s">
        <v>1004</v>
      </c>
      <c r="C5102" s="293" t="s">
        <v>1005</v>
      </c>
      <c r="D5102" s="293" t="s">
        <v>1006</v>
      </c>
      <c r="E5102" s="379" t="s">
        <v>1007</v>
      </c>
      <c r="F5102" s="363" t="s">
        <v>2637</v>
      </c>
      <c r="G5102" s="291" t="s">
        <v>2638</v>
      </c>
    </row>
    <row r="5103" spans="1:8">
      <c r="A5103" s="294" t="s">
        <v>671</v>
      </c>
      <c r="B5103" s="410" t="s">
        <v>672</v>
      </c>
      <c r="C5103" s="283"/>
      <c r="D5103" s="283"/>
      <c r="E5103" s="428"/>
      <c r="F5103" s="360"/>
      <c r="G5103" s="248"/>
    </row>
    <row r="5104" spans="1:8">
      <c r="A5104" s="294"/>
      <c r="B5104" s="410" t="s">
        <v>673</v>
      </c>
      <c r="C5104" s="247" t="s">
        <v>674</v>
      </c>
      <c r="D5104" s="283" t="s">
        <v>675</v>
      </c>
      <c r="E5104" s="428">
        <f>1.8/4</f>
        <v>0.45</v>
      </c>
      <c r="F5104" s="360">
        <f>'UPAD-BAHAN-ALAT'!$I$12</f>
        <v>110000</v>
      </c>
      <c r="G5104" s="248">
        <f>F5104*E5104</f>
        <v>49500</v>
      </c>
    </row>
    <row r="5105" spans="1:8">
      <c r="A5105" s="294"/>
      <c r="B5105" s="410" t="s">
        <v>871</v>
      </c>
      <c r="C5105" s="247" t="s">
        <v>678</v>
      </c>
      <c r="D5105" s="283" t="s">
        <v>675</v>
      </c>
      <c r="E5105" s="428">
        <f>0.04/4</f>
        <v>0.01</v>
      </c>
      <c r="F5105" s="360">
        <f>'UPAD-BAHAN-ALAT'!$I$13</f>
        <v>140000</v>
      </c>
      <c r="G5105" s="248">
        <f>F5105*E5105</f>
        <v>1400</v>
      </c>
    </row>
    <row r="5106" spans="1:8">
      <c r="A5106" s="294"/>
      <c r="B5106" s="410" t="s">
        <v>751</v>
      </c>
      <c r="C5106" s="247" t="s">
        <v>681</v>
      </c>
      <c r="D5106" s="283" t="s">
        <v>675</v>
      </c>
      <c r="E5106" s="428">
        <f>0.004/4</f>
        <v>1E-3</v>
      </c>
      <c r="F5106" s="360">
        <f>'UPAD-BAHAN-ALAT'!$I$15</f>
        <v>150000</v>
      </c>
      <c r="G5106" s="248">
        <f>F5106*E5106</f>
        <v>150</v>
      </c>
    </row>
    <row r="5107" spans="1:8">
      <c r="A5107" s="294"/>
      <c r="B5107" s="410" t="s">
        <v>683</v>
      </c>
      <c r="C5107" s="247" t="s">
        <v>684</v>
      </c>
      <c r="D5107" s="283" t="s">
        <v>675</v>
      </c>
      <c r="E5107" s="428">
        <v>1.0800000000000001E-2</v>
      </c>
      <c r="F5107" s="360">
        <f>'UPAD-BAHAN-ALAT'!$I$14</f>
        <v>140000</v>
      </c>
      <c r="G5107" s="248">
        <f>F5107*E5107</f>
        <v>1512</v>
      </c>
    </row>
    <row r="5108" spans="1:8">
      <c r="A5108" s="294"/>
      <c r="B5108" s="410"/>
      <c r="C5108" s="283"/>
      <c r="D5108" s="283"/>
      <c r="E5108" s="738" t="s">
        <v>685</v>
      </c>
      <c r="F5108" s="390"/>
      <c r="G5108" s="248">
        <f>SUM(G5104:G5107)</f>
        <v>52562</v>
      </c>
    </row>
    <row r="5109" spans="1:8">
      <c r="A5109" s="294"/>
      <c r="B5109" s="410"/>
      <c r="C5109" s="283"/>
      <c r="D5109" s="283"/>
      <c r="E5109" s="738" t="s">
        <v>3982</v>
      </c>
      <c r="F5109" s="390"/>
      <c r="G5109" s="248">
        <f>G5108*15%</f>
        <v>7884.2999999999993</v>
      </c>
    </row>
    <row r="5110" spans="1:8">
      <c r="A5110" s="294" t="s">
        <v>686</v>
      </c>
      <c r="B5110" s="410" t="s">
        <v>687</v>
      </c>
      <c r="C5110" s="283"/>
      <c r="D5110" s="283"/>
      <c r="E5110" s="428"/>
      <c r="F5110" s="360"/>
      <c r="G5110" s="248"/>
    </row>
    <row r="5111" spans="1:8">
      <c r="A5111" s="247"/>
      <c r="B5111" s="410" t="s">
        <v>4508</v>
      </c>
      <c r="C5111" s="283"/>
      <c r="D5111" s="283" t="s">
        <v>3228</v>
      </c>
      <c r="E5111" s="428">
        <v>0.27500000000000002</v>
      </c>
      <c r="F5111" s="360">
        <f>'UPAD-BAHAN-ALAT'!$I$91</f>
        <v>21000</v>
      </c>
      <c r="G5111" s="248">
        <f>F5111*E5111</f>
        <v>5775.0000000000009</v>
      </c>
    </row>
    <row r="5112" spans="1:8">
      <c r="A5112" s="247"/>
      <c r="B5112" s="410"/>
      <c r="C5112" s="283"/>
      <c r="D5112" s="283"/>
      <c r="E5112" s="428" t="s">
        <v>702</v>
      </c>
      <c r="F5112" s="390"/>
      <c r="G5112" s="248">
        <f>SUM(G5111:G5111)</f>
        <v>5775.0000000000009</v>
      </c>
    </row>
    <row r="5113" spans="1:8" s="265" customFormat="1">
      <c r="A5113" s="294" t="s">
        <v>703</v>
      </c>
      <c r="B5113" s="357" t="s">
        <v>3910</v>
      </c>
      <c r="C5113" s="610"/>
      <c r="D5113" s="610"/>
      <c r="E5113" s="611"/>
      <c r="F5113" s="612"/>
      <c r="G5113" s="255">
        <f>G5109+G5112</f>
        <v>13659.3</v>
      </c>
    </row>
    <row r="5114" spans="1:8" s="265" customFormat="1">
      <c r="A5114" s="294" t="s">
        <v>706</v>
      </c>
      <c r="B5114" s="1148" t="s">
        <v>876</v>
      </c>
      <c r="C5114" s="1148"/>
      <c r="D5114" s="1148"/>
      <c r="E5114" s="1147" t="s">
        <v>4030</v>
      </c>
      <c r="F5114" s="1147"/>
      <c r="G5114" s="255">
        <f>G5113*0.15</f>
        <v>2048.895</v>
      </c>
    </row>
    <row r="5115" spans="1:8" s="265" customFormat="1">
      <c r="A5115" s="294" t="s">
        <v>708</v>
      </c>
      <c r="B5115" s="1149" t="s">
        <v>3911</v>
      </c>
      <c r="C5115" s="1149"/>
      <c r="D5115" s="1149"/>
      <c r="E5115" s="1149"/>
      <c r="F5115" s="1149"/>
      <c r="G5115" s="255">
        <f>ROUND(SUM(G5113:G5114),2)</f>
        <v>15708.2</v>
      </c>
      <c r="H5115" s="255">
        <f>SUM(G5113:G5114)</f>
        <v>15708.195</v>
      </c>
    </row>
    <row r="5117" spans="1:8">
      <c r="A5117" s="284" t="s">
        <v>4306</v>
      </c>
      <c r="B5117" s="250" t="s">
        <v>2763</v>
      </c>
      <c r="C5117" s="252"/>
      <c r="D5117" s="252"/>
      <c r="E5117" s="374"/>
      <c r="F5117" s="361"/>
      <c r="G5117" s="253"/>
    </row>
    <row r="5118" spans="1:8">
      <c r="A5118" s="285" t="s">
        <v>4305</v>
      </c>
      <c r="B5118" s="250" t="s">
        <v>2762</v>
      </c>
      <c r="C5118" s="252"/>
      <c r="D5118" s="252"/>
      <c r="E5118" s="374"/>
      <c r="F5118" s="361"/>
      <c r="G5118" s="253"/>
    </row>
    <row r="5119" spans="1:8" s="292" customFormat="1" ht="24.95" customHeight="1">
      <c r="A5119" s="290" t="s">
        <v>1003</v>
      </c>
      <c r="B5119" s="293" t="s">
        <v>1004</v>
      </c>
      <c r="C5119" s="290" t="s">
        <v>1005</v>
      </c>
      <c r="D5119" s="293" t="s">
        <v>1006</v>
      </c>
      <c r="E5119" s="379" t="s">
        <v>1007</v>
      </c>
      <c r="F5119" s="389" t="s">
        <v>2637</v>
      </c>
      <c r="G5119" s="623" t="s">
        <v>2638</v>
      </c>
    </row>
    <row r="5120" spans="1:8">
      <c r="A5120" s="294" t="s">
        <v>671</v>
      </c>
      <c r="B5120" s="355" t="s">
        <v>1332</v>
      </c>
      <c r="C5120" s="247"/>
      <c r="D5120" s="283"/>
      <c r="E5120" s="428"/>
      <c r="F5120" s="624"/>
      <c r="G5120" s="625"/>
    </row>
    <row r="5121" spans="1:8">
      <c r="A5121" s="294"/>
      <c r="B5121" s="355" t="s">
        <v>673</v>
      </c>
      <c r="C5121" s="247" t="s">
        <v>674</v>
      </c>
      <c r="D5121" s="283" t="s">
        <v>675</v>
      </c>
      <c r="E5121" s="428">
        <v>0.06</v>
      </c>
      <c r="F5121" s="360">
        <f>'UPAD-BAHAN-ALAT'!$I$12</f>
        <v>110000</v>
      </c>
      <c r="G5121" s="248">
        <f>F5121*E5121</f>
        <v>6600</v>
      </c>
    </row>
    <row r="5122" spans="1:8">
      <c r="A5122" s="294"/>
      <c r="B5122" s="355" t="s">
        <v>871</v>
      </c>
      <c r="C5122" s="247" t="s">
        <v>678</v>
      </c>
      <c r="D5122" s="283" t="s">
        <v>675</v>
      </c>
      <c r="E5122" s="428">
        <v>0.6</v>
      </c>
      <c r="F5122" s="360">
        <f>'UPAD-BAHAN-ALAT'!$I$13</f>
        <v>140000</v>
      </c>
      <c r="G5122" s="248">
        <f>F5122*E5122</f>
        <v>84000</v>
      </c>
    </row>
    <row r="5123" spans="1:8">
      <c r="A5123" s="294"/>
      <c r="B5123" s="355" t="s">
        <v>751</v>
      </c>
      <c r="C5123" s="247" t="s">
        <v>681</v>
      </c>
      <c r="D5123" s="283" t="s">
        <v>675</v>
      </c>
      <c r="E5123" s="428">
        <v>0.06</v>
      </c>
      <c r="F5123" s="360">
        <f>'UPAD-BAHAN-ALAT'!$I$15</f>
        <v>150000</v>
      </c>
      <c r="G5123" s="248">
        <f>F5123*E5123</f>
        <v>9000</v>
      </c>
    </row>
    <row r="5124" spans="1:8">
      <c r="A5124" s="294"/>
      <c r="B5124" s="355" t="s">
        <v>683</v>
      </c>
      <c r="C5124" s="247" t="s">
        <v>684</v>
      </c>
      <c r="D5124" s="283" t="s">
        <v>675</v>
      </c>
      <c r="E5124" s="428">
        <v>3.0000000000000001E-3</v>
      </c>
      <c r="F5124" s="360">
        <f>'UPAD-BAHAN-ALAT'!$I$14</f>
        <v>140000</v>
      </c>
      <c r="G5124" s="248">
        <f>F5124*E5124</f>
        <v>420</v>
      </c>
    </row>
    <row r="5125" spans="1:8">
      <c r="A5125" s="294"/>
      <c r="B5125" s="355"/>
      <c r="C5125" s="247"/>
      <c r="D5125" s="283"/>
      <c r="E5125" s="428" t="s">
        <v>685</v>
      </c>
      <c r="F5125" s="429"/>
      <c r="G5125" s="625">
        <f>SUM(G5121:G5124)</f>
        <v>100020</v>
      </c>
    </row>
    <row r="5126" spans="1:8">
      <c r="A5126" s="294" t="s">
        <v>686</v>
      </c>
      <c r="B5126" s="355" t="s">
        <v>687</v>
      </c>
      <c r="C5126" s="247"/>
      <c r="D5126" s="283"/>
      <c r="E5126" s="428"/>
      <c r="F5126" s="429"/>
      <c r="G5126" s="625"/>
    </row>
    <row r="5127" spans="1:8">
      <c r="A5127" s="294"/>
      <c r="B5127" s="355" t="s">
        <v>1333</v>
      </c>
      <c r="C5127" s="247"/>
      <c r="D5127" s="283" t="s">
        <v>743</v>
      </c>
      <c r="E5127" s="428">
        <v>1</v>
      </c>
      <c r="F5127" s="429">
        <f>'UPAD-BAHAN-ALAT'!$I$493</f>
        <v>180000</v>
      </c>
      <c r="G5127" s="248">
        <f>F5127*E5127</f>
        <v>180000</v>
      </c>
    </row>
    <row r="5128" spans="1:8">
      <c r="A5128" s="247"/>
      <c r="B5128" s="355"/>
      <c r="C5128" s="247"/>
      <c r="D5128" s="283"/>
      <c r="E5128" s="428" t="s">
        <v>702</v>
      </c>
      <c r="F5128" s="429"/>
      <c r="G5128" s="625">
        <f>SUM(G5127)</f>
        <v>180000</v>
      </c>
    </row>
    <row r="5129" spans="1:8" s="265" customFormat="1">
      <c r="A5129" s="294" t="s">
        <v>703</v>
      </c>
      <c r="B5129" s="357" t="s">
        <v>3910</v>
      </c>
      <c r="C5129" s="610"/>
      <c r="D5129" s="610"/>
      <c r="E5129" s="611"/>
      <c r="F5129" s="639"/>
      <c r="G5129" s="693">
        <f>G5125+G5128</f>
        <v>280020</v>
      </c>
    </row>
    <row r="5130" spans="1:8" s="265" customFormat="1">
      <c r="A5130" s="294" t="s">
        <v>706</v>
      </c>
      <c r="B5130" s="617" t="s">
        <v>876</v>
      </c>
      <c r="C5130" s="618"/>
      <c r="D5130" s="618"/>
      <c r="E5130" s="613" t="s">
        <v>4030</v>
      </c>
      <c r="F5130" s="639"/>
      <c r="G5130" s="255">
        <f>G5129*0.15</f>
        <v>42003</v>
      </c>
    </row>
    <row r="5131" spans="1:8" s="265" customFormat="1">
      <c r="A5131" s="294" t="s">
        <v>708</v>
      </c>
      <c r="B5131" s="357" t="s">
        <v>3911</v>
      </c>
      <c r="C5131" s="610"/>
      <c r="D5131" s="610"/>
      <c r="E5131" s="611"/>
      <c r="F5131" s="639"/>
      <c r="G5131" s="255">
        <f>ROUND(SUM(G5129:G5130),2)</f>
        <v>322023</v>
      </c>
      <c r="H5131" s="693">
        <f>SUM(G5129:G5130)</f>
        <v>322023</v>
      </c>
    </row>
    <row r="5133" spans="1:8">
      <c r="A5133" s="286" t="s">
        <v>4307</v>
      </c>
      <c r="B5133" s="265" t="s">
        <v>2761</v>
      </c>
    </row>
    <row r="5134" spans="1:8" s="292" customFormat="1" ht="24.95" customHeight="1">
      <c r="A5134" s="290" t="s">
        <v>1003</v>
      </c>
      <c r="B5134" s="290" t="s">
        <v>1004</v>
      </c>
      <c r="C5134" s="290" t="s">
        <v>1005</v>
      </c>
      <c r="D5134" s="290" t="s">
        <v>1006</v>
      </c>
      <c r="E5134" s="373" t="s">
        <v>1007</v>
      </c>
      <c r="F5134" s="363" t="s">
        <v>2637</v>
      </c>
      <c r="G5134" s="291" t="s">
        <v>2638</v>
      </c>
    </row>
    <row r="5135" spans="1:8">
      <c r="A5135" s="294" t="s">
        <v>671</v>
      </c>
      <c r="B5135" s="410" t="s">
        <v>1332</v>
      </c>
      <c r="C5135" s="247"/>
      <c r="D5135" s="247"/>
      <c r="E5135" s="372"/>
      <c r="F5135" s="360"/>
      <c r="G5135" s="248"/>
    </row>
    <row r="5136" spans="1:8">
      <c r="A5136" s="294"/>
      <c r="B5136" s="410" t="s">
        <v>673</v>
      </c>
      <c r="C5136" s="247" t="s">
        <v>674</v>
      </c>
      <c r="D5136" s="247" t="s">
        <v>675</v>
      </c>
      <c r="E5136" s="372">
        <v>0.01</v>
      </c>
      <c r="F5136" s="360">
        <f>'UPAD-BAHAN-ALAT'!$I$12</f>
        <v>110000</v>
      </c>
      <c r="G5136" s="248">
        <f>F5136*E5136</f>
        <v>1100</v>
      </c>
    </row>
    <row r="5137" spans="1:8">
      <c r="A5137" s="294"/>
      <c r="B5137" s="410" t="s">
        <v>871</v>
      </c>
      <c r="C5137" s="247" t="s">
        <v>678</v>
      </c>
      <c r="D5137" s="247" t="s">
        <v>675</v>
      </c>
      <c r="E5137" s="372">
        <v>0.5</v>
      </c>
      <c r="F5137" s="360">
        <f>'UPAD-BAHAN-ALAT'!$I$13</f>
        <v>140000</v>
      </c>
      <c r="G5137" s="248">
        <f>F5137*E5137</f>
        <v>70000</v>
      </c>
    </row>
    <row r="5138" spans="1:8">
      <c r="A5138" s="294"/>
      <c r="B5138" s="410" t="s">
        <v>751</v>
      </c>
      <c r="C5138" s="247" t="s">
        <v>681</v>
      </c>
      <c r="D5138" s="247" t="s">
        <v>675</v>
      </c>
      <c r="E5138" s="372">
        <v>0.05</v>
      </c>
      <c r="F5138" s="360">
        <f>'UPAD-BAHAN-ALAT'!$I$15</f>
        <v>150000</v>
      </c>
      <c r="G5138" s="248">
        <f>F5138*E5138</f>
        <v>7500</v>
      </c>
    </row>
    <row r="5139" spans="1:8">
      <c r="A5139" s="294"/>
      <c r="B5139" s="410" t="s">
        <v>683</v>
      </c>
      <c r="C5139" s="247" t="s">
        <v>684</v>
      </c>
      <c r="D5139" s="247" t="s">
        <v>675</v>
      </c>
      <c r="E5139" s="372">
        <v>5.0000000000000001E-3</v>
      </c>
      <c r="F5139" s="360">
        <f>'UPAD-BAHAN-ALAT'!$I$14</f>
        <v>140000</v>
      </c>
      <c r="G5139" s="248">
        <f>F5139*E5139</f>
        <v>700</v>
      </c>
    </row>
    <row r="5140" spans="1:8">
      <c r="A5140" s="294"/>
      <c r="B5140" s="410"/>
      <c r="C5140" s="247"/>
      <c r="D5140" s="247"/>
      <c r="E5140" s="1146" t="s">
        <v>685</v>
      </c>
      <c r="F5140" s="1146"/>
      <c r="G5140" s="248">
        <f>SUM(G5136:G5139)</f>
        <v>79300</v>
      </c>
    </row>
    <row r="5141" spans="1:8">
      <c r="A5141" s="294" t="s">
        <v>686</v>
      </c>
      <c r="B5141" s="410" t="s">
        <v>687</v>
      </c>
      <c r="C5141" s="247"/>
      <c r="D5141" s="247"/>
      <c r="E5141" s="372"/>
      <c r="F5141" s="360"/>
      <c r="G5141" s="248"/>
    </row>
    <row r="5142" spans="1:8">
      <c r="A5142" s="294"/>
      <c r="B5142" s="410" t="s">
        <v>1334</v>
      </c>
      <c r="C5142" s="247"/>
      <c r="D5142" s="247" t="s">
        <v>743</v>
      </c>
      <c r="E5142" s="372">
        <v>1</v>
      </c>
      <c r="F5142" s="360">
        <f>'UPAD-BAHAN-ALAT'!$I$492</f>
        <v>65000</v>
      </c>
      <c r="G5142" s="248">
        <f>F5142*E5142</f>
        <v>65000</v>
      </c>
    </row>
    <row r="5143" spans="1:8">
      <c r="A5143" s="247"/>
      <c r="B5143" s="410"/>
      <c r="C5143" s="247"/>
      <c r="D5143" s="247"/>
      <c r="E5143" s="1155" t="s">
        <v>702</v>
      </c>
      <c r="F5143" s="1155"/>
      <c r="G5143" s="248">
        <f>SUM(G5142)</f>
        <v>65000</v>
      </c>
    </row>
    <row r="5144" spans="1:8" s="265" customFormat="1">
      <c r="A5144" s="294" t="s">
        <v>703</v>
      </c>
      <c r="B5144" s="1151" t="s">
        <v>3910</v>
      </c>
      <c r="C5144" s="1151"/>
      <c r="D5144" s="1151"/>
      <c r="E5144" s="1151"/>
      <c r="F5144" s="1151"/>
      <c r="G5144" s="255">
        <f>G5140+G5143</f>
        <v>144300</v>
      </c>
    </row>
    <row r="5145" spans="1:8" s="265" customFormat="1">
      <c r="A5145" s="294" t="s">
        <v>706</v>
      </c>
      <c r="B5145" s="1148" t="s">
        <v>876</v>
      </c>
      <c r="C5145" s="1148"/>
      <c r="D5145" s="1148"/>
      <c r="E5145" s="1147" t="s">
        <v>4030</v>
      </c>
      <c r="F5145" s="1147"/>
      <c r="G5145" s="255">
        <f>G5144*0.15</f>
        <v>21645</v>
      </c>
    </row>
    <row r="5146" spans="1:8" s="265" customFormat="1">
      <c r="A5146" s="294" t="s">
        <v>708</v>
      </c>
      <c r="B5146" s="1149" t="s">
        <v>3911</v>
      </c>
      <c r="C5146" s="1149"/>
      <c r="D5146" s="1149"/>
      <c r="E5146" s="1149"/>
      <c r="F5146" s="1149"/>
      <c r="G5146" s="255">
        <f>ROUND(SUM(G5144:G5145),2)</f>
        <v>165945</v>
      </c>
      <c r="H5146" s="255">
        <f>SUM(G5144:G5145)</f>
        <v>165945</v>
      </c>
    </row>
    <row r="5147" spans="1:8">
      <c r="A5147" s="268"/>
      <c r="B5147" s="269"/>
      <c r="C5147" s="268"/>
      <c r="D5147" s="268"/>
      <c r="E5147" s="380"/>
      <c r="F5147" s="365"/>
      <c r="G5147" s="270"/>
      <c r="H5147" s="275"/>
    </row>
    <row r="5148" spans="1:8">
      <c r="A5148" s="285" t="s">
        <v>4308</v>
      </c>
      <c r="B5148" s="250" t="s">
        <v>2760</v>
      </c>
      <c r="C5148" s="252"/>
      <c r="D5148" s="252"/>
      <c r="E5148" s="374"/>
      <c r="F5148" s="361"/>
      <c r="G5148" s="253"/>
      <c r="H5148" s="275"/>
    </row>
    <row r="5149" spans="1:8" s="292" customFormat="1" ht="24.95" customHeight="1">
      <c r="A5149" s="290" t="s">
        <v>1003</v>
      </c>
      <c r="B5149" s="290" t="s">
        <v>1004</v>
      </c>
      <c r="C5149" s="290" t="s">
        <v>1005</v>
      </c>
      <c r="D5149" s="290" t="s">
        <v>1006</v>
      </c>
      <c r="E5149" s="373" t="s">
        <v>1007</v>
      </c>
      <c r="F5149" s="363" t="s">
        <v>2637</v>
      </c>
      <c r="G5149" s="291" t="s">
        <v>2638</v>
      </c>
    </row>
    <row r="5150" spans="1:8">
      <c r="A5150" s="294" t="s">
        <v>671</v>
      </c>
      <c r="B5150" s="410" t="s">
        <v>1332</v>
      </c>
      <c r="C5150" s="247"/>
      <c r="D5150" s="247"/>
      <c r="E5150" s="372"/>
      <c r="F5150" s="360"/>
      <c r="G5150" s="248"/>
    </row>
    <row r="5151" spans="1:8">
      <c r="A5151" s="294"/>
      <c r="B5151" s="410" t="s">
        <v>673</v>
      </c>
      <c r="C5151" s="247" t="s">
        <v>674</v>
      </c>
      <c r="D5151" s="247" t="s">
        <v>675</v>
      </c>
      <c r="E5151" s="372">
        <v>5.0000000000000001E-3</v>
      </c>
      <c r="F5151" s="360">
        <f>'UPAD-BAHAN-ALAT'!$I$12</f>
        <v>110000</v>
      </c>
      <c r="G5151" s="248">
        <f>F5151*E5151</f>
        <v>550</v>
      </c>
    </row>
    <row r="5152" spans="1:8">
      <c r="A5152" s="294"/>
      <c r="B5152" s="410" t="s">
        <v>871</v>
      </c>
      <c r="C5152" s="247" t="s">
        <v>678</v>
      </c>
      <c r="D5152" s="247" t="s">
        <v>675</v>
      </c>
      <c r="E5152" s="372">
        <v>0.5</v>
      </c>
      <c r="F5152" s="360">
        <f>'UPAD-BAHAN-ALAT'!$I$13</f>
        <v>140000</v>
      </c>
      <c r="G5152" s="248">
        <f>F5152*E5152</f>
        <v>70000</v>
      </c>
    </row>
    <row r="5153" spans="1:8">
      <c r="A5153" s="294"/>
      <c r="B5153" s="410" t="s">
        <v>751</v>
      </c>
      <c r="C5153" s="247" t="s">
        <v>681</v>
      </c>
      <c r="D5153" s="247" t="s">
        <v>675</v>
      </c>
      <c r="E5153" s="372">
        <v>0.05</v>
      </c>
      <c r="F5153" s="360">
        <f>'UPAD-BAHAN-ALAT'!$I$15</f>
        <v>150000</v>
      </c>
      <c r="G5153" s="248">
        <f>F5153*E5153</f>
        <v>7500</v>
      </c>
    </row>
    <row r="5154" spans="1:8">
      <c r="A5154" s="294"/>
      <c r="B5154" s="410" t="s">
        <v>683</v>
      </c>
      <c r="C5154" s="247" t="s">
        <v>684</v>
      </c>
      <c r="D5154" s="247" t="s">
        <v>675</v>
      </c>
      <c r="E5154" s="372">
        <v>3.0000000000000001E-3</v>
      </c>
      <c r="F5154" s="360">
        <f>'UPAD-BAHAN-ALAT'!$I$14</f>
        <v>140000</v>
      </c>
      <c r="G5154" s="248">
        <f>F5154*E5154</f>
        <v>420</v>
      </c>
    </row>
    <row r="5155" spans="1:8">
      <c r="A5155" s="294"/>
      <c r="B5155" s="410"/>
      <c r="C5155" s="247"/>
      <c r="D5155" s="247"/>
      <c r="E5155" s="1146" t="s">
        <v>685</v>
      </c>
      <c r="F5155" s="1146"/>
      <c r="G5155" s="248">
        <f>SUM(G5151:G5154)</f>
        <v>78470</v>
      </c>
    </row>
    <row r="5156" spans="1:8">
      <c r="A5156" s="294" t="s">
        <v>686</v>
      </c>
      <c r="B5156" s="410" t="s">
        <v>687</v>
      </c>
      <c r="C5156" s="247"/>
      <c r="D5156" s="247"/>
      <c r="E5156" s="372"/>
      <c r="F5156" s="360"/>
      <c r="G5156" s="248"/>
    </row>
    <row r="5157" spans="1:8">
      <c r="A5157" s="294"/>
      <c r="B5157" s="410" t="s">
        <v>1335</v>
      </c>
      <c r="C5157" s="247"/>
      <c r="D5157" s="247" t="s">
        <v>743</v>
      </c>
      <c r="E5157" s="372">
        <v>1</v>
      </c>
      <c r="F5157" s="360">
        <f>'UPAD-BAHAN-ALAT'!$I$498</f>
        <v>60000</v>
      </c>
      <c r="G5157" s="248">
        <f>F5157*E5157</f>
        <v>60000</v>
      </c>
    </row>
    <row r="5158" spans="1:8">
      <c r="A5158" s="247"/>
      <c r="B5158" s="295"/>
      <c r="C5158" s="296"/>
      <c r="D5158" s="296"/>
      <c r="E5158" s="1146" t="s">
        <v>702</v>
      </c>
      <c r="F5158" s="1146"/>
      <c r="G5158" s="248">
        <f>SUM(G5157)</f>
        <v>60000</v>
      </c>
    </row>
    <row r="5159" spans="1:8" s="265" customFormat="1">
      <c r="A5159" s="294" t="s">
        <v>703</v>
      </c>
      <c r="B5159" s="1147" t="s">
        <v>3910</v>
      </c>
      <c r="C5159" s="1147"/>
      <c r="D5159" s="1147"/>
      <c r="E5159" s="1147"/>
      <c r="F5159" s="1147"/>
      <c r="G5159" s="255">
        <f>G5155+G5158</f>
        <v>138470</v>
      </c>
    </row>
    <row r="5160" spans="1:8" s="265" customFormat="1">
      <c r="A5160" s="294" t="s">
        <v>706</v>
      </c>
      <c r="B5160" s="1148" t="s">
        <v>876</v>
      </c>
      <c r="C5160" s="1148"/>
      <c r="D5160" s="1148"/>
      <c r="E5160" s="1147" t="s">
        <v>4030</v>
      </c>
      <c r="F5160" s="1147"/>
      <c r="G5160" s="255">
        <f>G5159*0.15</f>
        <v>20770.5</v>
      </c>
    </row>
    <row r="5161" spans="1:8" s="265" customFormat="1">
      <c r="A5161" s="294" t="s">
        <v>708</v>
      </c>
      <c r="B5161" s="1149" t="s">
        <v>3911</v>
      </c>
      <c r="C5161" s="1149"/>
      <c r="D5161" s="1149"/>
      <c r="E5161" s="1149"/>
      <c r="F5161" s="1149"/>
      <c r="G5161" s="255">
        <f>ROUND(SUM(G5159:G5160),2)</f>
        <v>159240.5</v>
      </c>
      <c r="H5161" s="255">
        <f>SUM(G5159:G5160)</f>
        <v>159240.5</v>
      </c>
    </row>
    <row r="5163" spans="1:8">
      <c r="A5163" s="286" t="s">
        <v>4309</v>
      </c>
      <c r="B5163" s="265" t="s">
        <v>2759</v>
      </c>
    </row>
    <row r="5164" spans="1:8" s="743" customFormat="1" ht="24.95" customHeight="1">
      <c r="A5164" s="739" t="s">
        <v>1003</v>
      </c>
      <c r="B5164" s="739" t="s">
        <v>1004</v>
      </c>
      <c r="C5164" s="739" t="s">
        <v>1005</v>
      </c>
      <c r="D5164" s="739" t="s">
        <v>1006</v>
      </c>
      <c r="E5164" s="740" t="s">
        <v>1007</v>
      </c>
      <c r="F5164" s="741" t="s">
        <v>2637</v>
      </c>
      <c r="G5164" s="742" t="s">
        <v>2638</v>
      </c>
    </row>
    <row r="5165" spans="1:8">
      <c r="A5165" s="247" t="s">
        <v>671</v>
      </c>
      <c r="B5165" s="410" t="s">
        <v>1332</v>
      </c>
      <c r="C5165" s="247"/>
      <c r="D5165" s="247"/>
      <c r="E5165" s="372"/>
      <c r="F5165" s="360"/>
      <c r="G5165" s="248"/>
    </row>
    <row r="5166" spans="1:8">
      <c r="A5166" s="247"/>
      <c r="B5166" s="410" t="s">
        <v>673</v>
      </c>
      <c r="C5166" s="247" t="s">
        <v>674</v>
      </c>
      <c r="D5166" s="247" t="s">
        <v>675</v>
      </c>
      <c r="E5166" s="372">
        <v>5.0000000000000001E-3</v>
      </c>
      <c r="F5166" s="360">
        <f>'UPAD-BAHAN-ALAT'!$I$12</f>
        <v>110000</v>
      </c>
      <c r="G5166" s="248">
        <f>F5166*E5166</f>
        <v>550</v>
      </c>
    </row>
    <row r="5167" spans="1:8">
      <c r="A5167" s="247"/>
      <c r="B5167" s="410" t="s">
        <v>871</v>
      </c>
      <c r="C5167" s="247" t="s">
        <v>678</v>
      </c>
      <c r="D5167" s="247" t="s">
        <v>675</v>
      </c>
      <c r="E5167" s="372">
        <v>0.5</v>
      </c>
      <c r="F5167" s="360">
        <f>'UPAD-BAHAN-ALAT'!$I$13</f>
        <v>140000</v>
      </c>
      <c r="G5167" s="248">
        <f>F5167*E5167</f>
        <v>70000</v>
      </c>
    </row>
    <row r="5168" spans="1:8">
      <c r="A5168" s="247"/>
      <c r="B5168" s="410" t="s">
        <v>751</v>
      </c>
      <c r="C5168" s="247" t="s">
        <v>681</v>
      </c>
      <c r="D5168" s="247" t="s">
        <v>675</v>
      </c>
      <c r="E5168" s="372">
        <v>0.05</v>
      </c>
      <c r="F5168" s="360">
        <f>'UPAD-BAHAN-ALAT'!$I$15</f>
        <v>150000</v>
      </c>
      <c r="G5168" s="248">
        <f>F5168*E5168</f>
        <v>7500</v>
      </c>
    </row>
    <row r="5169" spans="1:8">
      <c r="A5169" s="247"/>
      <c r="B5169" s="410" t="s">
        <v>683</v>
      </c>
      <c r="C5169" s="247" t="s">
        <v>684</v>
      </c>
      <c r="D5169" s="247" t="s">
        <v>675</v>
      </c>
      <c r="E5169" s="372">
        <v>3.0000000000000001E-3</v>
      </c>
      <c r="F5169" s="360">
        <f>'UPAD-BAHAN-ALAT'!$I$14</f>
        <v>140000</v>
      </c>
      <c r="G5169" s="248">
        <f>F5169*E5169</f>
        <v>420</v>
      </c>
    </row>
    <row r="5170" spans="1:8">
      <c r="A5170" s="247"/>
      <c r="B5170" s="410"/>
      <c r="C5170" s="247"/>
      <c r="D5170" s="247"/>
      <c r="E5170" s="1146" t="s">
        <v>685</v>
      </c>
      <c r="F5170" s="1146"/>
      <c r="G5170" s="248">
        <f>SUM(G5166:G5169)</f>
        <v>78470</v>
      </c>
    </row>
    <row r="5171" spans="1:8">
      <c r="A5171" s="247" t="s">
        <v>686</v>
      </c>
      <c r="B5171" s="410" t="s">
        <v>687</v>
      </c>
      <c r="C5171" s="247"/>
      <c r="D5171" s="247"/>
      <c r="E5171" s="372"/>
      <c r="F5171" s="360"/>
      <c r="G5171" s="248"/>
    </row>
    <row r="5172" spans="1:8">
      <c r="A5172" s="247"/>
      <c r="B5172" s="410" t="s">
        <v>1336</v>
      </c>
      <c r="C5172" s="247"/>
      <c r="D5172" s="247" t="s">
        <v>743</v>
      </c>
      <c r="E5172" s="372">
        <v>1</v>
      </c>
      <c r="F5172" s="360">
        <f>'UPAD-BAHAN-ALAT'!$I$495</f>
        <v>35000</v>
      </c>
      <c r="G5172" s="248">
        <f>F5172*E5172</f>
        <v>35000</v>
      </c>
    </row>
    <row r="5173" spans="1:8">
      <c r="A5173" s="247"/>
      <c r="B5173" s="295"/>
      <c r="C5173" s="296"/>
      <c r="D5173" s="296"/>
      <c r="E5173" s="1146" t="s">
        <v>702</v>
      </c>
      <c r="F5173" s="1146"/>
      <c r="G5173" s="248">
        <f>SUM(G5172)</f>
        <v>35000</v>
      </c>
    </row>
    <row r="5174" spans="1:8" s="265" customFormat="1">
      <c r="A5174" s="294" t="s">
        <v>703</v>
      </c>
      <c r="B5174" s="1147" t="s">
        <v>3910</v>
      </c>
      <c r="C5174" s="1147"/>
      <c r="D5174" s="1147"/>
      <c r="E5174" s="1147"/>
      <c r="F5174" s="1147"/>
      <c r="G5174" s="255">
        <f>G5170+G5173</f>
        <v>113470</v>
      </c>
    </row>
    <row r="5175" spans="1:8" s="265" customFormat="1">
      <c r="A5175" s="294" t="s">
        <v>706</v>
      </c>
      <c r="B5175" s="1148" t="s">
        <v>876</v>
      </c>
      <c r="C5175" s="1148"/>
      <c r="D5175" s="1148"/>
      <c r="E5175" s="1147" t="s">
        <v>4030</v>
      </c>
      <c r="F5175" s="1147"/>
      <c r="G5175" s="255">
        <f>G5174*0.15</f>
        <v>17020.5</v>
      </c>
    </row>
    <row r="5176" spans="1:8" s="265" customFormat="1">
      <c r="A5176" s="294" t="s">
        <v>708</v>
      </c>
      <c r="B5176" s="1149" t="s">
        <v>3911</v>
      </c>
      <c r="C5176" s="1149"/>
      <c r="D5176" s="1149"/>
      <c r="E5176" s="1149"/>
      <c r="F5176" s="1149"/>
      <c r="G5176" s="255">
        <f>ROUND(SUM(G5174:G5175),2)</f>
        <v>130490.5</v>
      </c>
      <c r="H5176" s="255">
        <f>SUM(G5174:G5175)</f>
        <v>130490.5</v>
      </c>
    </row>
    <row r="5177" spans="1:8">
      <c r="A5177" s="268"/>
      <c r="B5177" s="269"/>
      <c r="C5177" s="268"/>
      <c r="D5177" s="268"/>
      <c r="E5177" s="380"/>
      <c r="F5177" s="365"/>
      <c r="G5177" s="270"/>
      <c r="H5177" s="275"/>
    </row>
    <row r="5178" spans="1:8">
      <c r="A5178" s="285" t="s">
        <v>4310</v>
      </c>
      <c r="B5178" s="250" t="s">
        <v>2758</v>
      </c>
      <c r="C5178" s="252"/>
      <c r="D5178" s="252"/>
      <c r="E5178" s="374"/>
      <c r="F5178" s="361"/>
      <c r="G5178" s="253"/>
      <c r="H5178" s="275"/>
    </row>
    <row r="5179" spans="1:8" s="292" customFormat="1" ht="24.95" customHeight="1">
      <c r="A5179" s="290" t="s">
        <v>1003</v>
      </c>
      <c r="B5179" s="290" t="s">
        <v>1004</v>
      </c>
      <c r="C5179" s="290" t="s">
        <v>1005</v>
      </c>
      <c r="D5179" s="290" t="s">
        <v>1006</v>
      </c>
      <c r="E5179" s="373" t="s">
        <v>1007</v>
      </c>
      <c r="F5179" s="363" t="s">
        <v>2637</v>
      </c>
      <c r="G5179" s="291" t="s">
        <v>2638</v>
      </c>
    </row>
    <row r="5180" spans="1:8">
      <c r="A5180" s="294" t="s">
        <v>671</v>
      </c>
      <c r="B5180" s="410" t="s">
        <v>672</v>
      </c>
      <c r="C5180" s="247"/>
      <c r="D5180" s="247"/>
      <c r="E5180" s="372"/>
      <c r="F5180" s="360"/>
      <c r="G5180" s="248"/>
    </row>
    <row r="5181" spans="1:8">
      <c r="A5181" s="294"/>
      <c r="B5181" s="410" t="s">
        <v>673</v>
      </c>
      <c r="C5181" s="247" t="s">
        <v>674</v>
      </c>
      <c r="D5181" s="247" t="s">
        <v>675</v>
      </c>
      <c r="E5181" s="372">
        <v>1.4999999999999999E-2</v>
      </c>
      <c r="F5181" s="360">
        <f>'UPAD-BAHAN-ALAT'!$I$12</f>
        <v>110000</v>
      </c>
      <c r="G5181" s="248">
        <f>F5181*E5181</f>
        <v>1650</v>
      </c>
    </row>
    <row r="5182" spans="1:8">
      <c r="A5182" s="294"/>
      <c r="B5182" s="410" t="s">
        <v>871</v>
      </c>
      <c r="C5182" s="247" t="s">
        <v>678</v>
      </c>
      <c r="D5182" s="247" t="s">
        <v>675</v>
      </c>
      <c r="E5182" s="372">
        <v>0.15</v>
      </c>
      <c r="F5182" s="360">
        <f>'UPAD-BAHAN-ALAT'!$I$13</f>
        <v>140000</v>
      </c>
      <c r="G5182" s="248">
        <f>F5182*E5182</f>
        <v>21000</v>
      </c>
    </row>
    <row r="5183" spans="1:8">
      <c r="A5183" s="294"/>
      <c r="B5183" s="410" t="s">
        <v>751</v>
      </c>
      <c r="C5183" s="247" t="s">
        <v>681</v>
      </c>
      <c r="D5183" s="247" t="s">
        <v>675</v>
      </c>
      <c r="E5183" s="372">
        <v>1.4999999999999999E-2</v>
      </c>
      <c r="F5183" s="360">
        <f>'UPAD-BAHAN-ALAT'!$I$15</f>
        <v>150000</v>
      </c>
      <c r="G5183" s="248">
        <f>F5183*E5183</f>
        <v>2250</v>
      </c>
    </row>
    <row r="5184" spans="1:8">
      <c r="A5184" s="294"/>
      <c r="B5184" s="410" t="s">
        <v>683</v>
      </c>
      <c r="C5184" s="247" t="s">
        <v>684</v>
      </c>
      <c r="D5184" s="247" t="s">
        <v>675</v>
      </c>
      <c r="E5184" s="372">
        <v>8.0000000000000004E-4</v>
      </c>
      <c r="F5184" s="360">
        <f>'UPAD-BAHAN-ALAT'!$I$14</f>
        <v>140000</v>
      </c>
      <c r="G5184" s="248">
        <f>F5184*E5184</f>
        <v>112</v>
      </c>
    </row>
    <row r="5185" spans="1:8">
      <c r="A5185" s="294"/>
      <c r="B5185" s="410"/>
      <c r="C5185" s="247"/>
      <c r="D5185" s="247"/>
      <c r="E5185" s="1146" t="s">
        <v>685</v>
      </c>
      <c r="F5185" s="1146"/>
      <c r="G5185" s="248">
        <f>SUM(G5181:G5184)</f>
        <v>25012</v>
      </c>
    </row>
    <row r="5186" spans="1:8">
      <c r="A5186" s="294" t="s">
        <v>686</v>
      </c>
      <c r="B5186" s="410" t="s">
        <v>687</v>
      </c>
      <c r="C5186" s="247"/>
      <c r="D5186" s="247"/>
      <c r="E5186" s="372"/>
      <c r="F5186" s="360"/>
      <c r="G5186" s="248"/>
    </row>
    <row r="5187" spans="1:8">
      <c r="A5187" s="294"/>
      <c r="B5187" s="410" t="s">
        <v>1338</v>
      </c>
      <c r="C5187" s="247"/>
      <c r="D5187" s="247" t="s">
        <v>743</v>
      </c>
      <c r="E5187" s="372">
        <v>1</v>
      </c>
      <c r="F5187" s="360">
        <f>'UPAD-BAHAN-ALAT'!$I$484</f>
        <v>10000</v>
      </c>
      <c r="G5187" s="248">
        <f>F5187*E5187</f>
        <v>10000</v>
      </c>
    </row>
    <row r="5188" spans="1:8">
      <c r="A5188" s="247"/>
      <c r="B5188" s="295"/>
      <c r="C5188" s="296"/>
      <c r="D5188" s="296"/>
      <c r="E5188" s="1146" t="s">
        <v>702</v>
      </c>
      <c r="F5188" s="1146"/>
      <c r="G5188" s="248">
        <f>SUM(G5187)</f>
        <v>10000</v>
      </c>
    </row>
    <row r="5189" spans="1:8" s="265" customFormat="1">
      <c r="A5189" s="294" t="s">
        <v>703</v>
      </c>
      <c r="B5189" s="1147" t="s">
        <v>3910</v>
      </c>
      <c r="C5189" s="1147"/>
      <c r="D5189" s="1147"/>
      <c r="E5189" s="1147"/>
      <c r="F5189" s="1147"/>
      <c r="G5189" s="255">
        <f>G5185+G5188</f>
        <v>35012</v>
      </c>
    </row>
    <row r="5190" spans="1:8" s="265" customFormat="1">
      <c r="A5190" s="294" t="s">
        <v>706</v>
      </c>
      <c r="B5190" s="1148" t="s">
        <v>876</v>
      </c>
      <c r="C5190" s="1148"/>
      <c r="D5190" s="1148"/>
      <c r="E5190" s="1147" t="s">
        <v>4030</v>
      </c>
      <c r="F5190" s="1147"/>
      <c r="G5190" s="255">
        <f>G5189*0.15</f>
        <v>5251.8</v>
      </c>
    </row>
    <row r="5191" spans="1:8" s="265" customFormat="1">
      <c r="A5191" s="294" t="s">
        <v>708</v>
      </c>
      <c r="B5191" s="1149" t="s">
        <v>3911</v>
      </c>
      <c r="C5191" s="1149"/>
      <c r="D5191" s="1149"/>
      <c r="E5191" s="1149"/>
      <c r="F5191" s="1149"/>
      <c r="G5191" s="255">
        <f>ROUND(SUM(G5189:G5190),2)</f>
        <v>40263.800000000003</v>
      </c>
      <c r="H5191" s="255">
        <f>SUM(G5189:G5190)</f>
        <v>40263.800000000003</v>
      </c>
    </row>
    <row r="5193" spans="1:8">
      <c r="A5193" s="286" t="s">
        <v>4311</v>
      </c>
      <c r="B5193" s="265" t="s">
        <v>2757</v>
      </c>
    </row>
    <row r="5194" spans="1:8" s="292" customFormat="1" ht="24.95" customHeight="1">
      <c r="A5194" s="290" t="s">
        <v>1003</v>
      </c>
      <c r="B5194" s="290" t="s">
        <v>1004</v>
      </c>
      <c r="C5194" s="290" t="s">
        <v>1005</v>
      </c>
      <c r="D5194" s="290" t="s">
        <v>1006</v>
      </c>
      <c r="E5194" s="373" t="s">
        <v>1007</v>
      </c>
      <c r="F5194" s="363" t="s">
        <v>2637</v>
      </c>
      <c r="G5194" s="291" t="s">
        <v>2638</v>
      </c>
    </row>
    <row r="5195" spans="1:8">
      <c r="A5195" s="294" t="s">
        <v>671</v>
      </c>
      <c r="B5195" s="410" t="s">
        <v>672</v>
      </c>
      <c r="C5195" s="247"/>
      <c r="D5195" s="247"/>
      <c r="E5195" s="372"/>
      <c r="F5195" s="360"/>
      <c r="G5195" s="248"/>
    </row>
    <row r="5196" spans="1:8">
      <c r="A5196" s="294"/>
      <c r="B5196" s="410" t="s">
        <v>673</v>
      </c>
      <c r="C5196" s="247" t="s">
        <v>674</v>
      </c>
      <c r="D5196" s="247" t="s">
        <v>675</v>
      </c>
      <c r="E5196" s="372">
        <v>0.01</v>
      </c>
      <c r="F5196" s="360">
        <f>'UPAD-BAHAN-ALAT'!$I$12</f>
        <v>110000</v>
      </c>
      <c r="G5196" s="248">
        <f>F5196*E5196</f>
        <v>1100</v>
      </c>
    </row>
    <row r="5197" spans="1:8">
      <c r="A5197" s="294"/>
      <c r="B5197" s="410" t="s">
        <v>871</v>
      </c>
      <c r="C5197" s="247" t="s">
        <v>678</v>
      </c>
      <c r="D5197" s="247" t="s">
        <v>675</v>
      </c>
      <c r="E5197" s="372">
        <v>0.1</v>
      </c>
      <c r="F5197" s="360">
        <f>'UPAD-BAHAN-ALAT'!$I$13</f>
        <v>140000</v>
      </c>
      <c r="G5197" s="248">
        <f>F5197*E5197</f>
        <v>14000</v>
      </c>
    </row>
    <row r="5198" spans="1:8">
      <c r="A5198" s="294"/>
      <c r="B5198" s="410" t="s">
        <v>751</v>
      </c>
      <c r="C5198" s="247" t="s">
        <v>681</v>
      </c>
      <c r="D5198" s="247" t="s">
        <v>675</v>
      </c>
      <c r="E5198" s="372">
        <v>0.01</v>
      </c>
      <c r="F5198" s="360">
        <f>'UPAD-BAHAN-ALAT'!$I$15</f>
        <v>150000</v>
      </c>
      <c r="G5198" s="248">
        <f>F5198*E5198</f>
        <v>1500</v>
      </c>
    </row>
    <row r="5199" spans="1:8">
      <c r="A5199" s="294"/>
      <c r="B5199" s="410" t="s">
        <v>683</v>
      </c>
      <c r="C5199" s="247" t="s">
        <v>684</v>
      </c>
      <c r="D5199" s="247" t="s">
        <v>675</v>
      </c>
      <c r="E5199" s="372">
        <v>5.0000000000000001E-4</v>
      </c>
      <c r="F5199" s="360">
        <f>'UPAD-BAHAN-ALAT'!$I$14</f>
        <v>140000</v>
      </c>
      <c r="G5199" s="248">
        <f>F5199*E5199</f>
        <v>70</v>
      </c>
    </row>
    <row r="5200" spans="1:8">
      <c r="A5200" s="294"/>
      <c r="B5200" s="410"/>
      <c r="C5200" s="247"/>
      <c r="D5200" s="247"/>
      <c r="E5200" s="1146" t="s">
        <v>685</v>
      </c>
      <c r="F5200" s="1146"/>
      <c r="G5200" s="248">
        <f>SUM(G5196:G5199)</f>
        <v>16670</v>
      </c>
    </row>
    <row r="5201" spans="1:8">
      <c r="A5201" s="294" t="s">
        <v>686</v>
      </c>
      <c r="B5201" s="410" t="s">
        <v>687</v>
      </c>
      <c r="C5201" s="247"/>
      <c r="D5201" s="247"/>
      <c r="E5201" s="372"/>
      <c r="F5201" s="360"/>
      <c r="G5201" s="248"/>
    </row>
    <row r="5202" spans="1:8">
      <c r="A5202" s="294"/>
      <c r="B5202" s="410" t="s">
        <v>1340</v>
      </c>
      <c r="C5202" s="247"/>
      <c r="D5202" s="247" t="s">
        <v>743</v>
      </c>
      <c r="E5202" s="372">
        <v>1</v>
      </c>
      <c r="F5202" s="360">
        <f>'UPAD-BAHAN-ALAT'!$I$485</f>
        <v>8000</v>
      </c>
      <c r="G5202" s="248">
        <f>F5202*E5202</f>
        <v>8000</v>
      </c>
    </row>
    <row r="5203" spans="1:8">
      <c r="A5203" s="247"/>
      <c r="B5203" s="295"/>
      <c r="C5203" s="296"/>
      <c r="D5203" s="296"/>
      <c r="E5203" s="1146" t="s">
        <v>702</v>
      </c>
      <c r="F5203" s="1146"/>
      <c r="G5203" s="248">
        <f>SUM(G5202)</f>
        <v>8000</v>
      </c>
    </row>
    <row r="5204" spans="1:8" s="265" customFormat="1">
      <c r="A5204" s="294" t="s">
        <v>703</v>
      </c>
      <c r="B5204" s="1147" t="s">
        <v>3910</v>
      </c>
      <c r="C5204" s="1147"/>
      <c r="D5204" s="1147"/>
      <c r="E5204" s="1147"/>
      <c r="F5204" s="1147"/>
      <c r="G5204" s="255">
        <f>G5200+G5203</f>
        <v>24670</v>
      </c>
    </row>
    <row r="5205" spans="1:8" s="265" customFormat="1">
      <c r="A5205" s="294" t="s">
        <v>706</v>
      </c>
      <c r="B5205" s="1148" t="s">
        <v>876</v>
      </c>
      <c r="C5205" s="1148"/>
      <c r="D5205" s="1148"/>
      <c r="E5205" s="1147" t="s">
        <v>4030</v>
      </c>
      <c r="F5205" s="1147"/>
      <c r="G5205" s="255">
        <f>G5204*0.15</f>
        <v>3700.5</v>
      </c>
    </row>
    <row r="5206" spans="1:8" s="265" customFormat="1">
      <c r="A5206" s="294" t="s">
        <v>708</v>
      </c>
      <c r="B5206" s="1149" t="s">
        <v>3911</v>
      </c>
      <c r="C5206" s="1149"/>
      <c r="D5206" s="1149"/>
      <c r="E5206" s="1149"/>
      <c r="F5206" s="1149"/>
      <c r="G5206" s="255">
        <f>ROUND(SUM(G5204:G5205),2)</f>
        <v>28370.5</v>
      </c>
      <c r="H5206" s="255">
        <f>SUM(G5204:G5205)</f>
        <v>28370.5</v>
      </c>
    </row>
    <row r="5207" spans="1:8">
      <c r="A5207" s="268"/>
      <c r="B5207" s="269"/>
      <c r="C5207" s="268"/>
      <c r="D5207" s="268"/>
      <c r="E5207" s="380"/>
      <c r="F5207" s="365"/>
      <c r="G5207" s="270"/>
      <c r="H5207" s="275"/>
    </row>
    <row r="5208" spans="1:8">
      <c r="A5208" s="286" t="s">
        <v>4536</v>
      </c>
      <c r="B5208" s="265" t="s">
        <v>4632</v>
      </c>
      <c r="H5208" s="275"/>
    </row>
    <row r="5209" spans="1:8" ht="24.95" customHeight="1">
      <c r="A5209" s="290" t="s">
        <v>1003</v>
      </c>
      <c r="B5209" s="290" t="s">
        <v>1004</v>
      </c>
      <c r="C5209" s="290" t="s">
        <v>1005</v>
      </c>
      <c r="D5209" s="290" t="s">
        <v>1006</v>
      </c>
      <c r="E5209" s="373" t="s">
        <v>1007</v>
      </c>
      <c r="F5209" s="363" t="s">
        <v>2637</v>
      </c>
      <c r="G5209" s="291" t="s">
        <v>2638</v>
      </c>
      <c r="H5209" s="275"/>
    </row>
    <row r="5210" spans="1:8">
      <c r="A5210" s="294" t="s">
        <v>671</v>
      </c>
      <c r="B5210" s="410" t="s">
        <v>672</v>
      </c>
      <c r="C5210" s="247"/>
      <c r="D5210" s="247"/>
      <c r="E5210" s="372"/>
      <c r="F5210" s="360"/>
      <c r="G5210" s="248"/>
      <c r="H5210" s="275"/>
    </row>
    <row r="5211" spans="1:8">
      <c r="A5211" s="294"/>
      <c r="B5211" s="410" t="s">
        <v>673</v>
      </c>
      <c r="C5211" s="247" t="s">
        <v>674</v>
      </c>
      <c r="D5211" s="247" t="s">
        <v>675</v>
      </c>
      <c r="E5211" s="372">
        <v>0.01</v>
      </c>
      <c r="F5211" s="360">
        <f>'UPAD-BAHAN-ALAT'!$I$12</f>
        <v>110000</v>
      </c>
      <c r="G5211" s="248">
        <f>F5211*E5211</f>
        <v>1100</v>
      </c>
      <c r="H5211" s="275"/>
    </row>
    <row r="5212" spans="1:8">
      <c r="A5212" s="294"/>
      <c r="B5212" s="410" t="s">
        <v>871</v>
      </c>
      <c r="C5212" s="247" t="s">
        <v>678</v>
      </c>
      <c r="D5212" s="247" t="s">
        <v>675</v>
      </c>
      <c r="E5212" s="372">
        <v>0.1</v>
      </c>
      <c r="F5212" s="360">
        <f>'UPAD-BAHAN-ALAT'!$I$13</f>
        <v>140000</v>
      </c>
      <c r="G5212" s="248">
        <f>F5212*E5212</f>
        <v>14000</v>
      </c>
      <c r="H5212" s="275"/>
    </row>
    <row r="5213" spans="1:8">
      <c r="A5213" s="294"/>
      <c r="B5213" s="410" t="s">
        <v>751</v>
      </c>
      <c r="C5213" s="247" t="s">
        <v>681</v>
      </c>
      <c r="D5213" s="247" t="s">
        <v>675</v>
      </c>
      <c r="E5213" s="372">
        <v>0.01</v>
      </c>
      <c r="F5213" s="360">
        <f>'UPAD-BAHAN-ALAT'!$I$15</f>
        <v>150000</v>
      </c>
      <c r="G5213" s="248">
        <f>F5213*E5213</f>
        <v>1500</v>
      </c>
      <c r="H5213" s="275"/>
    </row>
    <row r="5214" spans="1:8">
      <c r="A5214" s="294"/>
      <c r="B5214" s="410" t="s">
        <v>683</v>
      </c>
      <c r="C5214" s="247" t="s">
        <v>684</v>
      </c>
      <c r="D5214" s="247" t="s">
        <v>675</v>
      </c>
      <c r="E5214" s="372">
        <v>5.0000000000000001E-4</v>
      </c>
      <c r="F5214" s="360">
        <f>'UPAD-BAHAN-ALAT'!$I$14</f>
        <v>140000</v>
      </c>
      <c r="G5214" s="248">
        <f>F5214*E5214</f>
        <v>70</v>
      </c>
      <c r="H5214" s="275"/>
    </row>
    <row r="5215" spans="1:8">
      <c r="A5215" s="294"/>
      <c r="B5215" s="410"/>
      <c r="C5215" s="247"/>
      <c r="D5215" s="247"/>
      <c r="E5215" s="1146" t="s">
        <v>685</v>
      </c>
      <c r="F5215" s="1146"/>
      <c r="G5215" s="248">
        <f>SUM(G5211:G5214)</f>
        <v>16670</v>
      </c>
      <c r="H5215" s="275"/>
    </row>
    <row r="5216" spans="1:8">
      <c r="A5216" s="294" t="s">
        <v>686</v>
      </c>
      <c r="B5216" s="410" t="s">
        <v>687</v>
      </c>
      <c r="C5216" s="247"/>
      <c r="D5216" s="247"/>
      <c r="E5216" s="372"/>
      <c r="F5216" s="360"/>
      <c r="G5216" s="248"/>
      <c r="H5216" s="275"/>
    </row>
    <row r="5217" spans="1:8">
      <c r="A5217" s="294"/>
      <c r="B5217" s="410" t="s">
        <v>4537</v>
      </c>
      <c r="C5217" s="247"/>
      <c r="D5217" s="247" t="s">
        <v>743</v>
      </c>
      <c r="E5217" s="372">
        <v>1</v>
      </c>
      <c r="F5217" s="360">
        <f>'UPAD-BAHAN-ALAT'!$I$486</f>
        <v>109200</v>
      </c>
      <c r="G5217" s="248">
        <f>F5217*E5217</f>
        <v>109200</v>
      </c>
      <c r="H5217" s="275"/>
    </row>
    <row r="5218" spans="1:8">
      <c r="A5218" s="247"/>
      <c r="B5218" s="295"/>
      <c r="C5218" s="296"/>
      <c r="D5218" s="296"/>
      <c r="E5218" s="1146" t="s">
        <v>702</v>
      </c>
      <c r="F5218" s="1146"/>
      <c r="G5218" s="248">
        <f>SUM(G5217)</f>
        <v>109200</v>
      </c>
      <c r="H5218" s="275"/>
    </row>
    <row r="5219" spans="1:8">
      <c r="A5219" s="294" t="s">
        <v>703</v>
      </c>
      <c r="B5219" s="1147" t="s">
        <v>3910</v>
      </c>
      <c r="C5219" s="1147"/>
      <c r="D5219" s="1147"/>
      <c r="E5219" s="1147"/>
      <c r="F5219" s="1147"/>
      <c r="G5219" s="255">
        <f>G5215+G5218</f>
        <v>125870</v>
      </c>
      <c r="H5219" s="275"/>
    </row>
    <row r="5220" spans="1:8">
      <c r="A5220" s="294" t="s">
        <v>706</v>
      </c>
      <c r="B5220" s="1148" t="s">
        <v>876</v>
      </c>
      <c r="C5220" s="1148"/>
      <c r="D5220" s="1148"/>
      <c r="E5220" s="1147" t="s">
        <v>4030</v>
      </c>
      <c r="F5220" s="1147"/>
      <c r="G5220" s="255">
        <f>G5219*0.15</f>
        <v>18880.5</v>
      </c>
      <c r="H5220" s="275"/>
    </row>
    <row r="5221" spans="1:8">
      <c r="A5221" s="294" t="s">
        <v>708</v>
      </c>
      <c r="B5221" s="1149" t="s">
        <v>3911</v>
      </c>
      <c r="C5221" s="1149"/>
      <c r="D5221" s="1149"/>
      <c r="E5221" s="1149"/>
      <c r="F5221" s="1149"/>
      <c r="G5221" s="255">
        <f>ROUND(SUM(G5219:G5220),2)</f>
        <v>144750.5</v>
      </c>
      <c r="H5221" s="275"/>
    </row>
    <row r="5222" spans="1:8">
      <c r="A5222" s="252"/>
      <c r="B5222" s="251"/>
      <c r="C5222" s="252"/>
      <c r="D5222" s="252"/>
      <c r="E5222" s="374"/>
      <c r="F5222" s="361"/>
      <c r="G5222" s="253"/>
      <c r="H5222" s="275"/>
    </row>
    <row r="5223" spans="1:8">
      <c r="A5223" s="286" t="s">
        <v>4633</v>
      </c>
      <c r="B5223" s="265" t="s">
        <v>4634</v>
      </c>
      <c r="H5223" s="275"/>
    </row>
    <row r="5224" spans="1:8">
      <c r="A5224" s="290" t="s">
        <v>1003</v>
      </c>
      <c r="B5224" s="290" t="s">
        <v>1004</v>
      </c>
      <c r="C5224" s="290" t="s">
        <v>1005</v>
      </c>
      <c r="D5224" s="290" t="s">
        <v>1006</v>
      </c>
      <c r="E5224" s="373" t="s">
        <v>1007</v>
      </c>
      <c r="F5224" s="363" t="s">
        <v>2637</v>
      </c>
      <c r="G5224" s="291" t="s">
        <v>2638</v>
      </c>
      <c r="H5224" s="275"/>
    </row>
    <row r="5225" spans="1:8">
      <c r="A5225" s="294" t="s">
        <v>671</v>
      </c>
      <c r="B5225" s="410" t="s">
        <v>672</v>
      </c>
      <c r="C5225" s="247"/>
      <c r="D5225" s="247"/>
      <c r="E5225" s="372"/>
      <c r="F5225" s="360"/>
      <c r="G5225" s="248"/>
      <c r="H5225" s="275"/>
    </row>
    <row r="5226" spans="1:8">
      <c r="A5226" s="294"/>
      <c r="B5226" s="410" t="s">
        <v>673</v>
      </c>
      <c r="C5226" s="247" t="s">
        <v>674</v>
      </c>
      <c r="D5226" s="247" t="s">
        <v>675</v>
      </c>
      <c r="E5226" s="372">
        <v>0.01</v>
      </c>
      <c r="F5226" s="360">
        <f>'UPAD-BAHAN-ALAT'!$I$12</f>
        <v>110000</v>
      </c>
      <c r="G5226" s="248">
        <f>F5226*E5226</f>
        <v>1100</v>
      </c>
      <c r="H5226" s="275"/>
    </row>
    <row r="5227" spans="1:8">
      <c r="A5227" s="294"/>
      <c r="B5227" s="410" t="s">
        <v>871</v>
      </c>
      <c r="C5227" s="247" t="s">
        <v>678</v>
      </c>
      <c r="D5227" s="247" t="s">
        <v>675</v>
      </c>
      <c r="E5227" s="372">
        <v>0.1</v>
      </c>
      <c r="F5227" s="360">
        <f>'UPAD-BAHAN-ALAT'!$I$13</f>
        <v>140000</v>
      </c>
      <c r="G5227" s="248">
        <f>F5227*E5227</f>
        <v>14000</v>
      </c>
      <c r="H5227" s="275"/>
    </row>
    <row r="5228" spans="1:8">
      <c r="A5228" s="294"/>
      <c r="B5228" s="410" t="s">
        <v>751</v>
      </c>
      <c r="C5228" s="247" t="s">
        <v>681</v>
      </c>
      <c r="D5228" s="247" t="s">
        <v>675</v>
      </c>
      <c r="E5228" s="372">
        <v>0.01</v>
      </c>
      <c r="F5228" s="360">
        <f>'UPAD-BAHAN-ALAT'!$I$15</f>
        <v>150000</v>
      </c>
      <c r="G5228" s="248">
        <f>F5228*E5228</f>
        <v>1500</v>
      </c>
      <c r="H5228" s="275"/>
    </row>
    <row r="5229" spans="1:8">
      <c r="A5229" s="294"/>
      <c r="B5229" s="410" t="s">
        <v>683</v>
      </c>
      <c r="C5229" s="247" t="s">
        <v>684</v>
      </c>
      <c r="D5229" s="247" t="s">
        <v>675</v>
      </c>
      <c r="E5229" s="372">
        <v>5.0000000000000001E-4</v>
      </c>
      <c r="F5229" s="360">
        <f>'UPAD-BAHAN-ALAT'!$I$14</f>
        <v>140000</v>
      </c>
      <c r="G5229" s="248">
        <f>F5229*E5229</f>
        <v>70</v>
      </c>
      <c r="H5229" s="275"/>
    </row>
    <row r="5230" spans="1:8">
      <c r="A5230" s="294"/>
      <c r="B5230" s="410"/>
      <c r="C5230" s="247"/>
      <c r="D5230" s="247"/>
      <c r="E5230" s="1146" t="s">
        <v>685</v>
      </c>
      <c r="F5230" s="1146"/>
      <c r="G5230" s="248">
        <f>SUM(G5226:G5229)</f>
        <v>16670</v>
      </c>
      <c r="H5230" s="275"/>
    </row>
    <row r="5231" spans="1:8">
      <c r="A5231" s="294" t="s">
        <v>686</v>
      </c>
      <c r="B5231" s="410" t="s">
        <v>687</v>
      </c>
      <c r="C5231" s="247"/>
      <c r="D5231" s="247"/>
      <c r="E5231" s="372"/>
      <c r="F5231" s="360"/>
      <c r="G5231" s="248"/>
      <c r="H5231" s="275"/>
    </row>
    <row r="5232" spans="1:8">
      <c r="A5232" s="294"/>
      <c r="B5232" s="410" t="str">
        <f>'UPAD-BAHAN-ALAT'!$B$487</f>
        <v>Handle (pegangan) Casement</v>
      </c>
      <c r="C5232" s="247"/>
      <c r="D5232" s="247" t="s">
        <v>743</v>
      </c>
      <c r="E5232" s="372">
        <v>1</v>
      </c>
      <c r="F5232" s="360">
        <f>'UPAD-BAHAN-ALAT'!$I$487</f>
        <v>24000</v>
      </c>
      <c r="G5232" s="248">
        <f>F5232*E5232</f>
        <v>24000</v>
      </c>
      <c r="H5232" s="275"/>
    </row>
    <row r="5233" spans="1:8">
      <c r="A5233" s="247"/>
      <c r="B5233" s="295"/>
      <c r="C5233" s="296"/>
      <c r="D5233" s="296"/>
      <c r="E5233" s="1146" t="s">
        <v>702</v>
      </c>
      <c r="F5233" s="1146"/>
      <c r="G5233" s="248">
        <f>SUM(G5232)</f>
        <v>24000</v>
      </c>
      <c r="H5233" s="275"/>
    </row>
    <row r="5234" spans="1:8">
      <c r="A5234" s="294" t="s">
        <v>703</v>
      </c>
      <c r="B5234" s="1147" t="s">
        <v>3910</v>
      </c>
      <c r="C5234" s="1147"/>
      <c r="D5234" s="1147"/>
      <c r="E5234" s="1147"/>
      <c r="F5234" s="1147"/>
      <c r="G5234" s="255">
        <f>G5230+G5233</f>
        <v>40670</v>
      </c>
      <c r="H5234" s="275"/>
    </row>
    <row r="5235" spans="1:8">
      <c r="A5235" s="294" t="s">
        <v>706</v>
      </c>
      <c r="B5235" s="1148" t="s">
        <v>876</v>
      </c>
      <c r="C5235" s="1148"/>
      <c r="D5235" s="1148"/>
      <c r="E5235" s="1147" t="s">
        <v>4030</v>
      </c>
      <c r="F5235" s="1147"/>
      <c r="G5235" s="255">
        <f>G5234*0.15</f>
        <v>6100.5</v>
      </c>
      <c r="H5235" s="275"/>
    </row>
    <row r="5236" spans="1:8">
      <c r="A5236" s="294" t="s">
        <v>708</v>
      </c>
      <c r="B5236" s="1149" t="s">
        <v>3911</v>
      </c>
      <c r="C5236" s="1149"/>
      <c r="D5236" s="1149"/>
      <c r="E5236" s="1149"/>
      <c r="F5236" s="1149"/>
      <c r="G5236" s="255">
        <f>ROUND(SUM(G5234:G5235),2)</f>
        <v>46770.5</v>
      </c>
      <c r="H5236" s="275"/>
    </row>
    <row r="5237" spans="1:8">
      <c r="A5237" s="252"/>
      <c r="B5237" s="251"/>
      <c r="C5237" s="252"/>
      <c r="D5237" s="252"/>
      <c r="E5237" s="374"/>
      <c r="F5237" s="361"/>
      <c r="G5237" s="253"/>
      <c r="H5237" s="275"/>
    </row>
    <row r="5238" spans="1:8">
      <c r="A5238" s="285" t="s">
        <v>4312</v>
      </c>
      <c r="B5238" s="250" t="s">
        <v>3581</v>
      </c>
      <c r="C5238" s="252"/>
      <c r="D5238" s="252"/>
      <c r="E5238" s="374"/>
      <c r="F5238" s="361"/>
      <c r="G5238" s="253"/>
      <c r="H5238" s="275"/>
    </row>
    <row r="5239" spans="1:8" s="292" customFormat="1" ht="24.95" customHeight="1">
      <c r="A5239" s="290" t="s">
        <v>1003</v>
      </c>
      <c r="B5239" s="290" t="s">
        <v>1004</v>
      </c>
      <c r="C5239" s="290" t="s">
        <v>1005</v>
      </c>
      <c r="D5239" s="290" t="s">
        <v>1006</v>
      </c>
      <c r="E5239" s="373" t="s">
        <v>1007</v>
      </c>
      <c r="F5239" s="363" t="s">
        <v>2637</v>
      </c>
      <c r="G5239" s="291" t="s">
        <v>2638</v>
      </c>
    </row>
    <row r="5240" spans="1:8">
      <c r="A5240" s="294" t="s">
        <v>671</v>
      </c>
      <c r="B5240" s="410" t="s">
        <v>672</v>
      </c>
      <c r="C5240" s="247"/>
      <c r="D5240" s="247"/>
      <c r="E5240" s="372"/>
      <c r="F5240" s="360"/>
      <c r="G5240" s="248"/>
    </row>
    <row r="5241" spans="1:8">
      <c r="A5241" s="294"/>
      <c r="B5241" s="410" t="s">
        <v>673</v>
      </c>
      <c r="C5241" s="247" t="s">
        <v>674</v>
      </c>
      <c r="D5241" s="247" t="s">
        <v>675</v>
      </c>
      <c r="E5241" s="372">
        <v>0.1</v>
      </c>
      <c r="F5241" s="360">
        <f>'UPAD-BAHAN-ALAT'!$I$12</f>
        <v>110000</v>
      </c>
      <c r="G5241" s="248">
        <f>F5241*E5241</f>
        <v>11000</v>
      </c>
    </row>
    <row r="5242" spans="1:8">
      <c r="A5242" s="294"/>
      <c r="B5242" s="410" t="s">
        <v>871</v>
      </c>
      <c r="C5242" s="247" t="s">
        <v>678</v>
      </c>
      <c r="D5242" s="247"/>
      <c r="E5242" s="372">
        <v>0.2</v>
      </c>
      <c r="F5242" s="360">
        <f>'UPAD-BAHAN-ALAT'!$I$13</f>
        <v>140000</v>
      </c>
      <c r="G5242" s="248">
        <f>F5242*E5242</f>
        <v>28000</v>
      </c>
    </row>
    <row r="5243" spans="1:8">
      <c r="A5243" s="294"/>
      <c r="B5243" s="410" t="s">
        <v>751</v>
      </c>
      <c r="C5243" s="247" t="s">
        <v>681</v>
      </c>
      <c r="D5243" s="247"/>
      <c r="E5243" s="372">
        <v>0.02</v>
      </c>
      <c r="F5243" s="360">
        <f>'UPAD-BAHAN-ALAT'!$I$15</f>
        <v>150000</v>
      </c>
      <c r="G5243" s="248">
        <f>F5243*E5243</f>
        <v>3000</v>
      </c>
    </row>
    <row r="5244" spans="1:8">
      <c r="A5244" s="294"/>
      <c r="B5244" s="410" t="s">
        <v>683</v>
      </c>
      <c r="C5244" s="247" t="s">
        <v>684</v>
      </c>
      <c r="D5244" s="247" t="s">
        <v>675</v>
      </c>
      <c r="E5244" s="372">
        <v>5.0000000000000001E-4</v>
      </c>
      <c r="F5244" s="360">
        <f>'UPAD-BAHAN-ALAT'!$I$14</f>
        <v>140000</v>
      </c>
      <c r="G5244" s="248">
        <f>F5244*E5244</f>
        <v>70</v>
      </c>
    </row>
    <row r="5245" spans="1:8">
      <c r="A5245" s="294"/>
      <c r="B5245" s="410"/>
      <c r="C5245" s="247"/>
      <c r="D5245" s="247"/>
      <c r="E5245" s="1146" t="s">
        <v>685</v>
      </c>
      <c r="F5245" s="1146"/>
      <c r="G5245" s="248">
        <f>SUM(G5241:G5244)</f>
        <v>42070</v>
      </c>
    </row>
    <row r="5246" spans="1:8">
      <c r="A5246" s="294" t="s">
        <v>686</v>
      </c>
      <c r="B5246" s="410" t="s">
        <v>687</v>
      </c>
      <c r="C5246" s="247"/>
      <c r="D5246" s="247"/>
      <c r="E5246" s="372"/>
      <c r="F5246" s="360"/>
      <c r="G5246" s="248"/>
    </row>
    <row r="5247" spans="1:8">
      <c r="A5247" s="294"/>
      <c r="B5247" s="410" t="s">
        <v>3582</v>
      </c>
      <c r="C5247" s="247"/>
      <c r="D5247" s="247" t="s">
        <v>743</v>
      </c>
      <c r="E5247" s="372">
        <v>1</v>
      </c>
      <c r="F5247" s="360">
        <f>'UPAD-BAHAN-ALAT'!$I$490</f>
        <v>9000</v>
      </c>
      <c r="G5247" s="248">
        <f>F5247*E5247</f>
        <v>9000</v>
      </c>
    </row>
    <row r="5248" spans="1:8">
      <c r="A5248" s="247"/>
      <c r="B5248" s="295"/>
      <c r="C5248" s="296"/>
      <c r="D5248" s="296"/>
      <c r="E5248" s="1146" t="s">
        <v>702</v>
      </c>
      <c r="F5248" s="1146"/>
      <c r="G5248" s="248">
        <f>SUM(G5247)</f>
        <v>9000</v>
      </c>
    </row>
    <row r="5249" spans="1:7" s="265" customFormat="1">
      <c r="A5249" s="294" t="s">
        <v>703</v>
      </c>
      <c r="B5249" s="1147" t="s">
        <v>3910</v>
      </c>
      <c r="C5249" s="1147"/>
      <c r="D5249" s="1147"/>
      <c r="E5249" s="1147"/>
      <c r="F5249" s="1147"/>
      <c r="G5249" s="255">
        <f>G5245+G5248</f>
        <v>51070</v>
      </c>
    </row>
    <row r="5250" spans="1:7" s="265" customFormat="1">
      <c r="A5250" s="294" t="s">
        <v>706</v>
      </c>
      <c r="B5250" s="1148" t="s">
        <v>876</v>
      </c>
      <c r="C5250" s="1148"/>
      <c r="D5250" s="1148"/>
      <c r="E5250" s="1147" t="s">
        <v>4030</v>
      </c>
      <c r="F5250" s="1147"/>
      <c r="G5250" s="255">
        <f>G5249*0.15</f>
        <v>7660.5</v>
      </c>
    </row>
    <row r="5251" spans="1:7" s="265" customFormat="1">
      <c r="A5251" s="294" t="s">
        <v>708</v>
      </c>
      <c r="B5251" s="1149" t="s">
        <v>3911</v>
      </c>
      <c r="C5251" s="1149"/>
      <c r="D5251" s="1149"/>
      <c r="E5251" s="1149"/>
      <c r="F5251" s="1149"/>
      <c r="G5251" s="255">
        <f>ROUND(SUM(G5249:G5250),2)</f>
        <v>58730.5</v>
      </c>
    </row>
    <row r="5253" spans="1:7">
      <c r="A5253" s="286" t="s">
        <v>4313</v>
      </c>
      <c r="B5253" s="265" t="s">
        <v>3497</v>
      </c>
    </row>
    <row r="5254" spans="1:7" s="292" customFormat="1" ht="24.95" customHeight="1">
      <c r="A5254" s="290" t="s">
        <v>1003</v>
      </c>
      <c r="B5254" s="290" t="s">
        <v>1004</v>
      </c>
      <c r="C5254" s="290" t="s">
        <v>1005</v>
      </c>
      <c r="D5254" s="290" t="s">
        <v>1006</v>
      </c>
      <c r="E5254" s="373" t="s">
        <v>1007</v>
      </c>
      <c r="F5254" s="363" t="s">
        <v>2637</v>
      </c>
      <c r="G5254" s="291" t="s">
        <v>2638</v>
      </c>
    </row>
    <row r="5255" spans="1:7">
      <c r="A5255" s="294" t="s">
        <v>671</v>
      </c>
      <c r="B5255" s="410" t="s">
        <v>672</v>
      </c>
      <c r="C5255" s="247"/>
      <c r="D5255" s="247"/>
      <c r="E5255" s="372"/>
      <c r="F5255" s="360"/>
      <c r="G5255" s="248"/>
    </row>
    <row r="5256" spans="1:7">
      <c r="A5256" s="294"/>
      <c r="B5256" s="410" t="s">
        <v>673</v>
      </c>
      <c r="C5256" s="247" t="s">
        <v>674</v>
      </c>
      <c r="D5256" s="247" t="s">
        <v>675</v>
      </c>
      <c r="E5256" s="372">
        <v>1.4999999999999999E-2</v>
      </c>
      <c r="F5256" s="360">
        <f>'UPAD-BAHAN-ALAT'!$I$12</f>
        <v>110000</v>
      </c>
      <c r="G5256" s="248">
        <f>F5256*E5256</f>
        <v>1650</v>
      </c>
    </row>
    <row r="5257" spans="1:7">
      <c r="A5257" s="294"/>
      <c r="B5257" s="410" t="s">
        <v>871</v>
      </c>
      <c r="C5257" s="247" t="s">
        <v>678</v>
      </c>
      <c r="D5257" s="247"/>
      <c r="E5257" s="372">
        <v>0.15</v>
      </c>
      <c r="F5257" s="360">
        <f>'UPAD-BAHAN-ALAT'!$I$13</f>
        <v>140000</v>
      </c>
      <c r="G5257" s="248">
        <f>F5257*E5257</f>
        <v>21000</v>
      </c>
    </row>
    <row r="5258" spans="1:7">
      <c r="A5258" s="294"/>
      <c r="B5258" s="410" t="s">
        <v>751</v>
      </c>
      <c r="C5258" s="247" t="s">
        <v>681</v>
      </c>
      <c r="D5258" s="247"/>
      <c r="E5258" s="372">
        <v>1.4999999999999999E-2</v>
      </c>
      <c r="F5258" s="360">
        <f>'UPAD-BAHAN-ALAT'!$I$15</f>
        <v>150000</v>
      </c>
      <c r="G5258" s="248">
        <f>F5258*E5258</f>
        <v>2250</v>
      </c>
    </row>
    <row r="5259" spans="1:7">
      <c r="A5259" s="294"/>
      <c r="B5259" s="410" t="s">
        <v>683</v>
      </c>
      <c r="C5259" s="247" t="s">
        <v>684</v>
      </c>
      <c r="D5259" s="247" t="s">
        <v>675</v>
      </c>
      <c r="E5259" s="372">
        <v>8.0000000000000002E-3</v>
      </c>
      <c r="F5259" s="360">
        <f>'UPAD-BAHAN-ALAT'!$I$14</f>
        <v>140000</v>
      </c>
      <c r="G5259" s="248">
        <f>F5259*E5259</f>
        <v>1120</v>
      </c>
    </row>
    <row r="5260" spans="1:7">
      <c r="A5260" s="294"/>
      <c r="B5260" s="410"/>
      <c r="C5260" s="247"/>
      <c r="D5260" s="247"/>
      <c r="E5260" s="1146" t="s">
        <v>685</v>
      </c>
      <c r="F5260" s="1146"/>
      <c r="G5260" s="248">
        <f>SUM(G5256:G5259)</f>
        <v>26020</v>
      </c>
    </row>
    <row r="5261" spans="1:7">
      <c r="A5261" s="294" t="s">
        <v>686</v>
      </c>
      <c r="B5261" s="410" t="s">
        <v>687</v>
      </c>
      <c r="C5261" s="247"/>
      <c r="D5261" s="247"/>
      <c r="E5261" s="372"/>
      <c r="F5261" s="360"/>
      <c r="G5261" s="248"/>
    </row>
    <row r="5262" spans="1:7">
      <c r="A5262" s="294"/>
      <c r="B5262" s="410" t="s">
        <v>3498</v>
      </c>
      <c r="C5262" s="247"/>
      <c r="D5262" s="247" t="s">
        <v>743</v>
      </c>
      <c r="E5262" s="372">
        <v>1</v>
      </c>
      <c r="F5262" s="360">
        <f>'UPAD-BAHAN-ALAT'!$I$489</f>
        <v>20000</v>
      </c>
      <c r="G5262" s="248">
        <f>F5262*E5262</f>
        <v>20000</v>
      </c>
    </row>
    <row r="5263" spans="1:7">
      <c r="A5263" s="247"/>
      <c r="B5263" s="410"/>
      <c r="C5263" s="247"/>
      <c r="D5263" s="247"/>
      <c r="E5263" s="1159" t="s">
        <v>702</v>
      </c>
      <c r="F5263" s="1160"/>
      <c r="G5263" s="248">
        <f>SUM(G5262)</f>
        <v>20000</v>
      </c>
    </row>
    <row r="5264" spans="1:7" s="265" customFormat="1">
      <c r="A5264" s="294" t="s">
        <v>703</v>
      </c>
      <c r="B5264" s="1151" t="s">
        <v>3910</v>
      </c>
      <c r="C5264" s="1151"/>
      <c r="D5264" s="1151"/>
      <c r="E5264" s="1151"/>
      <c r="F5264" s="1151"/>
      <c r="G5264" s="255">
        <f>G5260+G5263</f>
        <v>46020</v>
      </c>
    </row>
    <row r="5265" spans="1:8" s="265" customFormat="1">
      <c r="A5265" s="294" t="s">
        <v>706</v>
      </c>
      <c r="B5265" s="1148" t="s">
        <v>876</v>
      </c>
      <c r="C5265" s="1148"/>
      <c r="D5265" s="1148"/>
      <c r="E5265" s="1147" t="s">
        <v>4030</v>
      </c>
      <c r="F5265" s="1147"/>
      <c r="G5265" s="255">
        <f>G5264*0.15</f>
        <v>6903</v>
      </c>
    </row>
    <row r="5266" spans="1:8" s="265" customFormat="1">
      <c r="A5266" s="294" t="s">
        <v>708</v>
      </c>
      <c r="B5266" s="1149" t="s">
        <v>3911</v>
      </c>
      <c r="C5266" s="1149"/>
      <c r="D5266" s="1149"/>
      <c r="E5266" s="1149"/>
      <c r="F5266" s="1149"/>
      <c r="G5266" s="255">
        <f>ROUND(SUM(G5264:G5265),2)</f>
        <v>52923</v>
      </c>
      <c r="H5266" s="255">
        <f>SUM(G5264:G5265)</f>
        <v>52923</v>
      </c>
    </row>
    <row r="5267" spans="1:8">
      <c r="A5267" s="268"/>
      <c r="B5267" s="269"/>
      <c r="C5267" s="268"/>
      <c r="D5267" s="268"/>
      <c r="E5267" s="380"/>
      <c r="F5267" s="365"/>
      <c r="G5267" s="270"/>
      <c r="H5267" s="275"/>
    </row>
    <row r="5268" spans="1:8">
      <c r="A5268" s="285" t="s">
        <v>4314</v>
      </c>
      <c r="B5268" s="250" t="s">
        <v>3583</v>
      </c>
      <c r="C5268" s="252"/>
      <c r="D5268" s="252"/>
      <c r="E5268" s="374"/>
      <c r="F5268" s="361"/>
      <c r="G5268" s="253"/>
      <c r="H5268" s="275"/>
    </row>
    <row r="5269" spans="1:8" s="292" customFormat="1" ht="24.95" customHeight="1">
      <c r="A5269" s="290" t="s">
        <v>1003</v>
      </c>
      <c r="B5269" s="290" t="s">
        <v>1004</v>
      </c>
      <c r="C5269" s="290" t="s">
        <v>1005</v>
      </c>
      <c r="D5269" s="290" t="s">
        <v>1006</v>
      </c>
      <c r="E5269" s="373" t="s">
        <v>1007</v>
      </c>
      <c r="F5269" s="363" t="s">
        <v>2637</v>
      </c>
      <c r="G5269" s="291" t="s">
        <v>2638</v>
      </c>
    </row>
    <row r="5270" spans="1:8">
      <c r="A5270" s="294" t="s">
        <v>671</v>
      </c>
      <c r="B5270" s="410" t="s">
        <v>672</v>
      </c>
      <c r="C5270" s="247"/>
      <c r="D5270" s="247"/>
      <c r="E5270" s="372"/>
      <c r="F5270" s="360"/>
      <c r="G5270" s="248"/>
    </row>
    <row r="5271" spans="1:8">
      <c r="A5271" s="294"/>
      <c r="B5271" s="410" t="s">
        <v>673</v>
      </c>
      <c r="C5271" s="247" t="s">
        <v>674</v>
      </c>
      <c r="D5271" s="247" t="s">
        <v>675</v>
      </c>
      <c r="E5271" s="372">
        <v>1.4999999999999999E-2</v>
      </c>
      <c r="F5271" s="360">
        <f>'UPAD-BAHAN-ALAT'!$I$12</f>
        <v>110000</v>
      </c>
      <c r="G5271" s="248">
        <f>F5271*E5271</f>
        <v>1650</v>
      </c>
    </row>
    <row r="5272" spans="1:8">
      <c r="A5272" s="294"/>
      <c r="B5272" s="410" t="s">
        <v>871</v>
      </c>
      <c r="C5272" s="247" t="s">
        <v>678</v>
      </c>
      <c r="D5272" s="247"/>
      <c r="E5272" s="372">
        <v>0.15</v>
      </c>
      <c r="F5272" s="360">
        <f>'UPAD-BAHAN-ALAT'!$I$13</f>
        <v>140000</v>
      </c>
      <c r="G5272" s="248">
        <f>F5272*E5272</f>
        <v>21000</v>
      </c>
    </row>
    <row r="5273" spans="1:8">
      <c r="A5273" s="294"/>
      <c r="B5273" s="410" t="s">
        <v>751</v>
      </c>
      <c r="C5273" s="247" t="s">
        <v>681</v>
      </c>
      <c r="D5273" s="247"/>
      <c r="E5273" s="372">
        <v>1.4999999999999999E-2</v>
      </c>
      <c r="F5273" s="360">
        <f>'UPAD-BAHAN-ALAT'!$I$15</f>
        <v>150000</v>
      </c>
      <c r="G5273" s="248">
        <f>F5273*E5273</f>
        <v>2250</v>
      </c>
    </row>
    <row r="5274" spans="1:8">
      <c r="A5274" s="294"/>
      <c r="B5274" s="410" t="s">
        <v>683</v>
      </c>
      <c r="C5274" s="247" t="s">
        <v>684</v>
      </c>
      <c r="D5274" s="247" t="s">
        <v>675</v>
      </c>
      <c r="E5274" s="372">
        <v>8.0000000000000002E-3</v>
      </c>
      <c r="F5274" s="360">
        <f>'UPAD-BAHAN-ALAT'!$I$14</f>
        <v>140000</v>
      </c>
      <c r="G5274" s="248">
        <f>F5274*E5274</f>
        <v>1120</v>
      </c>
    </row>
    <row r="5275" spans="1:8">
      <c r="A5275" s="294"/>
      <c r="B5275" s="410"/>
      <c r="C5275" s="247"/>
      <c r="D5275" s="247"/>
      <c r="E5275" s="1146" t="s">
        <v>685</v>
      </c>
      <c r="F5275" s="1146"/>
      <c r="G5275" s="248">
        <f>SUM(G5271:G5274)</f>
        <v>26020</v>
      </c>
    </row>
    <row r="5276" spans="1:8">
      <c r="A5276" s="294" t="s">
        <v>686</v>
      </c>
      <c r="B5276" s="410" t="s">
        <v>687</v>
      </c>
      <c r="C5276" s="247"/>
      <c r="D5276" s="247"/>
      <c r="E5276" s="372"/>
      <c r="F5276" s="360"/>
      <c r="G5276" s="248"/>
    </row>
    <row r="5277" spans="1:8">
      <c r="A5277" s="294"/>
      <c r="B5277" s="410" t="s">
        <v>3584</v>
      </c>
      <c r="C5277" s="247"/>
      <c r="D5277" s="247" t="s">
        <v>743</v>
      </c>
      <c r="E5277" s="372">
        <v>1</v>
      </c>
      <c r="F5277" s="360">
        <f>'UPAD-BAHAN-ALAT'!$I$490</f>
        <v>9000</v>
      </c>
      <c r="G5277" s="248">
        <f>F5277*E5277</f>
        <v>9000</v>
      </c>
    </row>
    <row r="5278" spans="1:8">
      <c r="A5278" s="247"/>
      <c r="B5278" s="295"/>
      <c r="C5278" s="296"/>
      <c r="D5278" s="296"/>
      <c r="E5278" s="1146" t="s">
        <v>702</v>
      </c>
      <c r="F5278" s="1146"/>
      <c r="G5278" s="248">
        <f>SUM(G5277)</f>
        <v>9000</v>
      </c>
    </row>
    <row r="5279" spans="1:8" s="265" customFormat="1">
      <c r="A5279" s="294" t="s">
        <v>703</v>
      </c>
      <c r="B5279" s="1147" t="s">
        <v>3910</v>
      </c>
      <c r="C5279" s="1147"/>
      <c r="D5279" s="1147"/>
      <c r="E5279" s="1147"/>
      <c r="F5279" s="1147"/>
      <c r="G5279" s="255">
        <f>G5275+G5278</f>
        <v>35020</v>
      </c>
    </row>
    <row r="5280" spans="1:8" s="265" customFormat="1">
      <c r="A5280" s="294" t="s">
        <v>706</v>
      </c>
      <c r="B5280" s="1148" t="s">
        <v>876</v>
      </c>
      <c r="C5280" s="1148"/>
      <c r="D5280" s="1148"/>
      <c r="E5280" s="1147" t="s">
        <v>4030</v>
      </c>
      <c r="F5280" s="1147"/>
      <c r="G5280" s="255">
        <f>G5279*0.15</f>
        <v>5253</v>
      </c>
    </row>
    <row r="5281" spans="1:8" s="265" customFormat="1">
      <c r="A5281" s="294" t="s">
        <v>708</v>
      </c>
      <c r="B5281" s="1149" t="s">
        <v>3911</v>
      </c>
      <c r="C5281" s="1149"/>
      <c r="D5281" s="1149"/>
      <c r="E5281" s="1149"/>
      <c r="F5281" s="1149"/>
      <c r="G5281" s="255">
        <f>ROUND(SUM(G5279:G5280),2)</f>
        <v>40273</v>
      </c>
      <c r="H5281" s="255">
        <f>SUM(G5279:G5280)</f>
        <v>40273</v>
      </c>
    </row>
    <row r="5283" spans="1:8">
      <c r="A5283" s="600" t="s">
        <v>4315</v>
      </c>
      <c r="B5283" s="265" t="s">
        <v>4543</v>
      </c>
    </row>
    <row r="5284" spans="1:8" s="292" customFormat="1" ht="24.95" customHeight="1">
      <c r="A5284" s="290" t="s">
        <v>1003</v>
      </c>
      <c r="B5284" s="290" t="s">
        <v>1004</v>
      </c>
      <c r="C5284" s="290" t="s">
        <v>1005</v>
      </c>
      <c r="D5284" s="290" t="s">
        <v>1006</v>
      </c>
      <c r="E5284" s="373" t="s">
        <v>1007</v>
      </c>
      <c r="F5284" s="363" t="s">
        <v>2637</v>
      </c>
      <c r="G5284" s="291" t="s">
        <v>2638</v>
      </c>
    </row>
    <row r="5285" spans="1:8">
      <c r="A5285" s="294" t="s">
        <v>671</v>
      </c>
      <c r="B5285" s="410" t="s">
        <v>672</v>
      </c>
      <c r="C5285" s="247"/>
      <c r="D5285" s="247"/>
      <c r="E5285" s="372"/>
      <c r="F5285" s="360"/>
      <c r="G5285" s="248"/>
    </row>
    <row r="5286" spans="1:8">
      <c r="A5286" s="294"/>
      <c r="B5286" s="410" t="s">
        <v>673</v>
      </c>
      <c r="C5286" s="247" t="s">
        <v>674</v>
      </c>
      <c r="D5286" s="247" t="s">
        <v>675</v>
      </c>
      <c r="E5286" s="372">
        <v>0.05</v>
      </c>
      <c r="F5286" s="360">
        <f>'UPAD-BAHAN-ALAT'!$I$12</f>
        <v>110000</v>
      </c>
      <c r="G5286" s="248">
        <f>F5286*E5286</f>
        <v>5500</v>
      </c>
    </row>
    <row r="5287" spans="1:8">
      <c r="A5287" s="294"/>
      <c r="B5287" s="410" t="s">
        <v>871</v>
      </c>
      <c r="C5287" s="247" t="s">
        <v>678</v>
      </c>
      <c r="D5287" s="247" t="s">
        <v>675</v>
      </c>
      <c r="E5287" s="372">
        <v>0.5</v>
      </c>
      <c r="F5287" s="360">
        <f>'UPAD-BAHAN-ALAT'!$I$13</f>
        <v>140000</v>
      </c>
      <c r="G5287" s="248">
        <f>F5287*E5287</f>
        <v>70000</v>
      </c>
    </row>
    <row r="5288" spans="1:8">
      <c r="A5288" s="294"/>
      <c r="B5288" s="410" t="s">
        <v>751</v>
      </c>
      <c r="C5288" s="247" t="s">
        <v>681</v>
      </c>
      <c r="D5288" s="247" t="s">
        <v>675</v>
      </c>
      <c r="E5288" s="372">
        <v>0.05</v>
      </c>
      <c r="F5288" s="360">
        <f>'UPAD-BAHAN-ALAT'!$I$15</f>
        <v>150000</v>
      </c>
      <c r="G5288" s="248">
        <f>F5288*E5288</f>
        <v>7500</v>
      </c>
    </row>
    <row r="5289" spans="1:8">
      <c r="A5289" s="294"/>
      <c r="B5289" s="410" t="s">
        <v>683</v>
      </c>
      <c r="C5289" s="247" t="s">
        <v>684</v>
      </c>
      <c r="D5289" s="247" t="s">
        <v>675</v>
      </c>
      <c r="E5289" s="372">
        <v>3.0000000000000001E-3</v>
      </c>
      <c r="F5289" s="360">
        <f>'UPAD-BAHAN-ALAT'!$I$14</f>
        <v>140000</v>
      </c>
      <c r="G5289" s="248">
        <f>F5289*E5289</f>
        <v>420</v>
      </c>
    </row>
    <row r="5290" spans="1:8">
      <c r="A5290" s="294"/>
      <c r="B5290" s="410"/>
      <c r="C5290" s="247"/>
      <c r="D5290" s="247"/>
      <c r="E5290" s="1146" t="s">
        <v>685</v>
      </c>
      <c r="F5290" s="1146"/>
      <c r="G5290" s="248">
        <f>SUM(G5286:G5289)</f>
        <v>83420</v>
      </c>
    </row>
    <row r="5291" spans="1:8">
      <c r="A5291" s="294" t="s">
        <v>686</v>
      </c>
      <c r="B5291" s="410" t="s">
        <v>687</v>
      </c>
      <c r="C5291" s="247"/>
      <c r="D5291" s="247"/>
      <c r="E5291" s="372"/>
      <c r="F5291" s="360"/>
      <c r="G5291" s="248"/>
    </row>
    <row r="5292" spans="1:8">
      <c r="A5292" s="294"/>
      <c r="B5292" s="410" t="s">
        <v>1345</v>
      </c>
      <c r="C5292" s="247"/>
      <c r="D5292" s="247" t="s">
        <v>1346</v>
      </c>
      <c r="E5292" s="372">
        <v>1</v>
      </c>
      <c r="F5292" s="360">
        <f>'UPAD-BAHAN-ALAT'!$I$482</f>
        <v>178500</v>
      </c>
      <c r="G5292" s="248">
        <f>F5292*E5292</f>
        <v>178500</v>
      </c>
    </row>
    <row r="5293" spans="1:8">
      <c r="A5293" s="247"/>
      <c r="B5293" s="295"/>
      <c r="C5293" s="296"/>
      <c r="D5293" s="296"/>
      <c r="E5293" s="1146" t="s">
        <v>702</v>
      </c>
      <c r="F5293" s="1146"/>
      <c r="G5293" s="248">
        <f>SUM(G5292)</f>
        <v>178500</v>
      </c>
    </row>
    <row r="5294" spans="1:8" s="265" customFormat="1">
      <c r="A5294" s="294" t="s">
        <v>703</v>
      </c>
      <c r="B5294" s="1147" t="s">
        <v>3910</v>
      </c>
      <c r="C5294" s="1147"/>
      <c r="D5294" s="1147"/>
      <c r="E5294" s="1147"/>
      <c r="F5294" s="1147"/>
      <c r="G5294" s="255">
        <f>G5290+G5293</f>
        <v>261920</v>
      </c>
    </row>
    <row r="5295" spans="1:8" s="265" customFormat="1">
      <c r="A5295" s="294" t="s">
        <v>706</v>
      </c>
      <c r="B5295" s="1148" t="s">
        <v>876</v>
      </c>
      <c r="C5295" s="1148"/>
      <c r="D5295" s="1148"/>
      <c r="E5295" s="1147" t="s">
        <v>4030</v>
      </c>
      <c r="F5295" s="1147"/>
      <c r="G5295" s="255">
        <f>G5294*0.15</f>
        <v>39288</v>
      </c>
    </row>
    <row r="5296" spans="1:8" s="265" customFormat="1">
      <c r="A5296" s="294" t="s">
        <v>708</v>
      </c>
      <c r="B5296" s="1149" t="s">
        <v>3911</v>
      </c>
      <c r="C5296" s="1149"/>
      <c r="D5296" s="1149"/>
      <c r="E5296" s="1149"/>
      <c r="F5296" s="1149"/>
      <c r="G5296" s="255">
        <f>ROUND(SUM(G5294:G5295),2)</f>
        <v>301208</v>
      </c>
      <c r="H5296" s="255">
        <f>SUM(G5294:G5295)</f>
        <v>301208</v>
      </c>
    </row>
    <row r="5297" spans="1:8">
      <c r="A5297" s="268"/>
      <c r="B5297" s="269"/>
      <c r="C5297" s="268"/>
      <c r="D5297" s="268"/>
      <c r="E5297" s="380"/>
      <c r="F5297" s="365"/>
      <c r="G5297" s="270"/>
      <c r="H5297" s="275"/>
    </row>
    <row r="5298" spans="1:8">
      <c r="A5298" s="285" t="s">
        <v>4316</v>
      </c>
      <c r="B5298" s="250" t="s">
        <v>3499</v>
      </c>
      <c r="C5298" s="252"/>
      <c r="D5298" s="252"/>
      <c r="E5298" s="374"/>
      <c r="F5298" s="361"/>
      <c r="G5298" s="253"/>
      <c r="H5298" s="275"/>
    </row>
    <row r="5299" spans="1:8" s="292" customFormat="1" ht="24.95" customHeight="1">
      <c r="A5299" s="290" t="s">
        <v>1003</v>
      </c>
      <c r="B5299" s="290" t="s">
        <v>1004</v>
      </c>
      <c r="C5299" s="290" t="s">
        <v>1005</v>
      </c>
      <c r="D5299" s="290" t="s">
        <v>1006</v>
      </c>
      <c r="E5299" s="373" t="s">
        <v>1007</v>
      </c>
      <c r="F5299" s="363" t="s">
        <v>2637</v>
      </c>
      <c r="G5299" s="291" t="s">
        <v>2638</v>
      </c>
    </row>
    <row r="5300" spans="1:8">
      <c r="A5300" s="294" t="s">
        <v>671</v>
      </c>
      <c r="B5300" s="410" t="s">
        <v>672</v>
      </c>
      <c r="C5300" s="247"/>
      <c r="D5300" s="247"/>
      <c r="E5300" s="372"/>
      <c r="F5300" s="360"/>
      <c r="G5300" s="248"/>
    </row>
    <row r="5301" spans="1:8">
      <c r="A5301" s="294"/>
      <c r="B5301" s="410" t="s">
        <v>673</v>
      </c>
      <c r="C5301" s="247" t="s">
        <v>674</v>
      </c>
      <c r="D5301" s="247" t="s">
        <v>675</v>
      </c>
      <c r="E5301" s="372">
        <v>0.02</v>
      </c>
      <c r="F5301" s="360">
        <f>'UPAD-BAHAN-ALAT'!$I$12</f>
        <v>110000</v>
      </c>
      <c r="G5301" s="248">
        <f>F5301*E5301</f>
        <v>2200</v>
      </c>
    </row>
    <row r="5302" spans="1:8">
      <c r="A5302" s="294"/>
      <c r="B5302" s="410" t="s">
        <v>871</v>
      </c>
      <c r="C5302" s="247" t="s">
        <v>678</v>
      </c>
      <c r="D5302" s="247"/>
      <c r="E5302" s="372">
        <v>0.2</v>
      </c>
      <c r="F5302" s="360">
        <f>'UPAD-BAHAN-ALAT'!$I$13</f>
        <v>140000</v>
      </c>
      <c r="G5302" s="248">
        <f>F5302*E5302</f>
        <v>28000</v>
      </c>
    </row>
    <row r="5303" spans="1:8">
      <c r="A5303" s="294"/>
      <c r="B5303" s="410" t="s">
        <v>751</v>
      </c>
      <c r="C5303" s="247" t="s">
        <v>681</v>
      </c>
      <c r="D5303" s="247"/>
      <c r="E5303" s="372">
        <v>0.02</v>
      </c>
      <c r="F5303" s="360">
        <f>'UPAD-BAHAN-ALAT'!$I$15</f>
        <v>150000</v>
      </c>
      <c r="G5303" s="248">
        <f>F5303*E5303</f>
        <v>3000</v>
      </c>
    </row>
    <row r="5304" spans="1:8">
      <c r="A5304" s="294"/>
      <c r="B5304" s="410" t="s">
        <v>683</v>
      </c>
      <c r="C5304" s="247" t="s">
        <v>684</v>
      </c>
      <c r="D5304" s="247" t="s">
        <v>675</v>
      </c>
      <c r="E5304" s="372">
        <v>1E-3</v>
      </c>
      <c r="F5304" s="360">
        <f>'UPAD-BAHAN-ALAT'!$I$14</f>
        <v>140000</v>
      </c>
      <c r="G5304" s="248">
        <f>F5304*E5304</f>
        <v>140</v>
      </c>
    </row>
    <row r="5305" spans="1:8">
      <c r="A5305" s="294"/>
      <c r="B5305" s="410"/>
      <c r="C5305" s="247"/>
      <c r="D5305" s="247"/>
      <c r="E5305" s="1146" t="s">
        <v>685</v>
      </c>
      <c r="F5305" s="1146"/>
      <c r="G5305" s="248">
        <f>SUM(G5301:G5304)</f>
        <v>33340</v>
      </c>
    </row>
    <row r="5306" spans="1:8">
      <c r="A5306" s="294" t="s">
        <v>686</v>
      </c>
      <c r="B5306" s="410" t="s">
        <v>687</v>
      </c>
      <c r="C5306" s="247"/>
      <c r="D5306" s="247"/>
      <c r="E5306" s="372"/>
      <c r="F5306" s="360"/>
      <c r="G5306" s="248"/>
    </row>
    <row r="5307" spans="1:8">
      <c r="A5307" s="247"/>
      <c r="B5307" s="410" t="s">
        <v>3500</v>
      </c>
      <c r="C5307" s="247"/>
      <c r="D5307" s="247" t="s">
        <v>743</v>
      </c>
      <c r="E5307" s="372">
        <v>1</v>
      </c>
      <c r="F5307" s="360">
        <f>'UPAD-BAHAN-ALAT'!$I$488</f>
        <v>25000</v>
      </c>
      <c r="G5307" s="248">
        <f>F5307*E5307</f>
        <v>25000</v>
      </c>
    </row>
    <row r="5308" spans="1:8">
      <c r="A5308" s="247"/>
      <c r="B5308" s="295"/>
      <c r="C5308" s="296"/>
      <c r="D5308" s="296"/>
      <c r="E5308" s="1146" t="s">
        <v>702</v>
      </c>
      <c r="F5308" s="1146"/>
      <c r="G5308" s="248">
        <f>SUM(G5307)</f>
        <v>25000</v>
      </c>
    </row>
    <row r="5309" spans="1:8" s="265" customFormat="1">
      <c r="A5309" s="432" t="s">
        <v>703</v>
      </c>
      <c r="B5309" s="1164" t="s">
        <v>3910</v>
      </c>
      <c r="C5309" s="1165"/>
      <c r="D5309" s="1165"/>
      <c r="E5309" s="1165"/>
      <c r="F5309" s="1166"/>
      <c r="G5309" s="631">
        <f>G5305+G5308</f>
        <v>58340</v>
      </c>
    </row>
    <row r="5310" spans="1:8" s="265" customFormat="1">
      <c r="A5310" s="294" t="s">
        <v>706</v>
      </c>
      <c r="B5310" s="1167" t="s">
        <v>876</v>
      </c>
      <c r="C5310" s="1167"/>
      <c r="D5310" s="1167"/>
      <c r="E5310" s="1149" t="s">
        <v>4030</v>
      </c>
      <c r="F5310" s="1149"/>
      <c r="G5310" s="255">
        <f>G5309*0.15</f>
        <v>8751</v>
      </c>
    </row>
    <row r="5311" spans="1:8" s="265" customFormat="1">
      <c r="A5311" s="744" t="s">
        <v>708</v>
      </c>
      <c r="B5311" s="1149" t="s">
        <v>3911</v>
      </c>
      <c r="C5311" s="1149"/>
      <c r="D5311" s="1149"/>
      <c r="E5311" s="1149"/>
      <c r="F5311" s="1149"/>
      <c r="G5311" s="255">
        <f>ROUND(SUM(G5309:G5310),2)</f>
        <v>67091</v>
      </c>
      <c r="H5311" s="255">
        <f>SUM(G5309:G5310)</f>
        <v>67091</v>
      </c>
    </row>
    <row r="5312" spans="1:8">
      <c r="A5312" s="745"/>
    </row>
    <row r="5313" spans="1:8">
      <c r="A5313" s="286" t="s">
        <v>4317</v>
      </c>
      <c r="B5313" s="265" t="s">
        <v>2756</v>
      </c>
    </row>
    <row r="5314" spans="1:8" s="292" customFormat="1" ht="24.95" customHeight="1">
      <c r="A5314" s="290" t="s">
        <v>1003</v>
      </c>
      <c r="B5314" s="290" t="s">
        <v>1004</v>
      </c>
      <c r="C5314" s="290" t="s">
        <v>1005</v>
      </c>
      <c r="D5314" s="290" t="s">
        <v>1006</v>
      </c>
      <c r="E5314" s="373" t="s">
        <v>1007</v>
      </c>
      <c r="F5314" s="363" t="s">
        <v>2637</v>
      </c>
      <c r="G5314" s="291" t="s">
        <v>2638</v>
      </c>
    </row>
    <row r="5315" spans="1:8">
      <c r="A5315" s="294" t="s">
        <v>671</v>
      </c>
      <c r="B5315" s="410" t="s">
        <v>672</v>
      </c>
      <c r="C5315" s="247"/>
      <c r="D5315" s="247"/>
      <c r="E5315" s="372"/>
      <c r="F5315" s="360"/>
      <c r="G5315" s="248"/>
    </row>
    <row r="5316" spans="1:8">
      <c r="A5316" s="294"/>
      <c r="B5316" s="410" t="s">
        <v>673</v>
      </c>
      <c r="C5316" s="247" t="s">
        <v>674</v>
      </c>
      <c r="D5316" s="247" t="s">
        <v>675</v>
      </c>
      <c r="E5316" s="372">
        <v>0.05</v>
      </c>
      <c r="F5316" s="360">
        <f>'UPAD-BAHAN-ALAT'!$I$12</f>
        <v>110000</v>
      </c>
      <c r="G5316" s="248">
        <f>F5316*E5316</f>
        <v>5500</v>
      </c>
    </row>
    <row r="5317" spans="1:8">
      <c r="A5317" s="294"/>
      <c r="B5317" s="410" t="s">
        <v>871</v>
      </c>
      <c r="C5317" s="247" t="s">
        <v>678</v>
      </c>
      <c r="D5317" s="247"/>
      <c r="E5317" s="372">
        <v>0.5</v>
      </c>
      <c r="F5317" s="360">
        <f>'UPAD-BAHAN-ALAT'!$I$13</f>
        <v>140000</v>
      </c>
      <c r="G5317" s="248">
        <f>F5317*E5317</f>
        <v>70000</v>
      </c>
    </row>
    <row r="5318" spans="1:8">
      <c r="A5318" s="294"/>
      <c r="B5318" s="410" t="s">
        <v>751</v>
      </c>
      <c r="C5318" s="247" t="s">
        <v>681</v>
      </c>
      <c r="D5318" s="247"/>
      <c r="E5318" s="372">
        <v>0.05</v>
      </c>
      <c r="F5318" s="360">
        <f>'UPAD-BAHAN-ALAT'!$I$15</f>
        <v>150000</v>
      </c>
      <c r="G5318" s="248">
        <f>F5318*E5318</f>
        <v>7500</v>
      </c>
    </row>
    <row r="5319" spans="1:8">
      <c r="A5319" s="294"/>
      <c r="B5319" s="410" t="s">
        <v>683</v>
      </c>
      <c r="C5319" s="247" t="s">
        <v>684</v>
      </c>
      <c r="D5319" s="247" t="s">
        <v>675</v>
      </c>
      <c r="E5319" s="372">
        <v>3.0000000000000001E-3</v>
      </c>
      <c r="F5319" s="360">
        <f>'UPAD-BAHAN-ALAT'!$I$14</f>
        <v>140000</v>
      </c>
      <c r="G5319" s="248">
        <f>F5319*E5319</f>
        <v>420</v>
      </c>
    </row>
    <row r="5320" spans="1:8">
      <c r="A5320" s="294"/>
      <c r="B5320" s="410"/>
      <c r="C5320" s="247"/>
      <c r="D5320" s="247"/>
      <c r="E5320" s="1146" t="s">
        <v>685</v>
      </c>
      <c r="F5320" s="1146"/>
      <c r="G5320" s="248">
        <f>SUM(G5316:G5319)</f>
        <v>83420</v>
      </c>
    </row>
    <row r="5321" spans="1:8">
      <c r="A5321" s="294" t="s">
        <v>686</v>
      </c>
      <c r="B5321" s="410" t="s">
        <v>687</v>
      </c>
      <c r="C5321" s="247"/>
      <c r="D5321" s="247"/>
      <c r="E5321" s="372"/>
      <c r="F5321" s="360"/>
      <c r="G5321" s="248"/>
    </row>
    <row r="5322" spans="1:8">
      <c r="A5322" s="294"/>
      <c r="B5322" s="297" t="s">
        <v>1349</v>
      </c>
      <c r="C5322" s="247"/>
      <c r="D5322" s="247" t="s">
        <v>743</v>
      </c>
      <c r="E5322" s="372">
        <v>1</v>
      </c>
      <c r="F5322" s="360">
        <f>'UPAD-BAHAN-ALAT'!$I$483</f>
        <v>89000</v>
      </c>
      <c r="G5322" s="248">
        <f>F5322*E5322</f>
        <v>89000</v>
      </c>
    </row>
    <row r="5323" spans="1:8">
      <c r="A5323" s="294"/>
      <c r="B5323" s="295"/>
      <c r="C5323" s="296"/>
      <c r="D5323" s="296"/>
      <c r="E5323" s="1146" t="s">
        <v>702</v>
      </c>
      <c r="F5323" s="1146"/>
      <c r="G5323" s="248">
        <f>SUM(G5322)</f>
        <v>89000</v>
      </c>
    </row>
    <row r="5324" spans="1:8" s="265" customFormat="1">
      <c r="A5324" s="294" t="s">
        <v>703</v>
      </c>
      <c r="B5324" s="1147" t="s">
        <v>3910</v>
      </c>
      <c r="C5324" s="1147"/>
      <c r="D5324" s="1147"/>
      <c r="E5324" s="1147"/>
      <c r="F5324" s="1147"/>
      <c r="G5324" s="255">
        <f>G5320+G5323</f>
        <v>172420</v>
      </c>
    </row>
    <row r="5325" spans="1:8" s="265" customFormat="1">
      <c r="A5325" s="294" t="s">
        <v>706</v>
      </c>
      <c r="B5325" s="1148" t="s">
        <v>876</v>
      </c>
      <c r="C5325" s="1148"/>
      <c r="D5325" s="1148"/>
      <c r="E5325" s="1147" t="s">
        <v>4030</v>
      </c>
      <c r="F5325" s="1147"/>
      <c r="G5325" s="255">
        <f>G5324*0.15</f>
        <v>25863</v>
      </c>
    </row>
    <row r="5326" spans="1:8" s="265" customFormat="1">
      <c r="A5326" s="294" t="s">
        <v>708</v>
      </c>
      <c r="B5326" s="1149" t="s">
        <v>3911</v>
      </c>
      <c r="C5326" s="1149"/>
      <c r="D5326" s="1149"/>
      <c r="E5326" s="1149"/>
      <c r="F5326" s="1149"/>
      <c r="G5326" s="255">
        <f>ROUND(SUM(G5324:G5325),2)</f>
        <v>198283</v>
      </c>
      <c r="H5326" s="255">
        <f>SUM(G5324:G5325)</f>
        <v>198283</v>
      </c>
    </row>
    <row r="5327" spans="1:8">
      <c r="A5327" s="268"/>
      <c r="B5327" s="269"/>
      <c r="C5327" s="268"/>
      <c r="D5327" s="268"/>
      <c r="E5327" s="380"/>
      <c r="F5327" s="365"/>
      <c r="G5327" s="270"/>
      <c r="H5327" s="275"/>
    </row>
    <row r="5328" spans="1:8">
      <c r="A5328" s="285" t="s">
        <v>4318</v>
      </c>
      <c r="B5328" s="250" t="s">
        <v>2755</v>
      </c>
      <c r="C5328" s="252"/>
      <c r="D5328" s="252"/>
      <c r="E5328" s="374"/>
      <c r="F5328" s="361"/>
      <c r="G5328" s="253"/>
      <c r="H5328" s="275"/>
    </row>
    <row r="5329" spans="1:8" s="292" customFormat="1" ht="24.95" customHeight="1">
      <c r="A5329" s="290" t="s">
        <v>1003</v>
      </c>
      <c r="B5329" s="290" t="s">
        <v>1004</v>
      </c>
      <c r="C5329" s="290" t="s">
        <v>1005</v>
      </c>
      <c r="D5329" s="290" t="s">
        <v>1006</v>
      </c>
      <c r="E5329" s="373" t="s">
        <v>1007</v>
      </c>
      <c r="F5329" s="363" t="s">
        <v>2637</v>
      </c>
      <c r="G5329" s="291" t="s">
        <v>2638</v>
      </c>
    </row>
    <row r="5330" spans="1:8">
      <c r="A5330" s="294" t="s">
        <v>671</v>
      </c>
      <c r="B5330" s="410" t="s">
        <v>672</v>
      </c>
      <c r="C5330" s="247"/>
      <c r="D5330" s="247"/>
      <c r="E5330" s="372"/>
      <c r="F5330" s="360"/>
      <c r="G5330" s="248"/>
    </row>
    <row r="5331" spans="1:8">
      <c r="A5331" s="294"/>
      <c r="B5331" s="410" t="s">
        <v>673</v>
      </c>
      <c r="C5331" s="247" t="s">
        <v>674</v>
      </c>
      <c r="D5331" s="247" t="s">
        <v>675</v>
      </c>
      <c r="E5331" s="372">
        <v>0.01</v>
      </c>
      <c r="F5331" s="360">
        <f>'UPAD-BAHAN-ALAT'!$I$12</f>
        <v>110000</v>
      </c>
      <c r="G5331" s="248">
        <f>F5331*E5331</f>
        <v>1100</v>
      </c>
    </row>
    <row r="5332" spans="1:8">
      <c r="A5332" s="294"/>
      <c r="B5332" s="410" t="s">
        <v>871</v>
      </c>
      <c r="C5332" s="247" t="s">
        <v>678</v>
      </c>
      <c r="D5332" s="247"/>
      <c r="E5332" s="372">
        <v>0.1</v>
      </c>
      <c r="F5332" s="360">
        <f>'UPAD-BAHAN-ALAT'!$I$13</f>
        <v>140000</v>
      </c>
      <c r="G5332" s="248">
        <f>F5332*E5332</f>
        <v>14000</v>
      </c>
    </row>
    <row r="5333" spans="1:8">
      <c r="A5333" s="294"/>
      <c r="B5333" s="410" t="s">
        <v>751</v>
      </c>
      <c r="C5333" s="247" t="s">
        <v>681</v>
      </c>
      <c r="D5333" s="247"/>
      <c r="E5333" s="372">
        <v>0.01</v>
      </c>
      <c r="F5333" s="360">
        <f>'UPAD-BAHAN-ALAT'!$I$15</f>
        <v>150000</v>
      </c>
      <c r="G5333" s="248">
        <f>F5333*E5333</f>
        <v>1500</v>
      </c>
    </row>
    <row r="5334" spans="1:8">
      <c r="A5334" s="294"/>
      <c r="B5334" s="410" t="s">
        <v>683</v>
      </c>
      <c r="C5334" s="247" t="s">
        <v>684</v>
      </c>
      <c r="D5334" s="247" t="s">
        <v>675</v>
      </c>
      <c r="E5334" s="372">
        <v>5.0000000000000001E-3</v>
      </c>
      <c r="F5334" s="360">
        <f>'UPAD-BAHAN-ALAT'!$I$14</f>
        <v>140000</v>
      </c>
      <c r="G5334" s="248">
        <f>F5334*E5334</f>
        <v>700</v>
      </c>
    </row>
    <row r="5335" spans="1:8">
      <c r="A5335" s="294"/>
      <c r="B5335" s="410"/>
      <c r="C5335" s="247"/>
      <c r="D5335" s="247"/>
      <c r="E5335" s="1146" t="s">
        <v>685</v>
      </c>
      <c r="F5335" s="1146"/>
      <c r="G5335" s="248">
        <f>SUM(G5331:G5334)</f>
        <v>17300</v>
      </c>
    </row>
    <row r="5336" spans="1:8">
      <c r="A5336" s="294" t="s">
        <v>686</v>
      </c>
      <c r="B5336" s="410" t="s">
        <v>687</v>
      </c>
      <c r="C5336" s="247"/>
      <c r="D5336" s="247"/>
      <c r="E5336" s="372"/>
      <c r="F5336" s="360"/>
      <c r="G5336" s="248"/>
    </row>
    <row r="5337" spans="1:8">
      <c r="A5337" s="247"/>
      <c r="B5337" s="410" t="s">
        <v>1350</v>
      </c>
      <c r="C5337" s="247"/>
      <c r="D5337" s="247" t="s">
        <v>743</v>
      </c>
      <c r="E5337" s="372">
        <v>1</v>
      </c>
      <c r="F5337" s="360">
        <f>'UPAD-BAHAN-ALAT'!$I$499</f>
        <v>25500</v>
      </c>
      <c r="G5337" s="248">
        <f>F5337*E5337</f>
        <v>25500</v>
      </c>
    </row>
    <row r="5338" spans="1:8">
      <c r="A5338" s="247"/>
      <c r="B5338" s="295"/>
      <c r="C5338" s="296"/>
      <c r="D5338" s="296"/>
      <c r="E5338" s="1146" t="s">
        <v>702</v>
      </c>
      <c r="F5338" s="1146"/>
      <c r="G5338" s="248">
        <f>SUM(G5337)</f>
        <v>25500</v>
      </c>
    </row>
    <row r="5339" spans="1:8" s="265" customFormat="1">
      <c r="A5339" s="294" t="s">
        <v>703</v>
      </c>
      <c r="B5339" s="1147" t="s">
        <v>3910</v>
      </c>
      <c r="C5339" s="1147"/>
      <c r="D5339" s="1147"/>
      <c r="E5339" s="1147"/>
      <c r="F5339" s="1147"/>
      <c r="G5339" s="255">
        <f>G5335+G5338</f>
        <v>42800</v>
      </c>
    </row>
    <row r="5340" spans="1:8" s="265" customFormat="1">
      <c r="A5340" s="294" t="s">
        <v>706</v>
      </c>
      <c r="B5340" s="1148" t="s">
        <v>876</v>
      </c>
      <c r="C5340" s="1148"/>
      <c r="D5340" s="1148"/>
      <c r="E5340" s="1147" t="s">
        <v>4030</v>
      </c>
      <c r="F5340" s="1147"/>
      <c r="G5340" s="255">
        <f>G5339*0.15</f>
        <v>6420</v>
      </c>
    </row>
    <row r="5341" spans="1:8" s="265" customFormat="1">
      <c r="A5341" s="294" t="s">
        <v>708</v>
      </c>
      <c r="B5341" s="1149" t="s">
        <v>3911</v>
      </c>
      <c r="C5341" s="1149"/>
      <c r="D5341" s="1149"/>
      <c r="E5341" s="1149"/>
      <c r="F5341" s="1149"/>
      <c r="G5341" s="255">
        <f>ROUND(SUM(G5339:G5340),2)</f>
        <v>49220</v>
      </c>
      <c r="H5341" s="255">
        <f>SUM(G5339:G5340)</f>
        <v>49220</v>
      </c>
    </row>
    <row r="5343" spans="1:8">
      <c r="A5343" s="286" t="s">
        <v>4319</v>
      </c>
      <c r="B5343" s="265" t="s">
        <v>4540</v>
      </c>
    </row>
    <row r="5344" spans="1:8" s="292" customFormat="1" ht="24.95" customHeight="1">
      <c r="A5344" s="290" t="s">
        <v>1003</v>
      </c>
      <c r="B5344" s="290" t="s">
        <v>1004</v>
      </c>
      <c r="C5344" s="290" t="s">
        <v>1005</v>
      </c>
      <c r="D5344" s="290" t="s">
        <v>1006</v>
      </c>
      <c r="E5344" s="373" t="s">
        <v>1007</v>
      </c>
      <c r="F5344" s="363" t="s">
        <v>2637</v>
      </c>
      <c r="G5344" s="291" t="s">
        <v>2638</v>
      </c>
    </row>
    <row r="5345" spans="1:8">
      <c r="A5345" s="294" t="s">
        <v>671</v>
      </c>
      <c r="B5345" s="410" t="s">
        <v>672</v>
      </c>
      <c r="C5345" s="247"/>
      <c r="D5345" s="247"/>
      <c r="E5345" s="372"/>
      <c r="F5345" s="360"/>
      <c r="G5345" s="248"/>
    </row>
    <row r="5346" spans="1:8">
      <c r="A5346" s="294"/>
      <c r="B5346" s="410" t="s">
        <v>673</v>
      </c>
      <c r="C5346" s="247" t="s">
        <v>674</v>
      </c>
      <c r="D5346" s="247" t="s">
        <v>675</v>
      </c>
      <c r="E5346" s="372">
        <v>0.06</v>
      </c>
      <c r="F5346" s="360">
        <f>'UPAD-BAHAN-ALAT'!$I$12</f>
        <v>110000</v>
      </c>
      <c r="G5346" s="248">
        <f>F5346*E5346</f>
        <v>6600</v>
      </c>
    </row>
    <row r="5347" spans="1:8">
      <c r="A5347" s="294"/>
      <c r="B5347" s="410" t="s">
        <v>871</v>
      </c>
      <c r="C5347" s="247" t="s">
        <v>678</v>
      </c>
      <c r="D5347" s="247"/>
      <c r="E5347" s="372">
        <v>0.6</v>
      </c>
      <c r="F5347" s="360">
        <f>'UPAD-BAHAN-ALAT'!$I$13</f>
        <v>140000</v>
      </c>
      <c r="G5347" s="248">
        <f>F5347*E5347</f>
        <v>84000</v>
      </c>
    </row>
    <row r="5348" spans="1:8">
      <c r="A5348" s="294"/>
      <c r="B5348" s="410" t="s">
        <v>751</v>
      </c>
      <c r="C5348" s="247" t="s">
        <v>681</v>
      </c>
      <c r="D5348" s="247"/>
      <c r="E5348" s="372">
        <v>0.06</v>
      </c>
      <c r="F5348" s="360">
        <f>'UPAD-BAHAN-ALAT'!$I$15</f>
        <v>150000</v>
      </c>
      <c r="G5348" s="248">
        <f>F5348*E5348</f>
        <v>9000</v>
      </c>
    </row>
    <row r="5349" spans="1:8">
      <c r="A5349" s="294"/>
      <c r="B5349" s="410" t="s">
        <v>683</v>
      </c>
      <c r="C5349" s="247" t="s">
        <v>684</v>
      </c>
      <c r="D5349" s="247" t="s">
        <v>675</v>
      </c>
      <c r="E5349" s="372">
        <v>3.0000000000000001E-3</v>
      </c>
      <c r="F5349" s="360">
        <f>'UPAD-BAHAN-ALAT'!$I$14</f>
        <v>140000</v>
      </c>
      <c r="G5349" s="248">
        <f>F5349*E5349</f>
        <v>420</v>
      </c>
    </row>
    <row r="5350" spans="1:8">
      <c r="A5350" s="294"/>
      <c r="B5350" s="410"/>
      <c r="C5350" s="247"/>
      <c r="D5350" s="247"/>
      <c r="E5350" s="1146" t="s">
        <v>685</v>
      </c>
      <c r="F5350" s="1146"/>
      <c r="G5350" s="248">
        <f>SUM(G5346:G5349)</f>
        <v>100020</v>
      </c>
    </row>
    <row r="5351" spans="1:8">
      <c r="A5351" s="294" t="s">
        <v>686</v>
      </c>
      <c r="B5351" s="410" t="s">
        <v>687</v>
      </c>
      <c r="C5351" s="247"/>
      <c r="D5351" s="247"/>
      <c r="E5351" s="372"/>
      <c r="F5351" s="360"/>
      <c r="G5351" s="248"/>
    </row>
    <row r="5352" spans="1:8">
      <c r="A5352" s="294"/>
      <c r="B5352" s="410" t="s">
        <v>1352</v>
      </c>
      <c r="C5352" s="247"/>
      <c r="D5352" s="247" t="s">
        <v>1353</v>
      </c>
      <c r="E5352" s="372">
        <v>1</v>
      </c>
      <c r="F5352" s="360">
        <f>'UPAD-BAHAN-ALAT'!$I$497</f>
        <v>235000</v>
      </c>
      <c r="G5352" s="248">
        <f>F5352*E5352</f>
        <v>235000</v>
      </c>
    </row>
    <row r="5353" spans="1:8">
      <c r="A5353" s="247"/>
      <c r="B5353" s="295"/>
      <c r="C5353" s="296"/>
      <c r="D5353" s="296"/>
      <c r="E5353" s="1146" t="s">
        <v>702</v>
      </c>
      <c r="F5353" s="1146"/>
      <c r="G5353" s="248">
        <f>SUM(G5352)</f>
        <v>235000</v>
      </c>
    </row>
    <row r="5354" spans="1:8" s="265" customFormat="1">
      <c r="A5354" s="294" t="s">
        <v>703</v>
      </c>
      <c r="B5354" s="1147" t="s">
        <v>3910</v>
      </c>
      <c r="C5354" s="1147"/>
      <c r="D5354" s="1147"/>
      <c r="E5354" s="1147"/>
      <c r="F5354" s="1147"/>
      <c r="G5354" s="255">
        <f>G5350+G5353</f>
        <v>335020</v>
      </c>
    </row>
    <row r="5355" spans="1:8" s="265" customFormat="1">
      <c r="A5355" s="294" t="s">
        <v>706</v>
      </c>
      <c r="B5355" s="1148" t="s">
        <v>876</v>
      </c>
      <c r="C5355" s="1148"/>
      <c r="D5355" s="1148"/>
      <c r="E5355" s="1147" t="s">
        <v>4030</v>
      </c>
      <c r="F5355" s="1147"/>
      <c r="G5355" s="255">
        <f>G5354*0.15</f>
        <v>50253</v>
      </c>
    </row>
    <row r="5356" spans="1:8" s="265" customFormat="1">
      <c r="A5356" s="294" t="s">
        <v>708</v>
      </c>
      <c r="B5356" s="1149" t="s">
        <v>3911</v>
      </c>
      <c r="C5356" s="1149"/>
      <c r="D5356" s="1149"/>
      <c r="E5356" s="1149"/>
      <c r="F5356" s="1149"/>
      <c r="G5356" s="255">
        <f>ROUND(SUM(G5354:G5355),2)</f>
        <v>385273</v>
      </c>
      <c r="H5356" s="255">
        <f>SUM(G5354:G5355)</f>
        <v>385273</v>
      </c>
    </row>
    <row r="5357" spans="1:8">
      <c r="A5357" s="268"/>
      <c r="B5357" s="269"/>
      <c r="C5357" s="268"/>
      <c r="D5357" s="268"/>
      <c r="E5357" s="380"/>
      <c r="F5357" s="365"/>
      <c r="G5357" s="270"/>
      <c r="H5357" s="275"/>
    </row>
    <row r="5358" spans="1:8">
      <c r="A5358" s="285" t="s">
        <v>4320</v>
      </c>
      <c r="B5358" s="250" t="s">
        <v>4541</v>
      </c>
      <c r="C5358" s="252"/>
      <c r="D5358" s="252"/>
      <c r="E5358" s="374"/>
      <c r="F5358" s="361"/>
      <c r="G5358" s="253"/>
      <c r="H5358" s="275"/>
    </row>
    <row r="5359" spans="1:8" s="292" customFormat="1" ht="24.95" customHeight="1">
      <c r="A5359" s="290" t="s">
        <v>1003</v>
      </c>
      <c r="B5359" s="290" t="s">
        <v>1004</v>
      </c>
      <c r="C5359" s="290" t="s">
        <v>1005</v>
      </c>
      <c r="D5359" s="290" t="s">
        <v>1006</v>
      </c>
      <c r="E5359" s="373" t="s">
        <v>1007</v>
      </c>
      <c r="F5359" s="363" t="s">
        <v>2637</v>
      </c>
      <c r="G5359" s="291" t="s">
        <v>2638</v>
      </c>
    </row>
    <row r="5360" spans="1:8">
      <c r="A5360" s="294" t="s">
        <v>671</v>
      </c>
      <c r="B5360" s="410" t="s">
        <v>672</v>
      </c>
      <c r="C5360" s="247"/>
      <c r="D5360" s="247"/>
      <c r="E5360" s="372"/>
      <c r="F5360" s="360"/>
      <c r="G5360" s="248"/>
    </row>
    <row r="5361" spans="1:8">
      <c r="A5361" s="294"/>
      <c r="B5361" s="410" t="s">
        <v>673</v>
      </c>
      <c r="C5361" s="247" t="s">
        <v>674</v>
      </c>
      <c r="D5361" s="247" t="s">
        <v>675</v>
      </c>
      <c r="E5361" s="372">
        <v>2.5000000000000001E-2</v>
      </c>
      <c r="F5361" s="360">
        <f>'UPAD-BAHAN-ALAT'!$I$12</f>
        <v>110000</v>
      </c>
      <c r="G5361" s="248">
        <f>F5361*E5361</f>
        <v>2750</v>
      </c>
    </row>
    <row r="5362" spans="1:8">
      <c r="A5362" s="294"/>
      <c r="B5362" s="410" t="s">
        <v>871</v>
      </c>
      <c r="C5362" s="247" t="s">
        <v>678</v>
      </c>
      <c r="D5362" s="247"/>
      <c r="E5362" s="372">
        <v>0.25</v>
      </c>
      <c r="F5362" s="360">
        <f>'UPAD-BAHAN-ALAT'!$I$13</f>
        <v>140000</v>
      </c>
      <c r="G5362" s="248">
        <f>F5362*E5362</f>
        <v>35000</v>
      </c>
    </row>
    <row r="5363" spans="1:8">
      <c r="A5363" s="294"/>
      <c r="B5363" s="410" t="s">
        <v>751</v>
      </c>
      <c r="C5363" s="247" t="s">
        <v>681</v>
      </c>
      <c r="D5363" s="247"/>
      <c r="E5363" s="372">
        <v>2.5000000000000001E-2</v>
      </c>
      <c r="F5363" s="360">
        <f>'UPAD-BAHAN-ALAT'!$I$15</f>
        <v>150000</v>
      </c>
      <c r="G5363" s="248">
        <f>F5363*E5363</f>
        <v>3750</v>
      </c>
    </row>
    <row r="5364" spans="1:8">
      <c r="A5364" s="294"/>
      <c r="B5364" s="410" t="s">
        <v>683</v>
      </c>
      <c r="C5364" s="247" t="s">
        <v>684</v>
      </c>
      <c r="D5364" s="247" t="s">
        <v>675</v>
      </c>
      <c r="E5364" s="372">
        <v>1.2999999999999999E-3</v>
      </c>
      <c r="F5364" s="360">
        <f>'UPAD-BAHAN-ALAT'!$I$14</f>
        <v>140000</v>
      </c>
      <c r="G5364" s="248">
        <f>F5364*E5364</f>
        <v>182</v>
      </c>
    </row>
    <row r="5365" spans="1:8">
      <c r="A5365" s="294"/>
      <c r="B5365" s="410"/>
      <c r="C5365" s="247"/>
      <c r="D5365" s="247"/>
      <c r="E5365" s="1146" t="s">
        <v>685</v>
      </c>
      <c r="F5365" s="1146"/>
      <c r="G5365" s="248">
        <f>SUM(G5361:G5364)</f>
        <v>41682</v>
      </c>
    </row>
    <row r="5366" spans="1:8">
      <c r="A5366" s="294" t="s">
        <v>686</v>
      </c>
      <c r="B5366" s="410" t="s">
        <v>687</v>
      </c>
      <c r="C5366" s="247"/>
      <c r="D5366" s="247"/>
      <c r="E5366" s="372"/>
      <c r="F5366" s="360"/>
      <c r="G5366" s="248"/>
    </row>
    <row r="5367" spans="1:8">
      <c r="A5367" s="294"/>
      <c r="B5367" s="410" t="s">
        <v>1355</v>
      </c>
      <c r="C5367" s="247"/>
      <c r="D5367" s="247" t="s">
        <v>1353</v>
      </c>
      <c r="E5367" s="372">
        <v>1</v>
      </c>
      <c r="F5367" s="360">
        <f>'UPAD-BAHAN-ALAT'!$I$496</f>
        <v>14025</v>
      </c>
      <c r="G5367" s="248">
        <f>F5367*E5367</f>
        <v>14025</v>
      </c>
    </row>
    <row r="5368" spans="1:8">
      <c r="A5368" s="294"/>
      <c r="B5368" s="295"/>
      <c r="C5368" s="296"/>
      <c r="D5368" s="296"/>
      <c r="E5368" s="1146" t="s">
        <v>702</v>
      </c>
      <c r="F5368" s="1146"/>
      <c r="G5368" s="248">
        <f>SUM(G5367)</f>
        <v>14025</v>
      </c>
    </row>
    <row r="5369" spans="1:8" s="265" customFormat="1">
      <c r="A5369" s="294" t="s">
        <v>703</v>
      </c>
      <c r="B5369" s="1147" t="s">
        <v>3910</v>
      </c>
      <c r="C5369" s="1147"/>
      <c r="D5369" s="1147"/>
      <c r="E5369" s="1147"/>
      <c r="F5369" s="1147"/>
      <c r="G5369" s="255">
        <f>G5365+G5368</f>
        <v>55707</v>
      </c>
    </row>
    <row r="5370" spans="1:8" s="265" customFormat="1">
      <c r="A5370" s="294" t="s">
        <v>706</v>
      </c>
      <c r="B5370" s="1148" t="s">
        <v>876</v>
      </c>
      <c r="C5370" s="1148"/>
      <c r="D5370" s="1148"/>
      <c r="E5370" s="1147" t="s">
        <v>4030</v>
      </c>
      <c r="F5370" s="1147"/>
      <c r="G5370" s="255">
        <f>G5369*0.15</f>
        <v>8356.0499999999993</v>
      </c>
    </row>
    <row r="5371" spans="1:8" s="265" customFormat="1">
      <c r="A5371" s="294" t="s">
        <v>708</v>
      </c>
      <c r="B5371" s="1149" t="s">
        <v>3911</v>
      </c>
      <c r="C5371" s="1149"/>
      <c r="D5371" s="1149"/>
      <c r="E5371" s="1149"/>
      <c r="F5371" s="1149"/>
      <c r="G5371" s="255">
        <f>ROUND(SUM(G5369:G5370),2)</f>
        <v>64063.05</v>
      </c>
      <c r="H5371" s="255">
        <f>SUM(G5369:G5370)</f>
        <v>64063.05</v>
      </c>
    </row>
    <row r="5373" spans="1:8">
      <c r="A5373" s="286" t="s">
        <v>4321</v>
      </c>
      <c r="B5373" s="265" t="s">
        <v>4542</v>
      </c>
    </row>
    <row r="5374" spans="1:8" s="292" customFormat="1" ht="24.95" customHeight="1">
      <c r="A5374" s="290" t="s">
        <v>1003</v>
      </c>
      <c r="B5374" s="290" t="s">
        <v>1004</v>
      </c>
      <c r="C5374" s="290" t="s">
        <v>1005</v>
      </c>
      <c r="D5374" s="290" t="s">
        <v>1006</v>
      </c>
      <c r="E5374" s="373" t="s">
        <v>1007</v>
      </c>
      <c r="F5374" s="363" t="s">
        <v>2637</v>
      </c>
      <c r="G5374" s="291" t="s">
        <v>2638</v>
      </c>
    </row>
    <row r="5375" spans="1:8">
      <c r="A5375" s="294" t="s">
        <v>671</v>
      </c>
      <c r="B5375" s="410" t="s">
        <v>672</v>
      </c>
      <c r="C5375" s="247"/>
      <c r="D5375" s="247"/>
      <c r="E5375" s="372"/>
      <c r="F5375" s="360"/>
      <c r="G5375" s="248"/>
    </row>
    <row r="5376" spans="1:8">
      <c r="A5376" s="294"/>
      <c r="B5376" s="410" t="s">
        <v>673</v>
      </c>
      <c r="C5376" s="247" t="s">
        <v>674</v>
      </c>
      <c r="D5376" s="247" t="s">
        <v>675</v>
      </c>
      <c r="E5376" s="372">
        <v>1.4999999999999999E-2</v>
      </c>
      <c r="F5376" s="360">
        <f>'UPAD-BAHAN-ALAT'!$I$12</f>
        <v>110000</v>
      </c>
      <c r="G5376" s="248">
        <f>F5376*E5376</f>
        <v>1650</v>
      </c>
    </row>
    <row r="5377" spans="1:8">
      <c r="A5377" s="294"/>
      <c r="B5377" s="410" t="s">
        <v>871</v>
      </c>
      <c r="C5377" s="247" t="s">
        <v>678</v>
      </c>
      <c r="D5377" s="247"/>
      <c r="E5377" s="372">
        <v>0.15</v>
      </c>
      <c r="F5377" s="360">
        <f>'UPAD-BAHAN-ALAT'!$I$13</f>
        <v>140000</v>
      </c>
      <c r="G5377" s="248">
        <f>F5377*E5377</f>
        <v>21000</v>
      </c>
    </row>
    <row r="5378" spans="1:8">
      <c r="A5378" s="294"/>
      <c r="B5378" s="410" t="s">
        <v>751</v>
      </c>
      <c r="C5378" s="247" t="s">
        <v>681</v>
      </c>
      <c r="D5378" s="247"/>
      <c r="E5378" s="372">
        <v>1.4999999999999999E-2</v>
      </c>
      <c r="F5378" s="360">
        <f>'UPAD-BAHAN-ALAT'!$I$15</f>
        <v>150000</v>
      </c>
      <c r="G5378" s="248">
        <f>F5378*E5378</f>
        <v>2250</v>
      </c>
    </row>
    <row r="5379" spans="1:8">
      <c r="A5379" s="294"/>
      <c r="B5379" s="410" t="s">
        <v>683</v>
      </c>
      <c r="C5379" s="247" t="s">
        <v>684</v>
      </c>
      <c r="D5379" s="247" t="s">
        <v>675</v>
      </c>
      <c r="E5379" s="372">
        <v>8.0000000000000004E-4</v>
      </c>
      <c r="F5379" s="360">
        <f>'UPAD-BAHAN-ALAT'!$I$14</f>
        <v>140000</v>
      </c>
      <c r="G5379" s="248">
        <f>F5379*E5379</f>
        <v>112</v>
      </c>
    </row>
    <row r="5380" spans="1:8">
      <c r="A5380" s="294"/>
      <c r="B5380" s="410"/>
      <c r="C5380" s="247"/>
      <c r="D5380" s="247"/>
      <c r="E5380" s="1146" t="s">
        <v>685</v>
      </c>
      <c r="F5380" s="1146"/>
      <c r="G5380" s="248">
        <f>SUM(G5376:G5379)</f>
        <v>25012</v>
      </c>
    </row>
    <row r="5381" spans="1:8">
      <c r="A5381" s="294" t="s">
        <v>686</v>
      </c>
      <c r="B5381" s="410" t="s">
        <v>687</v>
      </c>
      <c r="C5381" s="247"/>
      <c r="D5381" s="247"/>
      <c r="E5381" s="372"/>
      <c r="F5381" s="360"/>
      <c r="G5381" s="248"/>
    </row>
    <row r="5382" spans="1:8">
      <c r="A5382" s="247"/>
      <c r="B5382" s="410" t="s">
        <v>1356</v>
      </c>
      <c r="C5382" s="247"/>
      <c r="D5382" s="247" t="s">
        <v>2647</v>
      </c>
      <c r="E5382" s="372">
        <v>1.1000000000000001</v>
      </c>
      <c r="F5382" s="360">
        <f>'UPAD-BAHAN-ALAT'!$I$290</f>
        <v>105000</v>
      </c>
      <c r="G5382" s="248">
        <f>F5382*E5382</f>
        <v>115500.00000000001</v>
      </c>
    </row>
    <row r="5383" spans="1:8">
      <c r="A5383" s="247"/>
      <c r="B5383" s="410" t="s">
        <v>972</v>
      </c>
      <c r="C5383" s="247"/>
      <c r="D5383" s="247" t="s">
        <v>690</v>
      </c>
      <c r="E5383" s="372">
        <v>0.05</v>
      </c>
      <c r="F5383" s="360">
        <f>'UPAD-BAHAN-ALAT'!$I$158</f>
        <v>10000</v>
      </c>
      <c r="G5383" s="248">
        <f>F5383*E5383</f>
        <v>500</v>
      </c>
    </row>
    <row r="5384" spans="1:8">
      <c r="A5384" s="247"/>
      <c r="B5384" s="295"/>
      <c r="C5384" s="296"/>
      <c r="D5384" s="296"/>
      <c r="E5384" s="1146" t="s">
        <v>702</v>
      </c>
      <c r="F5384" s="1146"/>
      <c r="G5384" s="248">
        <f>SUM(G5382:G5383)</f>
        <v>116000.00000000001</v>
      </c>
    </row>
    <row r="5385" spans="1:8" s="265" customFormat="1">
      <c r="A5385" s="294" t="s">
        <v>703</v>
      </c>
      <c r="B5385" s="1147" t="s">
        <v>3910</v>
      </c>
      <c r="C5385" s="1147"/>
      <c r="D5385" s="1147"/>
      <c r="E5385" s="1147"/>
      <c r="F5385" s="1147"/>
      <c r="G5385" s="255">
        <f>G5380+G5384</f>
        <v>141012</v>
      </c>
    </row>
    <row r="5386" spans="1:8" s="265" customFormat="1">
      <c r="A5386" s="294" t="s">
        <v>706</v>
      </c>
      <c r="B5386" s="1148" t="s">
        <v>876</v>
      </c>
      <c r="C5386" s="1148"/>
      <c r="D5386" s="1148"/>
      <c r="E5386" s="1147" t="s">
        <v>4030</v>
      </c>
      <c r="F5386" s="1147"/>
      <c r="G5386" s="255">
        <f>G5385*0.15</f>
        <v>21151.8</v>
      </c>
    </row>
    <row r="5387" spans="1:8" s="265" customFormat="1">
      <c r="A5387" s="294" t="s">
        <v>708</v>
      </c>
      <c r="B5387" s="1149" t="s">
        <v>3911</v>
      </c>
      <c r="C5387" s="1149"/>
      <c r="D5387" s="1149"/>
      <c r="E5387" s="1149"/>
      <c r="F5387" s="1149"/>
      <c r="G5387" s="255">
        <f>ROUND(SUM(G5385:G5386),2)</f>
        <v>162163.79999999999</v>
      </c>
      <c r="H5387" s="255">
        <f>SUM(G5385:G5386)</f>
        <v>162163.79999999999</v>
      </c>
    </row>
    <row r="5388" spans="1:8">
      <c r="A5388" s="268"/>
      <c r="B5388" s="269"/>
      <c r="C5388" s="268"/>
      <c r="D5388" s="268"/>
      <c r="E5388" s="380"/>
      <c r="F5388" s="365"/>
      <c r="G5388" s="270"/>
      <c r="H5388" s="275"/>
    </row>
    <row r="5389" spans="1:8">
      <c r="A5389" s="285" t="s">
        <v>4322</v>
      </c>
      <c r="B5389" s="250" t="s">
        <v>2754</v>
      </c>
      <c r="C5389" s="252"/>
      <c r="D5389" s="252"/>
      <c r="E5389" s="374"/>
      <c r="F5389" s="361"/>
      <c r="G5389" s="253"/>
      <c r="H5389" s="275"/>
    </row>
    <row r="5390" spans="1:8" s="292" customFormat="1" ht="24.95" customHeight="1">
      <c r="A5390" s="290" t="s">
        <v>1003</v>
      </c>
      <c r="B5390" s="290" t="s">
        <v>1004</v>
      </c>
      <c r="C5390" s="290" t="s">
        <v>1005</v>
      </c>
      <c r="D5390" s="290" t="s">
        <v>1006</v>
      </c>
      <c r="E5390" s="373" t="s">
        <v>1007</v>
      </c>
      <c r="F5390" s="363" t="s">
        <v>2637</v>
      </c>
      <c r="G5390" s="291" t="s">
        <v>2638</v>
      </c>
    </row>
    <row r="5391" spans="1:8">
      <c r="A5391" s="294" t="s">
        <v>671</v>
      </c>
      <c r="B5391" s="410" t="s">
        <v>672</v>
      </c>
      <c r="C5391" s="247"/>
      <c r="D5391" s="247"/>
      <c r="E5391" s="372"/>
      <c r="F5391" s="360"/>
      <c r="G5391" s="248"/>
    </row>
    <row r="5392" spans="1:8">
      <c r="A5392" s="294"/>
      <c r="B5392" s="410" t="s">
        <v>673</v>
      </c>
      <c r="C5392" s="247" t="s">
        <v>674</v>
      </c>
      <c r="D5392" s="247" t="s">
        <v>675</v>
      </c>
      <c r="E5392" s="372">
        <v>1.4999999999999999E-2</v>
      </c>
      <c r="F5392" s="360">
        <f>'UPAD-BAHAN-ALAT'!$I$12</f>
        <v>110000</v>
      </c>
      <c r="G5392" s="248">
        <f>F5392*E5392</f>
        <v>1650</v>
      </c>
    </row>
    <row r="5393" spans="1:8">
      <c r="A5393" s="294"/>
      <c r="B5393" s="410" t="s">
        <v>871</v>
      </c>
      <c r="C5393" s="247" t="s">
        <v>678</v>
      </c>
      <c r="D5393" s="247" t="s">
        <v>675</v>
      </c>
      <c r="E5393" s="372">
        <v>0.15</v>
      </c>
      <c r="F5393" s="360">
        <f>'UPAD-BAHAN-ALAT'!$I$13</f>
        <v>140000</v>
      </c>
      <c r="G5393" s="248">
        <f>F5393*E5393</f>
        <v>21000</v>
      </c>
    </row>
    <row r="5394" spans="1:8">
      <c r="A5394" s="294"/>
      <c r="B5394" s="410" t="s">
        <v>751</v>
      </c>
      <c r="C5394" s="247" t="s">
        <v>681</v>
      </c>
      <c r="D5394" s="247" t="s">
        <v>675</v>
      </c>
      <c r="E5394" s="372">
        <v>1.4999999999999999E-2</v>
      </c>
      <c r="F5394" s="360">
        <f>'UPAD-BAHAN-ALAT'!$I$15</f>
        <v>150000</v>
      </c>
      <c r="G5394" s="248">
        <f>F5394*E5394</f>
        <v>2250</v>
      </c>
    </row>
    <row r="5395" spans="1:8">
      <c r="A5395" s="294"/>
      <c r="B5395" s="410" t="s">
        <v>683</v>
      </c>
      <c r="C5395" s="247" t="s">
        <v>684</v>
      </c>
      <c r="D5395" s="247" t="s">
        <v>675</v>
      </c>
      <c r="E5395" s="372">
        <v>8.0000000000000004E-4</v>
      </c>
      <c r="F5395" s="360">
        <f>'UPAD-BAHAN-ALAT'!$I$14</f>
        <v>140000</v>
      </c>
      <c r="G5395" s="248">
        <f>F5395*E5395</f>
        <v>112</v>
      </c>
    </row>
    <row r="5396" spans="1:8">
      <c r="A5396" s="294"/>
      <c r="B5396" s="410"/>
      <c r="C5396" s="247"/>
      <c r="D5396" s="247"/>
      <c r="E5396" s="1146" t="s">
        <v>685</v>
      </c>
      <c r="F5396" s="1146"/>
      <c r="G5396" s="248">
        <f>SUM(G5392:G5395)</f>
        <v>25012</v>
      </c>
    </row>
    <row r="5397" spans="1:8">
      <c r="A5397" s="294" t="s">
        <v>686</v>
      </c>
      <c r="B5397" s="410" t="s">
        <v>687</v>
      </c>
      <c r="C5397" s="247"/>
      <c r="D5397" s="247"/>
      <c r="E5397" s="372"/>
      <c r="F5397" s="360"/>
      <c r="G5397" s="248"/>
    </row>
    <row r="5398" spans="1:8">
      <c r="A5398" s="294"/>
      <c r="B5398" s="410" t="s">
        <v>1358</v>
      </c>
      <c r="C5398" s="247"/>
      <c r="D5398" s="247" t="s">
        <v>2647</v>
      </c>
      <c r="E5398" s="372">
        <v>1.1000000000000001</v>
      </c>
      <c r="F5398" s="360">
        <f>'UPAD-BAHAN-ALAT'!$I$288</f>
        <v>122500</v>
      </c>
      <c r="G5398" s="248">
        <f>F5398*E5398</f>
        <v>134750</v>
      </c>
    </row>
    <row r="5399" spans="1:8">
      <c r="A5399" s="247"/>
      <c r="B5399" s="410" t="s">
        <v>972</v>
      </c>
      <c r="C5399" s="247"/>
      <c r="D5399" s="247" t="s">
        <v>690</v>
      </c>
      <c r="E5399" s="372">
        <v>0.05</v>
      </c>
      <c r="F5399" s="360">
        <f>'UPAD-BAHAN-ALAT'!$I$158</f>
        <v>10000</v>
      </c>
      <c r="G5399" s="248">
        <f>F5399*E5399</f>
        <v>500</v>
      </c>
    </row>
    <row r="5400" spans="1:8">
      <c r="A5400" s="247"/>
      <c r="B5400" s="295"/>
      <c r="C5400" s="296"/>
      <c r="D5400" s="296"/>
      <c r="E5400" s="1146" t="s">
        <v>702</v>
      </c>
      <c r="F5400" s="1146"/>
      <c r="G5400" s="248">
        <f>SUM(G5398:G5399)</f>
        <v>135250</v>
      </c>
    </row>
    <row r="5401" spans="1:8" s="265" customFormat="1">
      <c r="A5401" s="294" t="s">
        <v>703</v>
      </c>
      <c r="B5401" s="1147" t="s">
        <v>3910</v>
      </c>
      <c r="C5401" s="1147"/>
      <c r="D5401" s="1147"/>
      <c r="E5401" s="1147"/>
      <c r="F5401" s="1147"/>
      <c r="G5401" s="255">
        <f>G5396+G5400</f>
        <v>160262</v>
      </c>
    </row>
    <row r="5402" spans="1:8" s="265" customFormat="1">
      <c r="A5402" s="294" t="s">
        <v>706</v>
      </c>
      <c r="B5402" s="1148" t="s">
        <v>876</v>
      </c>
      <c r="C5402" s="1148"/>
      <c r="D5402" s="1148"/>
      <c r="E5402" s="1147" t="s">
        <v>4030</v>
      </c>
      <c r="F5402" s="1147"/>
      <c r="G5402" s="255">
        <f>G5401*0.15</f>
        <v>24039.3</v>
      </c>
    </row>
    <row r="5403" spans="1:8" s="265" customFormat="1">
      <c r="A5403" s="294" t="s">
        <v>708</v>
      </c>
      <c r="B5403" s="1149" t="s">
        <v>3911</v>
      </c>
      <c r="C5403" s="1149"/>
      <c r="D5403" s="1149"/>
      <c r="E5403" s="1149"/>
      <c r="F5403" s="1149"/>
      <c r="G5403" s="255">
        <f>ROUND(SUM(G5401:G5402),2)</f>
        <v>184301.3</v>
      </c>
      <c r="H5403" s="255">
        <f>SUM(G5401:G5402)</f>
        <v>184301.3</v>
      </c>
    </row>
    <row r="5405" spans="1:8">
      <c r="A5405" s="286" t="s">
        <v>4323</v>
      </c>
      <c r="B5405" s="265" t="s">
        <v>2753</v>
      </c>
    </row>
    <row r="5406" spans="1:8" s="292" customFormat="1" ht="24.95" customHeight="1">
      <c r="A5406" s="290" t="s">
        <v>1003</v>
      </c>
      <c r="B5406" s="290" t="s">
        <v>1004</v>
      </c>
      <c r="C5406" s="290" t="s">
        <v>1005</v>
      </c>
      <c r="D5406" s="290" t="s">
        <v>1006</v>
      </c>
      <c r="E5406" s="373" t="s">
        <v>1007</v>
      </c>
      <c r="F5406" s="363" t="s">
        <v>2637</v>
      </c>
      <c r="G5406" s="291" t="s">
        <v>2638</v>
      </c>
    </row>
    <row r="5407" spans="1:8">
      <c r="A5407" s="294" t="s">
        <v>671</v>
      </c>
      <c r="B5407" s="410" t="s">
        <v>672</v>
      </c>
      <c r="C5407" s="247"/>
      <c r="D5407" s="247"/>
      <c r="E5407" s="372"/>
      <c r="F5407" s="360"/>
      <c r="G5407" s="248"/>
    </row>
    <row r="5408" spans="1:8">
      <c r="A5408" s="294"/>
      <c r="B5408" s="410" t="s">
        <v>673</v>
      </c>
      <c r="C5408" s="247" t="s">
        <v>674</v>
      </c>
      <c r="D5408" s="247" t="s">
        <v>675</v>
      </c>
      <c r="E5408" s="372">
        <v>1.7000000000000001E-2</v>
      </c>
      <c r="F5408" s="360">
        <f>'UPAD-BAHAN-ALAT'!$I$12</f>
        <v>110000</v>
      </c>
      <c r="G5408" s="248">
        <f>F5408*E5408</f>
        <v>1870.0000000000002</v>
      </c>
    </row>
    <row r="5409" spans="1:8">
      <c r="A5409" s="294"/>
      <c r="B5409" s="410" t="s">
        <v>871</v>
      </c>
      <c r="C5409" s="247" t="s">
        <v>678</v>
      </c>
      <c r="D5409" s="247" t="s">
        <v>675</v>
      </c>
      <c r="E5409" s="372">
        <v>0.17</v>
      </c>
      <c r="F5409" s="360">
        <f>'UPAD-BAHAN-ALAT'!$I$13</f>
        <v>140000</v>
      </c>
      <c r="G5409" s="248">
        <f>F5409*E5409</f>
        <v>23800</v>
      </c>
    </row>
    <row r="5410" spans="1:8">
      <c r="A5410" s="294"/>
      <c r="B5410" s="410" t="s">
        <v>751</v>
      </c>
      <c r="C5410" s="247" t="s">
        <v>681</v>
      </c>
      <c r="D5410" s="247" t="s">
        <v>675</v>
      </c>
      <c r="E5410" s="372">
        <v>1.7000000000000001E-2</v>
      </c>
      <c r="F5410" s="360">
        <f>'UPAD-BAHAN-ALAT'!$I$15</f>
        <v>150000</v>
      </c>
      <c r="G5410" s="248">
        <f>F5410*E5410</f>
        <v>2550</v>
      </c>
    </row>
    <row r="5411" spans="1:8">
      <c r="A5411" s="294"/>
      <c r="B5411" s="410" t="s">
        <v>683</v>
      </c>
      <c r="C5411" s="247" t="s">
        <v>684</v>
      </c>
      <c r="D5411" s="247" t="s">
        <v>675</v>
      </c>
      <c r="E5411" s="372">
        <v>8.9999999999999998E-4</v>
      </c>
      <c r="F5411" s="360">
        <f>'UPAD-BAHAN-ALAT'!$I$14</f>
        <v>140000</v>
      </c>
      <c r="G5411" s="248">
        <f>F5411*E5411</f>
        <v>126</v>
      </c>
    </row>
    <row r="5412" spans="1:8">
      <c r="A5412" s="294"/>
      <c r="B5412" s="410"/>
      <c r="C5412" s="247"/>
      <c r="D5412" s="247"/>
      <c r="E5412" s="1146" t="s">
        <v>685</v>
      </c>
      <c r="F5412" s="1146"/>
      <c r="G5412" s="248">
        <f>SUM(G5408:G5411)</f>
        <v>28346</v>
      </c>
    </row>
    <row r="5413" spans="1:8">
      <c r="A5413" s="294" t="s">
        <v>686</v>
      </c>
      <c r="B5413" s="410" t="s">
        <v>687</v>
      </c>
      <c r="C5413" s="247"/>
      <c r="D5413" s="247"/>
      <c r="E5413" s="372"/>
      <c r="F5413" s="360"/>
      <c r="G5413" s="248"/>
    </row>
    <row r="5414" spans="1:8">
      <c r="A5414" s="247"/>
      <c r="B5414" s="410" t="s">
        <v>1360</v>
      </c>
      <c r="C5414" s="247"/>
      <c r="D5414" s="247" t="s">
        <v>2647</v>
      </c>
      <c r="E5414" s="372">
        <v>1.1000000000000001</v>
      </c>
      <c r="F5414" s="360">
        <f>'UPAD-BAHAN-ALAT'!$I$291</f>
        <v>270000</v>
      </c>
      <c r="G5414" s="248">
        <f>F5414*E5414</f>
        <v>297000</v>
      </c>
    </row>
    <row r="5415" spans="1:8">
      <c r="A5415" s="247"/>
      <c r="B5415" s="410" t="s">
        <v>972</v>
      </c>
      <c r="C5415" s="247"/>
      <c r="D5415" s="247" t="s">
        <v>690</v>
      </c>
      <c r="E5415" s="372">
        <v>7.0000000000000007E-2</v>
      </c>
      <c r="F5415" s="360">
        <f>'UPAD-BAHAN-ALAT'!$I$158</f>
        <v>10000</v>
      </c>
      <c r="G5415" s="248">
        <f>F5415*E5415</f>
        <v>700.00000000000011</v>
      </c>
    </row>
    <row r="5416" spans="1:8">
      <c r="A5416" s="247"/>
      <c r="B5416" s="295"/>
      <c r="C5416" s="296"/>
      <c r="D5416" s="296"/>
      <c r="E5416" s="1146" t="s">
        <v>702</v>
      </c>
      <c r="F5416" s="1146"/>
      <c r="G5416" s="248">
        <f>SUM(G5414:G5415)</f>
        <v>297700</v>
      </c>
    </row>
    <row r="5417" spans="1:8" s="265" customFormat="1">
      <c r="A5417" s="294" t="s">
        <v>703</v>
      </c>
      <c r="B5417" s="1147" t="s">
        <v>3910</v>
      </c>
      <c r="C5417" s="1147"/>
      <c r="D5417" s="1147"/>
      <c r="E5417" s="1147"/>
      <c r="F5417" s="1147"/>
      <c r="G5417" s="255">
        <f>G5412+G5416</f>
        <v>326046</v>
      </c>
    </row>
    <row r="5418" spans="1:8" s="265" customFormat="1">
      <c r="A5418" s="294" t="s">
        <v>706</v>
      </c>
      <c r="B5418" s="1148" t="s">
        <v>876</v>
      </c>
      <c r="C5418" s="1148"/>
      <c r="D5418" s="1148"/>
      <c r="E5418" s="1147" t="s">
        <v>4030</v>
      </c>
      <c r="F5418" s="1147"/>
      <c r="G5418" s="255">
        <f>G5417*0.15</f>
        <v>48906.9</v>
      </c>
    </row>
    <row r="5419" spans="1:8" s="265" customFormat="1">
      <c r="A5419" s="294" t="s">
        <v>708</v>
      </c>
      <c r="B5419" s="1149" t="s">
        <v>3911</v>
      </c>
      <c r="C5419" s="1149"/>
      <c r="D5419" s="1149"/>
      <c r="E5419" s="1149"/>
      <c r="F5419" s="1149"/>
      <c r="G5419" s="255">
        <f>ROUND(SUM(G5417:G5418),2)</f>
        <v>374952.9</v>
      </c>
      <c r="H5419" s="255">
        <f>SUM(G5417:G5418)</f>
        <v>374952.9</v>
      </c>
    </row>
    <row r="5420" spans="1:8">
      <c r="A5420" s="268"/>
      <c r="B5420" s="269"/>
      <c r="C5420" s="268"/>
      <c r="D5420" s="268"/>
      <c r="E5420" s="380"/>
      <c r="F5420" s="365"/>
      <c r="G5420" s="270"/>
      <c r="H5420" s="275"/>
    </row>
    <row r="5421" spans="1:8">
      <c r="A5421" s="285" t="s">
        <v>4324</v>
      </c>
      <c r="B5421" s="250" t="s">
        <v>4538</v>
      </c>
      <c r="C5421" s="252"/>
      <c r="D5421" s="252"/>
      <c r="E5421" s="374"/>
      <c r="F5421" s="361"/>
      <c r="G5421" s="253"/>
      <c r="H5421" s="275"/>
    </row>
    <row r="5422" spans="1:8" s="292" customFormat="1" ht="24.95" customHeight="1">
      <c r="A5422" s="290" t="s">
        <v>1003</v>
      </c>
      <c r="B5422" s="290" t="s">
        <v>1004</v>
      </c>
      <c r="C5422" s="290" t="s">
        <v>1005</v>
      </c>
      <c r="D5422" s="290" t="s">
        <v>1006</v>
      </c>
      <c r="E5422" s="373" t="s">
        <v>1007</v>
      </c>
      <c r="F5422" s="363" t="s">
        <v>2637</v>
      </c>
      <c r="G5422" s="291" t="s">
        <v>2638</v>
      </c>
    </row>
    <row r="5423" spans="1:8">
      <c r="A5423" s="294" t="s">
        <v>671</v>
      </c>
      <c r="B5423" s="410" t="s">
        <v>672</v>
      </c>
      <c r="C5423" s="247"/>
      <c r="D5423" s="247"/>
      <c r="E5423" s="372"/>
      <c r="F5423" s="360"/>
      <c r="G5423" s="248"/>
    </row>
    <row r="5424" spans="1:8">
      <c r="A5424" s="294"/>
      <c r="B5424" s="410" t="s">
        <v>673</v>
      </c>
      <c r="C5424" s="247" t="s">
        <v>674</v>
      </c>
      <c r="D5424" s="247" t="s">
        <v>675</v>
      </c>
      <c r="E5424" s="372">
        <v>2.5000000000000001E-2</v>
      </c>
      <c r="F5424" s="360">
        <f>'UPAD-BAHAN-ALAT'!$I$12</f>
        <v>110000</v>
      </c>
      <c r="G5424" s="248">
        <f>F5424*E5424</f>
        <v>2750</v>
      </c>
    </row>
    <row r="5425" spans="1:8">
      <c r="A5425" s="294"/>
      <c r="B5425" s="410" t="s">
        <v>871</v>
      </c>
      <c r="C5425" s="247" t="s">
        <v>678</v>
      </c>
      <c r="D5425" s="247" t="s">
        <v>675</v>
      </c>
      <c r="E5425" s="372">
        <v>0.25</v>
      </c>
      <c r="F5425" s="360">
        <f>'UPAD-BAHAN-ALAT'!$I$13</f>
        <v>140000</v>
      </c>
      <c r="G5425" s="248">
        <f>F5425*E5425</f>
        <v>35000</v>
      </c>
    </row>
    <row r="5426" spans="1:8">
      <c r="A5426" s="294"/>
      <c r="B5426" s="410" t="s">
        <v>751</v>
      </c>
      <c r="C5426" s="247" t="s">
        <v>681</v>
      </c>
      <c r="D5426" s="247" t="s">
        <v>675</v>
      </c>
      <c r="E5426" s="372">
        <v>2.5000000000000001E-2</v>
      </c>
      <c r="F5426" s="360">
        <f>'UPAD-BAHAN-ALAT'!$I$15</f>
        <v>150000</v>
      </c>
      <c r="G5426" s="248">
        <f>F5426*E5426</f>
        <v>3750</v>
      </c>
    </row>
    <row r="5427" spans="1:8">
      <c r="A5427" s="294"/>
      <c r="B5427" s="410" t="s">
        <v>683</v>
      </c>
      <c r="C5427" s="247" t="s">
        <v>684</v>
      </c>
      <c r="D5427" s="247" t="s">
        <v>675</v>
      </c>
      <c r="E5427" s="372">
        <v>1.2999999999999999E-3</v>
      </c>
      <c r="F5427" s="360">
        <f>'UPAD-BAHAN-ALAT'!$I$14</f>
        <v>140000</v>
      </c>
      <c r="G5427" s="248">
        <f>F5427*E5427</f>
        <v>182</v>
      </c>
    </row>
    <row r="5428" spans="1:8">
      <c r="A5428" s="294"/>
      <c r="B5428" s="410"/>
      <c r="C5428" s="247"/>
      <c r="D5428" s="247"/>
      <c r="E5428" s="1146" t="s">
        <v>685</v>
      </c>
      <c r="F5428" s="1146"/>
      <c r="G5428" s="248">
        <f>SUM(G5424:G5427)</f>
        <v>41682</v>
      </c>
    </row>
    <row r="5429" spans="1:8">
      <c r="A5429" s="294" t="s">
        <v>686</v>
      </c>
      <c r="B5429" s="410" t="s">
        <v>687</v>
      </c>
      <c r="C5429" s="247"/>
      <c r="D5429" s="247"/>
      <c r="E5429" s="372"/>
      <c r="F5429" s="360"/>
      <c r="G5429" s="248"/>
    </row>
    <row r="5430" spans="1:8">
      <c r="A5430" s="247"/>
      <c r="B5430" s="410" t="s">
        <v>1361</v>
      </c>
      <c r="C5430" s="247"/>
      <c r="D5430" s="247" t="s">
        <v>2647</v>
      </c>
      <c r="E5430" s="372">
        <v>1.1000000000000001</v>
      </c>
      <c r="F5430" s="360">
        <f>'UPAD-BAHAN-ALAT'!$I$293</f>
        <v>800000</v>
      </c>
      <c r="G5430" s="248">
        <f>F5430*E5430</f>
        <v>880000.00000000012</v>
      </c>
    </row>
    <row r="5431" spans="1:8">
      <c r="A5431" s="247"/>
      <c r="B5431" s="410" t="s">
        <v>972</v>
      </c>
      <c r="C5431" s="247"/>
      <c r="D5431" s="247" t="s">
        <v>690</v>
      </c>
      <c r="E5431" s="372">
        <v>7.0000000000000007E-2</v>
      </c>
      <c r="F5431" s="360">
        <f>'UPAD-BAHAN-ALAT'!$I$158</f>
        <v>10000</v>
      </c>
      <c r="G5431" s="248">
        <f>F5431*E5431</f>
        <v>700.00000000000011</v>
      </c>
    </row>
    <row r="5432" spans="1:8">
      <c r="A5432" s="247"/>
      <c r="B5432" s="295"/>
      <c r="C5432" s="296"/>
      <c r="D5432" s="296"/>
      <c r="E5432" s="1146" t="s">
        <v>702</v>
      </c>
      <c r="F5432" s="1146"/>
      <c r="G5432" s="248">
        <f>SUM(G5430:G5431)</f>
        <v>880700.00000000012</v>
      </c>
    </row>
    <row r="5433" spans="1:8" s="265" customFormat="1">
      <c r="A5433" s="294" t="s">
        <v>703</v>
      </c>
      <c r="B5433" s="1147" t="s">
        <v>3910</v>
      </c>
      <c r="C5433" s="1147"/>
      <c r="D5433" s="1147"/>
      <c r="E5433" s="1147"/>
      <c r="F5433" s="1147"/>
      <c r="G5433" s="255">
        <f>G5428+G5432</f>
        <v>922382.00000000012</v>
      </c>
    </row>
    <row r="5434" spans="1:8" s="265" customFormat="1">
      <c r="A5434" s="294" t="s">
        <v>706</v>
      </c>
      <c r="B5434" s="1148" t="s">
        <v>876</v>
      </c>
      <c r="C5434" s="1148"/>
      <c r="D5434" s="1148"/>
      <c r="E5434" s="1147" t="s">
        <v>4030</v>
      </c>
      <c r="F5434" s="1147"/>
      <c r="G5434" s="255">
        <f>G5433*0.15</f>
        <v>138357.30000000002</v>
      </c>
    </row>
    <row r="5435" spans="1:8" s="265" customFormat="1">
      <c r="A5435" s="294" t="s">
        <v>708</v>
      </c>
      <c r="B5435" s="1149" t="s">
        <v>3911</v>
      </c>
      <c r="C5435" s="1149"/>
      <c r="D5435" s="1149"/>
      <c r="E5435" s="1149"/>
      <c r="F5435" s="1149"/>
      <c r="G5435" s="255">
        <f>ROUND(SUM(G5433:G5434),2)</f>
        <v>1060739.3</v>
      </c>
      <c r="H5435" s="255">
        <f>SUM(G5433:G5434)</f>
        <v>1060739.3</v>
      </c>
    </row>
    <row r="5437" spans="1:8">
      <c r="A5437" s="286" t="s">
        <v>4325</v>
      </c>
      <c r="B5437" s="265" t="s">
        <v>4539</v>
      </c>
    </row>
    <row r="5438" spans="1:8" s="292" customFormat="1" ht="24.95" customHeight="1">
      <c r="A5438" s="290" t="s">
        <v>1003</v>
      </c>
      <c r="B5438" s="290" t="s">
        <v>1004</v>
      </c>
      <c r="C5438" s="290" t="s">
        <v>1005</v>
      </c>
      <c r="D5438" s="290" t="s">
        <v>1006</v>
      </c>
      <c r="E5438" s="373" t="s">
        <v>1007</v>
      </c>
      <c r="F5438" s="363" t="s">
        <v>2637</v>
      </c>
      <c r="G5438" s="291" t="s">
        <v>2638</v>
      </c>
    </row>
    <row r="5439" spans="1:8">
      <c r="A5439" s="294" t="s">
        <v>671</v>
      </c>
      <c r="B5439" s="410" t="s">
        <v>672</v>
      </c>
      <c r="C5439" s="247"/>
      <c r="D5439" s="247"/>
      <c r="E5439" s="372"/>
      <c r="F5439" s="360"/>
      <c r="G5439" s="248"/>
    </row>
    <row r="5440" spans="1:8">
      <c r="A5440" s="294"/>
      <c r="B5440" s="410" t="s">
        <v>673</v>
      </c>
      <c r="C5440" s="247" t="s">
        <v>674</v>
      </c>
      <c r="D5440" s="247" t="s">
        <v>675</v>
      </c>
      <c r="E5440" s="372">
        <v>1.4999999999999999E-2</v>
      </c>
      <c r="F5440" s="360">
        <f>'UPAD-BAHAN-ALAT'!$I$12</f>
        <v>110000</v>
      </c>
      <c r="G5440" s="248">
        <f>F5440*E5440</f>
        <v>1650</v>
      </c>
    </row>
    <row r="5441" spans="1:8">
      <c r="A5441" s="294"/>
      <c r="B5441" s="410" t="s">
        <v>871</v>
      </c>
      <c r="C5441" s="247" t="s">
        <v>678</v>
      </c>
      <c r="D5441" s="247" t="s">
        <v>675</v>
      </c>
      <c r="E5441" s="372">
        <v>0.15</v>
      </c>
      <c r="F5441" s="360">
        <f>'UPAD-BAHAN-ALAT'!$I$13</f>
        <v>140000</v>
      </c>
      <c r="G5441" s="248">
        <f>F5441*E5441</f>
        <v>21000</v>
      </c>
    </row>
    <row r="5442" spans="1:8">
      <c r="A5442" s="294"/>
      <c r="B5442" s="410" t="s">
        <v>751</v>
      </c>
      <c r="C5442" s="247" t="s">
        <v>681</v>
      </c>
      <c r="D5442" s="247" t="s">
        <v>675</v>
      </c>
      <c r="E5442" s="372">
        <v>1.4999999999999999E-2</v>
      </c>
      <c r="F5442" s="360">
        <f>'UPAD-BAHAN-ALAT'!$I$15</f>
        <v>150000</v>
      </c>
      <c r="G5442" s="248">
        <f>F5442*E5442</f>
        <v>2250</v>
      </c>
    </row>
    <row r="5443" spans="1:8">
      <c r="A5443" s="294"/>
      <c r="B5443" s="410" t="s">
        <v>683</v>
      </c>
      <c r="C5443" s="247" t="s">
        <v>684</v>
      </c>
      <c r="D5443" s="247" t="s">
        <v>675</v>
      </c>
      <c r="E5443" s="372">
        <v>8.0000000000000002E-3</v>
      </c>
      <c r="F5443" s="360">
        <f>'UPAD-BAHAN-ALAT'!$I$14</f>
        <v>140000</v>
      </c>
      <c r="G5443" s="248">
        <f>F5443*E5443</f>
        <v>1120</v>
      </c>
    </row>
    <row r="5444" spans="1:8">
      <c r="A5444" s="294"/>
      <c r="B5444" s="410"/>
      <c r="C5444" s="247"/>
      <c r="D5444" s="247"/>
      <c r="E5444" s="1146" t="s">
        <v>685</v>
      </c>
      <c r="F5444" s="1146"/>
      <c r="G5444" s="248">
        <f>SUM(G5440:G5443)</f>
        <v>26020</v>
      </c>
    </row>
    <row r="5445" spans="1:8">
      <c r="A5445" s="294" t="s">
        <v>686</v>
      </c>
      <c r="B5445" s="410" t="s">
        <v>687</v>
      </c>
      <c r="C5445" s="247"/>
      <c r="D5445" s="247"/>
      <c r="E5445" s="372"/>
      <c r="F5445" s="360"/>
      <c r="G5445" s="248"/>
    </row>
    <row r="5446" spans="1:8">
      <c r="A5446" s="294"/>
      <c r="B5446" s="410" t="s">
        <v>1362</v>
      </c>
      <c r="C5446" s="247"/>
      <c r="D5446" s="247" t="s">
        <v>2647</v>
      </c>
      <c r="E5446" s="372">
        <v>1.1000000000000001</v>
      </c>
      <c r="F5446" s="360">
        <f>'UPAD-BAHAN-ALAT'!$I$294</f>
        <v>180000</v>
      </c>
      <c r="G5446" s="248">
        <f>F5446*E5446</f>
        <v>198000.00000000003</v>
      </c>
    </row>
    <row r="5447" spans="1:8">
      <c r="A5447" s="247"/>
      <c r="B5447" s="295"/>
      <c r="C5447" s="296"/>
      <c r="D5447" s="296"/>
      <c r="E5447" s="1146" t="s">
        <v>702</v>
      </c>
      <c r="F5447" s="1146"/>
      <c r="G5447" s="248">
        <f>SUM(G5446)</f>
        <v>198000.00000000003</v>
      </c>
    </row>
    <row r="5448" spans="1:8" s="265" customFormat="1">
      <c r="A5448" s="294" t="s">
        <v>703</v>
      </c>
      <c r="B5448" s="1147" t="s">
        <v>3910</v>
      </c>
      <c r="C5448" s="1147"/>
      <c r="D5448" s="1147"/>
      <c r="E5448" s="1147"/>
      <c r="F5448" s="1147"/>
      <c r="G5448" s="255">
        <f>G5444+G5447</f>
        <v>224020.00000000003</v>
      </c>
    </row>
    <row r="5449" spans="1:8" s="265" customFormat="1">
      <c r="A5449" s="294" t="s">
        <v>706</v>
      </c>
      <c r="B5449" s="1148" t="s">
        <v>876</v>
      </c>
      <c r="C5449" s="1148"/>
      <c r="D5449" s="1148"/>
      <c r="E5449" s="1147" t="s">
        <v>4030</v>
      </c>
      <c r="F5449" s="1147"/>
      <c r="G5449" s="255">
        <f>G5448*0.15</f>
        <v>33603</v>
      </c>
    </row>
    <row r="5450" spans="1:8" s="265" customFormat="1">
      <c r="A5450" s="294" t="s">
        <v>708</v>
      </c>
      <c r="B5450" s="1149" t="s">
        <v>3911</v>
      </c>
      <c r="C5450" s="1149"/>
      <c r="D5450" s="1149"/>
      <c r="E5450" s="1149"/>
      <c r="F5450" s="1149"/>
      <c r="G5450" s="255">
        <f>ROUND(SUM(G5448:G5449),2)</f>
        <v>257623</v>
      </c>
      <c r="H5450" s="255">
        <f>SUM(G5448:G5449)</f>
        <v>257623.00000000003</v>
      </c>
    </row>
    <row r="5451" spans="1:8">
      <c r="A5451" s="268"/>
      <c r="B5451" s="269"/>
      <c r="C5451" s="268"/>
      <c r="D5451" s="268"/>
      <c r="E5451" s="380"/>
      <c r="F5451" s="365"/>
      <c r="G5451" s="270"/>
      <c r="H5451" s="275"/>
    </row>
    <row r="5452" spans="1:8">
      <c r="A5452" s="285" t="s">
        <v>4326</v>
      </c>
      <c r="B5452" s="250" t="s">
        <v>3652</v>
      </c>
      <c r="C5452" s="252"/>
      <c r="D5452" s="252"/>
      <c r="E5452" s="374"/>
      <c r="F5452" s="361"/>
      <c r="G5452" s="253"/>
      <c r="H5452" s="275"/>
    </row>
    <row r="5453" spans="1:8" s="292" customFormat="1" ht="24.95" customHeight="1">
      <c r="A5453" s="290" t="s">
        <v>1003</v>
      </c>
      <c r="B5453" s="290" t="s">
        <v>1004</v>
      </c>
      <c r="C5453" s="290" t="s">
        <v>1005</v>
      </c>
      <c r="D5453" s="290" t="s">
        <v>1006</v>
      </c>
      <c r="E5453" s="373" t="s">
        <v>1007</v>
      </c>
      <c r="F5453" s="363" t="s">
        <v>2637</v>
      </c>
      <c r="G5453" s="291" t="s">
        <v>2638</v>
      </c>
    </row>
    <row r="5454" spans="1:8">
      <c r="A5454" s="294" t="s">
        <v>671</v>
      </c>
      <c r="B5454" s="410" t="s">
        <v>672</v>
      </c>
      <c r="C5454" s="247"/>
      <c r="D5454" s="247"/>
      <c r="E5454" s="372"/>
      <c r="F5454" s="360"/>
      <c r="G5454" s="248"/>
    </row>
    <row r="5455" spans="1:8">
      <c r="A5455" s="294"/>
      <c r="B5455" s="410" t="s">
        <v>673</v>
      </c>
      <c r="C5455" s="247" t="s">
        <v>674</v>
      </c>
      <c r="D5455" s="247" t="s">
        <v>675</v>
      </c>
      <c r="E5455" s="372">
        <v>1.7000000000000001E-2</v>
      </c>
      <c r="F5455" s="360">
        <f>'UPAD-BAHAN-ALAT'!$I$12</f>
        <v>110000</v>
      </c>
      <c r="G5455" s="248">
        <f>F5455*E5455</f>
        <v>1870.0000000000002</v>
      </c>
    </row>
    <row r="5456" spans="1:8">
      <c r="A5456" s="294"/>
      <c r="B5456" s="410" t="s">
        <v>871</v>
      </c>
      <c r="C5456" s="247" t="s">
        <v>678</v>
      </c>
      <c r="D5456" s="247" t="s">
        <v>675</v>
      </c>
      <c r="E5456" s="372">
        <v>0.17</v>
      </c>
      <c r="F5456" s="360">
        <f>'UPAD-BAHAN-ALAT'!$I$13</f>
        <v>140000</v>
      </c>
      <c r="G5456" s="248">
        <f>F5456*E5456</f>
        <v>23800</v>
      </c>
    </row>
    <row r="5457" spans="1:8">
      <c r="A5457" s="294"/>
      <c r="B5457" s="410" t="s">
        <v>751</v>
      </c>
      <c r="C5457" s="247" t="s">
        <v>681</v>
      </c>
      <c r="D5457" s="247" t="s">
        <v>675</v>
      </c>
      <c r="E5457" s="372">
        <v>1.7000000000000001E-2</v>
      </c>
      <c r="F5457" s="360">
        <f>'UPAD-BAHAN-ALAT'!$I$15</f>
        <v>150000</v>
      </c>
      <c r="G5457" s="248">
        <f>F5457*E5457</f>
        <v>2550</v>
      </c>
    </row>
    <row r="5458" spans="1:8">
      <c r="A5458" s="294"/>
      <c r="B5458" s="410" t="s">
        <v>683</v>
      </c>
      <c r="C5458" s="247" t="s">
        <v>684</v>
      </c>
      <c r="D5458" s="247" t="s">
        <v>675</v>
      </c>
      <c r="E5458" s="372">
        <v>8.9999999999999993E-3</v>
      </c>
      <c r="F5458" s="360">
        <f>'UPAD-BAHAN-ALAT'!$I$14</f>
        <v>140000</v>
      </c>
      <c r="G5458" s="248">
        <f>F5458*E5458</f>
        <v>1260</v>
      </c>
    </row>
    <row r="5459" spans="1:8">
      <c r="A5459" s="294"/>
      <c r="B5459" s="410"/>
      <c r="C5459" s="247"/>
      <c r="D5459" s="247"/>
      <c r="E5459" s="1146" t="s">
        <v>685</v>
      </c>
      <c r="F5459" s="1146"/>
      <c r="G5459" s="248">
        <f>SUM(G5455:G5458)</f>
        <v>29480</v>
      </c>
    </row>
    <row r="5460" spans="1:8">
      <c r="A5460" s="294" t="s">
        <v>686</v>
      </c>
      <c r="B5460" s="410" t="s">
        <v>687</v>
      </c>
      <c r="C5460" s="247"/>
      <c r="D5460" s="247"/>
      <c r="E5460" s="372"/>
      <c r="F5460" s="360"/>
      <c r="G5460" s="248"/>
    </row>
    <row r="5461" spans="1:8">
      <c r="A5461" s="294"/>
      <c r="B5461" s="410" t="s">
        <v>4635</v>
      </c>
      <c r="C5461" s="247"/>
      <c r="D5461" s="247" t="s">
        <v>2647</v>
      </c>
      <c r="E5461" s="372">
        <v>1.1000000000000001</v>
      </c>
      <c r="F5461" s="360">
        <f>'UPAD-BAHAN-ALAT'!$I$294</f>
        <v>180000</v>
      </c>
      <c r="G5461" s="248">
        <f>F5461*E5461</f>
        <v>198000.00000000003</v>
      </c>
    </row>
    <row r="5462" spans="1:8">
      <c r="A5462" s="247"/>
      <c r="B5462" s="295"/>
      <c r="C5462" s="296"/>
      <c r="D5462" s="296"/>
      <c r="E5462" s="1146" t="s">
        <v>702</v>
      </c>
      <c r="F5462" s="1146"/>
      <c r="G5462" s="248">
        <f>SUM(G5461)</f>
        <v>198000.00000000003</v>
      </c>
    </row>
    <row r="5463" spans="1:8" s="265" customFormat="1">
      <c r="A5463" s="294" t="s">
        <v>703</v>
      </c>
      <c r="B5463" s="1147" t="s">
        <v>3910</v>
      </c>
      <c r="C5463" s="1147"/>
      <c r="D5463" s="1147"/>
      <c r="E5463" s="1147"/>
      <c r="F5463" s="1147"/>
      <c r="G5463" s="255">
        <f>G5459+G5462</f>
        <v>227480.00000000003</v>
      </c>
    </row>
    <row r="5464" spans="1:8" s="265" customFormat="1">
      <c r="A5464" s="294" t="s">
        <v>706</v>
      </c>
      <c r="B5464" s="1148" t="s">
        <v>876</v>
      </c>
      <c r="C5464" s="1148"/>
      <c r="D5464" s="1148"/>
      <c r="E5464" s="1147" t="s">
        <v>4030</v>
      </c>
      <c r="F5464" s="1147"/>
      <c r="G5464" s="255">
        <f>G5463*0.15</f>
        <v>34122</v>
      </c>
    </row>
    <row r="5465" spans="1:8" s="265" customFormat="1">
      <c r="A5465" s="294" t="s">
        <v>708</v>
      </c>
      <c r="B5465" s="1149" t="s">
        <v>3911</v>
      </c>
      <c r="C5465" s="1149"/>
      <c r="D5465" s="1149"/>
      <c r="E5465" s="1149"/>
      <c r="F5465" s="1149"/>
      <c r="G5465" s="255">
        <f>ROUND(SUM(G5463:G5464),2)</f>
        <v>261602</v>
      </c>
      <c r="H5465" s="255">
        <f>SUM(G5463:G5464)</f>
        <v>261602.00000000003</v>
      </c>
    </row>
    <row r="5467" spans="1:8">
      <c r="A5467" s="600" t="s">
        <v>4327</v>
      </c>
      <c r="B5467" s="265" t="s">
        <v>2752</v>
      </c>
    </row>
    <row r="5468" spans="1:8">
      <c r="A5468" s="600" t="s">
        <v>4328</v>
      </c>
      <c r="B5468" s="265" t="s">
        <v>2751</v>
      </c>
    </row>
    <row r="5469" spans="1:8" s="292" customFormat="1" ht="24.95" customHeight="1">
      <c r="A5469" s="290" t="s">
        <v>1003</v>
      </c>
      <c r="B5469" s="290" t="s">
        <v>1004</v>
      </c>
      <c r="C5469" s="290" t="s">
        <v>1005</v>
      </c>
      <c r="D5469" s="290" t="s">
        <v>1006</v>
      </c>
      <c r="E5469" s="373" t="s">
        <v>1007</v>
      </c>
      <c r="F5469" s="363" t="s">
        <v>2637</v>
      </c>
      <c r="G5469" s="291" t="s">
        <v>2638</v>
      </c>
    </row>
    <row r="5470" spans="1:8">
      <c r="A5470" s="294" t="s">
        <v>671</v>
      </c>
      <c r="B5470" s="410" t="s">
        <v>672</v>
      </c>
      <c r="C5470" s="247"/>
      <c r="D5470" s="247"/>
      <c r="E5470" s="372"/>
      <c r="F5470" s="360"/>
      <c r="G5470" s="248"/>
    </row>
    <row r="5471" spans="1:8">
      <c r="A5471" s="294"/>
      <c r="B5471" s="410" t="s">
        <v>673</v>
      </c>
      <c r="C5471" s="247" t="s">
        <v>674</v>
      </c>
      <c r="D5471" s="247" t="s">
        <v>675</v>
      </c>
      <c r="E5471" s="372">
        <v>0.15</v>
      </c>
      <c r="F5471" s="360">
        <f>'UPAD-BAHAN-ALAT'!$I$12</f>
        <v>110000</v>
      </c>
      <c r="G5471" s="248">
        <f>F5471*E5471</f>
        <v>16500</v>
      </c>
    </row>
    <row r="5472" spans="1:8">
      <c r="A5472" s="294"/>
      <c r="B5472" s="410" t="s">
        <v>683</v>
      </c>
      <c r="C5472" s="247" t="s">
        <v>684</v>
      </c>
      <c r="D5472" s="247" t="s">
        <v>675</v>
      </c>
      <c r="E5472" s="372">
        <v>3.0000000000000001E-3</v>
      </c>
      <c r="F5472" s="360">
        <f>'UPAD-BAHAN-ALAT'!$I$14</f>
        <v>140000</v>
      </c>
      <c r="G5472" s="248">
        <f>F5472*E5472</f>
        <v>420</v>
      </c>
    </row>
    <row r="5473" spans="1:8">
      <c r="A5473" s="294"/>
      <c r="B5473" s="410"/>
      <c r="C5473" s="247"/>
      <c r="D5473" s="247"/>
      <c r="E5473" s="1146" t="s">
        <v>685</v>
      </c>
      <c r="F5473" s="1146"/>
      <c r="G5473" s="248">
        <f>SUM(G5471:G5472)</f>
        <v>16920</v>
      </c>
    </row>
    <row r="5474" spans="1:8">
      <c r="A5474" s="294" t="s">
        <v>686</v>
      </c>
      <c r="B5474" s="410" t="s">
        <v>687</v>
      </c>
      <c r="C5474" s="247"/>
      <c r="D5474" s="247"/>
      <c r="E5474" s="372"/>
      <c r="F5474" s="360"/>
      <c r="G5474" s="248"/>
    </row>
    <row r="5475" spans="1:8">
      <c r="A5475" s="294"/>
      <c r="B5475" s="410" t="s">
        <v>1366</v>
      </c>
      <c r="C5475" s="247"/>
      <c r="D5475" s="247" t="s">
        <v>690</v>
      </c>
      <c r="E5475" s="372">
        <v>0.05</v>
      </c>
      <c r="F5475" s="360">
        <f>'UPAD-BAHAN-ALAT'!$I$380</f>
        <v>18000</v>
      </c>
      <c r="G5475" s="248">
        <f>F5475*E5475</f>
        <v>900</v>
      </c>
    </row>
    <row r="5476" spans="1:8">
      <c r="A5476" s="247"/>
      <c r="B5476" s="410"/>
      <c r="C5476" s="247"/>
      <c r="D5476" s="247"/>
      <c r="E5476" s="1155" t="s">
        <v>702</v>
      </c>
      <c r="F5476" s="1155"/>
      <c r="G5476" s="248">
        <f>SUM(G5475)</f>
        <v>900</v>
      </c>
    </row>
    <row r="5477" spans="1:8" s="265" customFormat="1">
      <c r="A5477" s="294" t="s">
        <v>703</v>
      </c>
      <c r="B5477" s="1151" t="s">
        <v>3910</v>
      </c>
      <c r="C5477" s="1151"/>
      <c r="D5477" s="1151"/>
      <c r="E5477" s="1151"/>
      <c r="F5477" s="1151"/>
      <c r="G5477" s="255">
        <f>G5473+G5476</f>
        <v>17820</v>
      </c>
    </row>
    <row r="5478" spans="1:8" s="265" customFormat="1">
      <c r="A5478" s="294" t="s">
        <v>706</v>
      </c>
      <c r="B5478" s="1148" t="s">
        <v>876</v>
      </c>
      <c r="C5478" s="1148"/>
      <c r="D5478" s="1148"/>
      <c r="E5478" s="1147" t="s">
        <v>4030</v>
      </c>
      <c r="F5478" s="1147"/>
      <c r="G5478" s="255">
        <f>G5477*0.15</f>
        <v>2673</v>
      </c>
    </row>
    <row r="5479" spans="1:8" s="265" customFormat="1">
      <c r="A5479" s="294" t="s">
        <v>708</v>
      </c>
      <c r="B5479" s="1149" t="s">
        <v>3911</v>
      </c>
      <c r="C5479" s="1149"/>
      <c r="D5479" s="1149"/>
      <c r="E5479" s="1149"/>
      <c r="F5479" s="1149"/>
      <c r="G5479" s="255">
        <f>ROUND(SUM(G5477:G5478),2)</f>
        <v>20493</v>
      </c>
      <c r="H5479" s="255">
        <f>SUM(G5477:G5478)</f>
        <v>20493</v>
      </c>
    </row>
    <row r="5480" spans="1:8">
      <c r="A5480" s="268"/>
      <c r="B5480" s="269"/>
      <c r="C5480" s="268"/>
      <c r="D5480" s="268"/>
      <c r="E5480" s="380"/>
      <c r="F5480" s="365"/>
      <c r="G5480" s="270"/>
    </row>
    <row r="5481" spans="1:8">
      <c r="A5481" s="285" t="s">
        <v>4329</v>
      </c>
      <c r="B5481" s="250" t="s">
        <v>2750</v>
      </c>
      <c r="C5481" s="252"/>
      <c r="D5481" s="252"/>
      <c r="E5481" s="374"/>
      <c r="F5481" s="361"/>
      <c r="G5481" s="253"/>
    </row>
    <row r="5482" spans="1:8" s="292" customFormat="1" ht="24.95" customHeight="1">
      <c r="A5482" s="290" t="s">
        <v>1003</v>
      </c>
      <c r="B5482" s="290" t="s">
        <v>1004</v>
      </c>
      <c r="C5482" s="290" t="s">
        <v>1005</v>
      </c>
      <c r="D5482" s="290" t="s">
        <v>1006</v>
      </c>
      <c r="E5482" s="373" t="s">
        <v>1007</v>
      </c>
      <c r="F5482" s="363" t="s">
        <v>2637</v>
      </c>
      <c r="G5482" s="291" t="s">
        <v>2638</v>
      </c>
    </row>
    <row r="5483" spans="1:8">
      <c r="A5483" s="294" t="s">
        <v>671</v>
      </c>
      <c r="B5483" s="410" t="s">
        <v>672</v>
      </c>
      <c r="C5483" s="247"/>
      <c r="D5483" s="247"/>
      <c r="E5483" s="372"/>
      <c r="F5483" s="360"/>
      <c r="G5483" s="248"/>
    </row>
    <row r="5484" spans="1:8">
      <c r="A5484" s="294"/>
      <c r="B5484" s="410" t="s">
        <v>673</v>
      </c>
      <c r="C5484" s="247" t="s">
        <v>674</v>
      </c>
      <c r="D5484" s="247" t="s">
        <v>675</v>
      </c>
      <c r="E5484" s="372">
        <v>0.15</v>
      </c>
      <c r="F5484" s="360">
        <f>'UPAD-BAHAN-ALAT'!$I$12</f>
        <v>110000</v>
      </c>
      <c r="G5484" s="248">
        <f>F5484*E5484</f>
        <v>16500</v>
      </c>
    </row>
    <row r="5485" spans="1:8">
      <c r="A5485" s="294"/>
      <c r="B5485" s="410" t="s">
        <v>683</v>
      </c>
      <c r="C5485" s="247" t="s">
        <v>684</v>
      </c>
      <c r="D5485" s="247" t="s">
        <v>675</v>
      </c>
      <c r="E5485" s="372">
        <v>3.0000000000000001E-3</v>
      </c>
      <c r="F5485" s="360">
        <f>'UPAD-BAHAN-ALAT'!$I$14</f>
        <v>140000</v>
      </c>
      <c r="G5485" s="248">
        <f>F5485*E5485</f>
        <v>420</v>
      </c>
    </row>
    <row r="5486" spans="1:8">
      <c r="A5486" s="294"/>
      <c r="B5486" s="410"/>
      <c r="C5486" s="247"/>
      <c r="D5486" s="247"/>
      <c r="E5486" s="1146" t="s">
        <v>685</v>
      </c>
      <c r="F5486" s="1146"/>
      <c r="G5486" s="248">
        <f>SUM(G5484:G5485)</f>
        <v>16920</v>
      </c>
    </row>
    <row r="5487" spans="1:8">
      <c r="A5487" s="294" t="s">
        <v>686</v>
      </c>
      <c r="B5487" s="410" t="s">
        <v>687</v>
      </c>
      <c r="C5487" s="247"/>
      <c r="D5487" s="247"/>
      <c r="E5487" s="372"/>
      <c r="F5487" s="360"/>
      <c r="G5487" s="248"/>
    </row>
    <row r="5488" spans="1:8">
      <c r="A5488" s="247"/>
      <c r="B5488" s="410" t="s">
        <v>1367</v>
      </c>
      <c r="C5488" s="247"/>
      <c r="D5488" s="247" t="s">
        <v>690</v>
      </c>
      <c r="E5488" s="372">
        <v>0.05</v>
      </c>
      <c r="F5488" s="360">
        <f>'UPAD-BAHAN-ALAT'!$I$384</f>
        <v>12000</v>
      </c>
      <c r="G5488" s="248">
        <f>F5488*E5488</f>
        <v>600</v>
      </c>
    </row>
    <row r="5489" spans="1:8">
      <c r="A5489" s="247"/>
      <c r="B5489" s="295"/>
      <c r="C5489" s="296"/>
      <c r="D5489" s="296"/>
      <c r="E5489" s="1146" t="s">
        <v>702</v>
      </c>
      <c r="F5489" s="1146"/>
      <c r="G5489" s="248">
        <f>SUM(G5488)</f>
        <v>600</v>
      </c>
    </row>
    <row r="5490" spans="1:8" s="265" customFormat="1">
      <c r="A5490" s="294" t="s">
        <v>703</v>
      </c>
      <c r="B5490" s="1147" t="s">
        <v>3910</v>
      </c>
      <c r="C5490" s="1147"/>
      <c r="D5490" s="1147"/>
      <c r="E5490" s="1147"/>
      <c r="F5490" s="1147"/>
      <c r="G5490" s="255">
        <f>G5486+G5489</f>
        <v>17520</v>
      </c>
    </row>
    <row r="5491" spans="1:8" s="265" customFormat="1">
      <c r="A5491" s="294" t="s">
        <v>706</v>
      </c>
      <c r="B5491" s="1148" t="s">
        <v>876</v>
      </c>
      <c r="C5491" s="1148"/>
      <c r="D5491" s="1148"/>
      <c r="E5491" s="1147" t="s">
        <v>4030</v>
      </c>
      <c r="F5491" s="1147"/>
      <c r="G5491" s="255">
        <f>G5490*0.15</f>
        <v>2628</v>
      </c>
    </row>
    <row r="5492" spans="1:8" s="265" customFormat="1">
      <c r="A5492" s="294" t="s">
        <v>708</v>
      </c>
      <c r="B5492" s="1149" t="s">
        <v>3911</v>
      </c>
      <c r="C5492" s="1149"/>
      <c r="D5492" s="1149"/>
      <c r="E5492" s="1149"/>
      <c r="F5492" s="1149"/>
      <c r="G5492" s="255">
        <f>ROUND(SUM(G5490:G5491),2)</f>
        <v>20148</v>
      </c>
      <c r="H5492" s="255">
        <f>SUM(G5490:G5491)</f>
        <v>20148</v>
      </c>
    </row>
    <row r="5494" spans="1:8">
      <c r="A5494" s="286" t="s">
        <v>4330</v>
      </c>
      <c r="B5494" s="265" t="s">
        <v>2749</v>
      </c>
    </row>
    <row r="5495" spans="1:8" s="292" customFormat="1" ht="24.95" customHeight="1">
      <c r="A5495" s="293" t="s">
        <v>1003</v>
      </c>
      <c r="B5495" s="293" t="s">
        <v>1004</v>
      </c>
      <c r="C5495" s="290" t="s">
        <v>1005</v>
      </c>
      <c r="D5495" s="293" t="s">
        <v>1006</v>
      </c>
      <c r="E5495" s="379" t="s">
        <v>1007</v>
      </c>
      <c r="F5495" s="389" t="s">
        <v>2637</v>
      </c>
      <c r="G5495" s="291" t="s">
        <v>2638</v>
      </c>
    </row>
    <row r="5496" spans="1:8">
      <c r="A5496" s="432" t="s">
        <v>671</v>
      </c>
      <c r="B5496" s="355" t="s">
        <v>672</v>
      </c>
      <c r="C5496" s="247"/>
      <c r="D5496" s="283"/>
      <c r="E5496" s="428"/>
      <c r="F5496" s="390"/>
      <c r="G5496" s="248"/>
    </row>
    <row r="5497" spans="1:8">
      <c r="A5497" s="432"/>
      <c r="B5497" s="355" t="s">
        <v>673</v>
      </c>
      <c r="C5497" s="247" t="s">
        <v>674</v>
      </c>
      <c r="D5497" s="283" t="s">
        <v>675</v>
      </c>
      <c r="E5497" s="428">
        <v>0.15</v>
      </c>
      <c r="F5497" s="429">
        <f>'UPAD-BAHAN-ALAT'!$I$12</f>
        <v>110000</v>
      </c>
      <c r="G5497" s="248">
        <f>F5497*E5497</f>
        <v>16500</v>
      </c>
    </row>
    <row r="5498" spans="1:8">
      <c r="A5498" s="432"/>
      <c r="B5498" s="355" t="s">
        <v>683</v>
      </c>
      <c r="C5498" s="247" t="s">
        <v>684</v>
      </c>
      <c r="D5498" s="283" t="s">
        <v>675</v>
      </c>
      <c r="E5498" s="428">
        <v>8.0000000000000002E-3</v>
      </c>
      <c r="F5498" s="429">
        <f>'UPAD-BAHAN-ALAT'!$I$14</f>
        <v>140000</v>
      </c>
      <c r="G5498" s="248">
        <f>F5498*E5498</f>
        <v>1120</v>
      </c>
    </row>
    <row r="5499" spans="1:8">
      <c r="A5499" s="432"/>
      <c r="B5499" s="355"/>
      <c r="C5499" s="247"/>
      <c r="D5499" s="283"/>
      <c r="E5499" s="428" t="s">
        <v>685</v>
      </c>
      <c r="F5499" s="429"/>
      <c r="G5499" s="248">
        <f>SUM(G5497:G5498)</f>
        <v>17620</v>
      </c>
    </row>
    <row r="5500" spans="1:8">
      <c r="A5500" s="432" t="s">
        <v>686</v>
      </c>
      <c r="B5500" s="355" t="s">
        <v>687</v>
      </c>
      <c r="C5500" s="247"/>
      <c r="D5500" s="283"/>
      <c r="E5500" s="428"/>
      <c r="F5500" s="429"/>
      <c r="G5500" s="248"/>
    </row>
    <row r="5501" spans="1:8">
      <c r="A5501" s="432"/>
      <c r="B5501" s="355" t="s">
        <v>1367</v>
      </c>
      <c r="C5501" s="247"/>
      <c r="D5501" s="283" t="s">
        <v>690</v>
      </c>
      <c r="E5501" s="428">
        <v>0.05</v>
      </c>
      <c r="F5501" s="429">
        <f>'UPAD-BAHAN-ALAT'!$I$384</f>
        <v>12000</v>
      </c>
      <c r="G5501" s="248">
        <f>F5501*E5501</f>
        <v>600</v>
      </c>
    </row>
    <row r="5502" spans="1:8">
      <c r="A5502" s="283"/>
      <c r="B5502" s="355"/>
      <c r="C5502" s="247"/>
      <c r="D5502" s="283"/>
      <c r="E5502" s="428" t="s">
        <v>702</v>
      </c>
      <c r="F5502" s="429"/>
      <c r="G5502" s="248">
        <f>SUM(G5501)</f>
        <v>600</v>
      </c>
    </row>
    <row r="5503" spans="1:8" s="265" customFormat="1">
      <c r="A5503" s="432" t="s">
        <v>703</v>
      </c>
      <c r="B5503" s="357" t="s">
        <v>3910</v>
      </c>
      <c r="C5503" s="610"/>
      <c r="D5503" s="610"/>
      <c r="E5503" s="611"/>
      <c r="F5503" s="639"/>
      <c r="G5503" s="255">
        <f>G5499+G5502</f>
        <v>18220</v>
      </c>
    </row>
    <row r="5504" spans="1:8" s="265" customFormat="1">
      <c r="A5504" s="432" t="s">
        <v>706</v>
      </c>
      <c r="B5504" s="617" t="s">
        <v>876</v>
      </c>
      <c r="C5504" s="618"/>
      <c r="D5504" s="633"/>
      <c r="E5504" s="613" t="s">
        <v>4030</v>
      </c>
      <c r="F5504" s="639"/>
      <c r="G5504" s="255">
        <f>G5503*0.15</f>
        <v>2733</v>
      </c>
    </row>
    <row r="5505" spans="1:8" s="265" customFormat="1">
      <c r="A5505" s="432" t="s">
        <v>708</v>
      </c>
      <c r="B5505" s="357" t="s">
        <v>3911</v>
      </c>
      <c r="C5505" s="610"/>
      <c r="D5505" s="610"/>
      <c r="E5505" s="611"/>
      <c r="F5505" s="639"/>
      <c r="G5505" s="255">
        <f>ROUND(SUM(G5503:G5504),2)</f>
        <v>20953</v>
      </c>
      <c r="H5505" s="255">
        <f>SUM(G5503:G5504)</f>
        <v>20953</v>
      </c>
    </row>
    <row r="5506" spans="1:8">
      <c r="A5506" s="268"/>
      <c r="B5506" s="269"/>
      <c r="C5506" s="268"/>
      <c r="D5506" s="268"/>
      <c r="E5506" s="380"/>
      <c r="F5506" s="365"/>
      <c r="G5506" s="270"/>
    </row>
    <row r="5507" spans="1:8">
      <c r="A5507" s="285" t="s">
        <v>4331</v>
      </c>
      <c r="B5507" s="250" t="s">
        <v>4636</v>
      </c>
      <c r="C5507" s="252"/>
      <c r="D5507" s="252"/>
      <c r="E5507" s="374"/>
      <c r="F5507" s="361"/>
      <c r="G5507" s="253"/>
    </row>
    <row r="5508" spans="1:8" s="292" customFormat="1" ht="24.95" customHeight="1">
      <c r="A5508" s="290" t="s">
        <v>1003</v>
      </c>
      <c r="B5508" s="293" t="s">
        <v>1004</v>
      </c>
      <c r="C5508" s="293" t="s">
        <v>1005</v>
      </c>
      <c r="D5508" s="293" t="s">
        <v>1006</v>
      </c>
      <c r="E5508" s="379" t="s">
        <v>1007</v>
      </c>
      <c r="F5508" s="389" t="s">
        <v>2637</v>
      </c>
      <c r="G5508" s="291" t="s">
        <v>2638</v>
      </c>
    </row>
    <row r="5509" spans="1:8">
      <c r="A5509" s="294" t="s">
        <v>671</v>
      </c>
      <c r="B5509" s="355" t="s">
        <v>672</v>
      </c>
      <c r="C5509" s="283"/>
      <c r="D5509" s="283"/>
      <c r="E5509" s="428"/>
      <c r="F5509" s="624"/>
      <c r="G5509" s="248"/>
    </row>
    <row r="5510" spans="1:8">
      <c r="A5510" s="294"/>
      <c r="B5510" s="355" t="s">
        <v>673</v>
      </c>
      <c r="C5510" s="283" t="s">
        <v>674</v>
      </c>
      <c r="D5510" s="283" t="s">
        <v>675</v>
      </c>
      <c r="E5510" s="428">
        <v>7.0000000000000007E-2</v>
      </c>
      <c r="F5510" s="360">
        <f>'UPAD-BAHAN-ALAT'!$I$12</f>
        <v>110000</v>
      </c>
      <c r="G5510" s="248">
        <f>F5510*E5510</f>
        <v>7700.0000000000009</v>
      </c>
    </row>
    <row r="5511" spans="1:8">
      <c r="A5511" s="294"/>
      <c r="B5511" s="355" t="s">
        <v>1368</v>
      </c>
      <c r="C5511" s="283" t="s">
        <v>678</v>
      </c>
      <c r="D5511" s="283" t="s">
        <v>675</v>
      </c>
      <c r="E5511" s="428">
        <v>8.9999999999999993E-3</v>
      </c>
      <c r="F5511" s="360">
        <f>'UPAD-BAHAN-ALAT'!$I$13</f>
        <v>140000</v>
      </c>
      <c r="G5511" s="248">
        <f>F5511*E5511</f>
        <v>1260</v>
      </c>
    </row>
    <row r="5512" spans="1:8">
      <c r="A5512" s="294"/>
      <c r="B5512" s="355" t="s">
        <v>751</v>
      </c>
      <c r="C5512" s="283" t="s">
        <v>681</v>
      </c>
      <c r="D5512" s="283" t="s">
        <v>675</v>
      </c>
      <c r="E5512" s="428">
        <v>6.0000000000000001E-3</v>
      </c>
      <c r="F5512" s="360">
        <f>'UPAD-BAHAN-ALAT'!$I$15</f>
        <v>150000</v>
      </c>
      <c r="G5512" s="248">
        <f>F5512*E5512</f>
        <v>900</v>
      </c>
    </row>
    <row r="5513" spans="1:8">
      <c r="A5513" s="294"/>
      <c r="B5513" s="355" t="s">
        <v>683</v>
      </c>
      <c r="C5513" s="665" t="s">
        <v>684</v>
      </c>
      <c r="D5513" s="283" t="s">
        <v>675</v>
      </c>
      <c r="E5513" s="428">
        <v>3.0000000000000001E-3</v>
      </c>
      <c r="F5513" s="360">
        <f>'UPAD-BAHAN-ALAT'!$I$14</f>
        <v>140000</v>
      </c>
      <c r="G5513" s="248">
        <f>F5513*E5513</f>
        <v>420</v>
      </c>
    </row>
    <row r="5514" spans="1:8">
      <c r="A5514" s="294"/>
      <c r="B5514" s="355"/>
      <c r="C5514" s="665"/>
      <c r="D5514" s="283"/>
      <c r="E5514" s="428" t="s">
        <v>685</v>
      </c>
      <c r="F5514" s="663"/>
      <c r="G5514" s="248">
        <f>SUM(G5510:G5513)</f>
        <v>10280</v>
      </c>
    </row>
    <row r="5515" spans="1:8">
      <c r="A5515" s="294" t="s">
        <v>686</v>
      </c>
      <c r="B5515" s="355" t="s">
        <v>687</v>
      </c>
      <c r="C5515" s="665"/>
      <c r="D5515" s="283"/>
      <c r="E5515" s="428"/>
      <c r="F5515" s="624"/>
      <c r="G5515" s="248"/>
    </row>
    <row r="5516" spans="1:8">
      <c r="A5516" s="294"/>
      <c r="B5516" s="355" t="s">
        <v>1369</v>
      </c>
      <c r="C5516" s="665"/>
      <c r="D5516" s="283" t="s">
        <v>690</v>
      </c>
      <c r="E5516" s="428">
        <v>0.2</v>
      </c>
      <c r="F5516" s="624">
        <f>'UPAD-BAHAN-ALAT'!$I$372</f>
        <v>37000</v>
      </c>
      <c r="G5516" s="248">
        <f t="shared" ref="G5516:G5522" si="36">F5516*E5516</f>
        <v>7400</v>
      </c>
    </row>
    <row r="5517" spans="1:8">
      <c r="A5517" s="294"/>
      <c r="B5517" s="355" t="s">
        <v>1370</v>
      </c>
      <c r="C5517" s="665"/>
      <c r="D5517" s="283" t="s">
        <v>690</v>
      </c>
      <c r="E5517" s="428">
        <v>0.15</v>
      </c>
      <c r="F5517" s="624">
        <f>'UPAD-BAHAN-ALAT'!$I$378</f>
        <v>7500</v>
      </c>
      <c r="G5517" s="248">
        <f t="shared" si="36"/>
        <v>1125</v>
      </c>
    </row>
    <row r="5518" spans="1:8">
      <c r="A5518" s="294"/>
      <c r="B5518" s="355" t="s">
        <v>1371</v>
      </c>
      <c r="C5518" s="665"/>
      <c r="D5518" s="283" t="s">
        <v>690</v>
      </c>
      <c r="E5518" s="428">
        <v>0.17</v>
      </c>
      <c r="F5518" s="624">
        <f>'UPAD-BAHAN-ALAT'!$I$373</f>
        <v>35000</v>
      </c>
      <c r="G5518" s="248">
        <f t="shared" si="36"/>
        <v>5950</v>
      </c>
    </row>
    <row r="5519" spans="1:8">
      <c r="A5519" s="294"/>
      <c r="B5519" s="355" t="s">
        <v>1372</v>
      </c>
      <c r="C5519" s="665"/>
      <c r="D5519" s="283" t="s">
        <v>690</v>
      </c>
      <c r="E5519" s="428">
        <v>0.26</v>
      </c>
      <c r="F5519" s="624">
        <f>'UPAD-BAHAN-ALAT'!$I$364</f>
        <v>70000</v>
      </c>
      <c r="G5519" s="248">
        <f t="shared" si="36"/>
        <v>18200</v>
      </c>
    </row>
    <row r="5520" spans="1:8">
      <c r="A5520" s="294"/>
      <c r="B5520" s="355" t="s">
        <v>1373</v>
      </c>
      <c r="C5520" s="665"/>
      <c r="D5520" s="283" t="s">
        <v>743</v>
      </c>
      <c r="E5520" s="428">
        <v>0.01</v>
      </c>
      <c r="F5520" s="624">
        <f>'UPAD-BAHAN-ALAT'!$I$503</f>
        <v>24000</v>
      </c>
      <c r="G5520" s="248">
        <f t="shared" si="36"/>
        <v>240</v>
      </c>
    </row>
    <row r="5521" spans="1:8">
      <c r="A5521" s="294"/>
      <c r="B5521" s="355" t="s">
        <v>1374</v>
      </c>
      <c r="C5521" s="665"/>
      <c r="D5521" s="283" t="s">
        <v>690</v>
      </c>
      <c r="E5521" s="428">
        <v>0.03</v>
      </c>
      <c r="F5521" s="624">
        <f>'UPAD-BAHAN-ALAT'!$I$383</f>
        <v>25000</v>
      </c>
      <c r="G5521" s="248">
        <f t="shared" si="36"/>
        <v>750</v>
      </c>
    </row>
    <row r="5522" spans="1:8">
      <c r="A5522" s="247"/>
      <c r="B5522" s="355" t="s">
        <v>1375</v>
      </c>
      <c r="C5522" s="665"/>
      <c r="D5522" s="283" t="s">
        <v>715</v>
      </c>
      <c r="E5522" s="428">
        <v>0.2</v>
      </c>
      <c r="F5522" s="624">
        <f>'UPAD-BAHAN-ALAT'!$I$502</f>
        <v>3500</v>
      </c>
      <c r="G5522" s="248">
        <f t="shared" si="36"/>
        <v>700</v>
      </c>
    </row>
    <row r="5523" spans="1:8">
      <c r="A5523" s="247"/>
      <c r="B5523" s="355"/>
      <c r="C5523" s="665"/>
      <c r="D5523" s="283"/>
      <c r="E5523" s="428" t="s">
        <v>702</v>
      </c>
      <c r="F5523" s="663"/>
      <c r="G5523" s="248">
        <f>SUM(G5516:G5522)</f>
        <v>34365</v>
      </c>
    </row>
    <row r="5524" spans="1:8" s="265" customFormat="1">
      <c r="A5524" s="294" t="s">
        <v>703</v>
      </c>
      <c r="B5524" s="357" t="s">
        <v>3910</v>
      </c>
      <c r="C5524" s="610"/>
      <c r="D5524" s="610"/>
      <c r="E5524" s="611"/>
      <c r="F5524" s="612"/>
      <c r="G5524" s="255">
        <f>G5514+G5523</f>
        <v>44645</v>
      </c>
    </row>
    <row r="5525" spans="1:8" s="265" customFormat="1">
      <c r="A5525" s="294" t="s">
        <v>706</v>
      </c>
      <c r="B5525" s="617" t="s">
        <v>876</v>
      </c>
      <c r="C5525" s="618"/>
      <c r="D5525" s="633"/>
      <c r="E5525" s="613" t="s">
        <v>4030</v>
      </c>
      <c r="F5525" s="612"/>
      <c r="G5525" s="255">
        <f>G5524*0.15</f>
        <v>6696.75</v>
      </c>
    </row>
    <row r="5526" spans="1:8" s="265" customFormat="1">
      <c r="A5526" s="294" t="s">
        <v>708</v>
      </c>
      <c r="B5526" s="357" t="s">
        <v>3911</v>
      </c>
      <c r="C5526" s="610"/>
      <c r="D5526" s="610"/>
      <c r="E5526" s="611"/>
      <c r="F5526" s="612"/>
      <c r="G5526" s="255">
        <f>ROUND(SUM(G5524:G5525),2)</f>
        <v>51341.75</v>
      </c>
      <c r="H5526" s="255">
        <f>SUM(G5524:G5525)</f>
        <v>51341.75</v>
      </c>
    </row>
    <row r="5528" spans="1:8">
      <c r="A5528" s="600" t="s">
        <v>4332</v>
      </c>
      <c r="B5528" s="265" t="s">
        <v>4637</v>
      </c>
    </row>
    <row r="5529" spans="1:8" s="292" customFormat="1" ht="24.95" customHeight="1">
      <c r="A5529" s="290" t="s">
        <v>1003</v>
      </c>
      <c r="B5529" s="293" t="s">
        <v>1004</v>
      </c>
      <c r="C5529" s="293" t="s">
        <v>1005</v>
      </c>
      <c r="D5529" s="293" t="s">
        <v>1006</v>
      </c>
      <c r="E5529" s="379" t="s">
        <v>1007</v>
      </c>
      <c r="F5529" s="389" t="s">
        <v>2637</v>
      </c>
      <c r="G5529" s="291" t="s">
        <v>2638</v>
      </c>
    </row>
    <row r="5530" spans="1:8">
      <c r="A5530" s="294" t="s">
        <v>671</v>
      </c>
      <c r="B5530" s="355" t="s">
        <v>672</v>
      </c>
      <c r="C5530" s="283"/>
      <c r="D5530" s="283"/>
      <c r="E5530" s="428"/>
      <c r="F5530" s="624"/>
      <c r="G5530" s="248"/>
    </row>
    <row r="5531" spans="1:8">
      <c r="A5531" s="294"/>
      <c r="B5531" s="355" t="s">
        <v>673</v>
      </c>
      <c r="C5531" s="283" t="s">
        <v>674</v>
      </c>
      <c r="D5531" s="283" t="s">
        <v>675</v>
      </c>
      <c r="E5531" s="428">
        <v>7.0000000000000007E-2</v>
      </c>
      <c r="F5531" s="360">
        <f>'UPAD-BAHAN-ALAT'!$I$12</f>
        <v>110000</v>
      </c>
      <c r="G5531" s="248">
        <f>F5531*E5531</f>
        <v>7700.0000000000009</v>
      </c>
    </row>
    <row r="5532" spans="1:8">
      <c r="A5532" s="294"/>
      <c r="B5532" s="355" t="s">
        <v>1368</v>
      </c>
      <c r="C5532" s="283" t="s">
        <v>678</v>
      </c>
      <c r="D5532" s="283" t="s">
        <v>675</v>
      </c>
      <c r="E5532" s="428">
        <v>0.105</v>
      </c>
      <c r="F5532" s="360">
        <f>'UPAD-BAHAN-ALAT'!$I$13</f>
        <v>140000</v>
      </c>
      <c r="G5532" s="248">
        <f>F5532*E5532</f>
        <v>14700</v>
      </c>
    </row>
    <row r="5533" spans="1:8">
      <c r="A5533" s="294"/>
      <c r="B5533" s="355" t="s">
        <v>751</v>
      </c>
      <c r="C5533" s="283" t="s">
        <v>681</v>
      </c>
      <c r="D5533" s="283" t="s">
        <v>675</v>
      </c>
      <c r="E5533" s="428">
        <v>4.0000000000000001E-3</v>
      </c>
      <c r="F5533" s="360">
        <f>'UPAD-BAHAN-ALAT'!$I$15</f>
        <v>150000</v>
      </c>
      <c r="G5533" s="248">
        <f>F5533*E5533</f>
        <v>600</v>
      </c>
    </row>
    <row r="5534" spans="1:8">
      <c r="A5534" s="294"/>
      <c r="B5534" s="355" t="s">
        <v>683</v>
      </c>
      <c r="C5534" s="283" t="s">
        <v>684</v>
      </c>
      <c r="D5534" s="283" t="s">
        <v>675</v>
      </c>
      <c r="E5534" s="428">
        <v>3.0000000000000001E-3</v>
      </c>
      <c r="F5534" s="360">
        <f>'UPAD-BAHAN-ALAT'!$I$14</f>
        <v>140000</v>
      </c>
      <c r="G5534" s="248">
        <f>F5534*E5534</f>
        <v>420</v>
      </c>
    </row>
    <row r="5535" spans="1:8">
      <c r="A5535" s="294"/>
      <c r="B5535" s="355"/>
      <c r="C5535" s="662"/>
      <c r="D5535" s="283"/>
      <c r="E5535" s="428" t="s">
        <v>685</v>
      </c>
      <c r="F5535" s="663"/>
      <c r="G5535" s="248">
        <f>SUM(G5531:G5534)</f>
        <v>23420</v>
      </c>
    </row>
    <row r="5536" spans="1:8">
      <c r="A5536" s="294" t="s">
        <v>686</v>
      </c>
      <c r="B5536" s="355" t="s">
        <v>687</v>
      </c>
      <c r="C5536" s="662"/>
      <c r="D5536" s="283"/>
      <c r="E5536" s="428"/>
      <c r="F5536" s="624"/>
      <c r="G5536" s="248"/>
    </row>
    <row r="5537" spans="1:8">
      <c r="A5537" s="247"/>
      <c r="B5537" s="355" t="s">
        <v>1369</v>
      </c>
      <c r="C5537" s="662"/>
      <c r="D5537" s="283" t="s">
        <v>690</v>
      </c>
      <c r="E5537" s="428">
        <v>0.2</v>
      </c>
      <c r="F5537" s="624">
        <f>'UPAD-BAHAN-ALAT'!$I$372</f>
        <v>37000</v>
      </c>
      <c r="G5537" s="248">
        <f t="shared" ref="G5537:G5543" si="37">F5537*E5537</f>
        <v>7400</v>
      </c>
    </row>
    <row r="5538" spans="1:8">
      <c r="A5538" s="247"/>
      <c r="B5538" s="355" t="s">
        <v>1370</v>
      </c>
      <c r="C5538" s="662"/>
      <c r="D5538" s="283" t="s">
        <v>690</v>
      </c>
      <c r="E5538" s="428">
        <v>0.15</v>
      </c>
      <c r="F5538" s="624">
        <f>'UPAD-BAHAN-ALAT'!$I$378</f>
        <v>7500</v>
      </c>
      <c r="G5538" s="248">
        <f t="shared" si="37"/>
        <v>1125</v>
      </c>
    </row>
    <row r="5539" spans="1:8">
      <c r="A5539" s="247"/>
      <c r="B5539" s="355" t="s">
        <v>1371</v>
      </c>
      <c r="C5539" s="662"/>
      <c r="D5539" s="283" t="s">
        <v>690</v>
      </c>
      <c r="E5539" s="428">
        <v>0.17</v>
      </c>
      <c r="F5539" s="624">
        <f>'UPAD-BAHAN-ALAT'!$I$373</f>
        <v>35000</v>
      </c>
      <c r="G5539" s="248">
        <f t="shared" si="37"/>
        <v>5950</v>
      </c>
    </row>
    <row r="5540" spans="1:8">
      <c r="A5540" s="247"/>
      <c r="B5540" s="355" t="s">
        <v>1372</v>
      </c>
      <c r="C5540" s="662"/>
      <c r="D5540" s="283" t="s">
        <v>690</v>
      </c>
      <c r="E5540" s="428">
        <v>0.35</v>
      </c>
      <c r="F5540" s="624">
        <f>'UPAD-BAHAN-ALAT'!$I$364</f>
        <v>70000</v>
      </c>
      <c r="G5540" s="248">
        <f t="shared" si="37"/>
        <v>24500</v>
      </c>
    </row>
    <row r="5541" spans="1:8">
      <c r="A5541" s="247"/>
      <c r="B5541" s="355" t="s">
        <v>1373</v>
      </c>
      <c r="C5541" s="662"/>
      <c r="D5541" s="283" t="s">
        <v>743</v>
      </c>
      <c r="E5541" s="428">
        <v>0.01</v>
      </c>
      <c r="F5541" s="624">
        <f>'UPAD-BAHAN-ALAT'!$I$503</f>
        <v>24000</v>
      </c>
      <c r="G5541" s="248">
        <f t="shared" si="37"/>
        <v>240</v>
      </c>
    </row>
    <row r="5542" spans="1:8">
      <c r="A5542" s="247"/>
      <c r="B5542" s="355" t="s">
        <v>1374</v>
      </c>
      <c r="C5542" s="662"/>
      <c r="D5542" s="283" t="s">
        <v>690</v>
      </c>
      <c r="E5542" s="428">
        <v>0.03</v>
      </c>
      <c r="F5542" s="624">
        <f>'UPAD-BAHAN-ALAT'!$I$383</f>
        <v>25000</v>
      </c>
      <c r="G5542" s="248">
        <f t="shared" si="37"/>
        <v>750</v>
      </c>
    </row>
    <row r="5543" spans="1:8">
      <c r="A5543" s="247"/>
      <c r="B5543" s="355" t="s">
        <v>1375</v>
      </c>
      <c r="C5543" s="662"/>
      <c r="D5543" s="283" t="s">
        <v>715</v>
      </c>
      <c r="E5543" s="428">
        <v>0.2</v>
      </c>
      <c r="F5543" s="624">
        <f>'UPAD-BAHAN-ALAT'!$I$502</f>
        <v>3500</v>
      </c>
      <c r="G5543" s="248">
        <f t="shared" si="37"/>
        <v>700</v>
      </c>
    </row>
    <row r="5544" spans="1:8">
      <c r="A5544" s="247"/>
      <c r="B5544" s="355"/>
      <c r="C5544" s="662"/>
      <c r="D5544" s="283"/>
      <c r="E5544" s="428" t="s">
        <v>702</v>
      </c>
      <c r="F5544" s="429"/>
      <c r="G5544" s="248">
        <f>SUM(G5537:G5543)</f>
        <v>40665</v>
      </c>
    </row>
    <row r="5545" spans="1:8" s="265" customFormat="1">
      <c r="A5545" s="294" t="s">
        <v>703</v>
      </c>
      <c r="B5545" s="357" t="s">
        <v>3910</v>
      </c>
      <c r="C5545" s="666"/>
      <c r="D5545" s="610"/>
      <c r="E5545" s="611"/>
      <c r="F5545" s="639"/>
      <c r="G5545" s="255">
        <f>G5535+G5544</f>
        <v>64085</v>
      </c>
    </row>
    <row r="5546" spans="1:8" s="265" customFormat="1">
      <c r="A5546" s="294" t="s">
        <v>706</v>
      </c>
      <c r="B5546" s="617" t="s">
        <v>876</v>
      </c>
      <c r="C5546" s="618"/>
      <c r="D5546" s="618"/>
      <c r="E5546" s="613" t="s">
        <v>4030</v>
      </c>
      <c r="F5546" s="639"/>
      <c r="G5546" s="255">
        <f>G5545*0.15</f>
        <v>9612.75</v>
      </c>
    </row>
    <row r="5547" spans="1:8" s="265" customFormat="1">
      <c r="A5547" s="294" t="s">
        <v>708</v>
      </c>
      <c r="B5547" s="357" t="s">
        <v>3911</v>
      </c>
      <c r="C5547" s="610"/>
      <c r="D5547" s="610"/>
      <c r="E5547" s="611"/>
      <c r="F5547" s="639"/>
      <c r="G5547" s="255">
        <f>ROUND(SUM(G5545:G5546),2)</f>
        <v>73697.75</v>
      </c>
      <c r="H5547" s="255">
        <f>SUM(G5545:G5546)</f>
        <v>73697.75</v>
      </c>
    </row>
    <row r="5548" spans="1:8">
      <c r="A5548" s="268"/>
      <c r="B5548" s="269"/>
      <c r="C5548" s="268"/>
      <c r="D5548" s="268"/>
      <c r="E5548" s="380"/>
      <c r="F5548" s="365"/>
      <c r="G5548" s="270"/>
    </row>
    <row r="5549" spans="1:8">
      <c r="A5549" s="285" t="s">
        <v>4333</v>
      </c>
      <c r="B5549" s="250" t="s">
        <v>2748</v>
      </c>
      <c r="C5549" s="252"/>
      <c r="D5549" s="252"/>
      <c r="E5549" s="374"/>
      <c r="F5549" s="361"/>
      <c r="G5549" s="253"/>
    </row>
    <row r="5550" spans="1:8" s="292" customFormat="1" ht="24.95" customHeight="1">
      <c r="A5550" s="293" t="s">
        <v>1003</v>
      </c>
      <c r="B5550" s="293" t="s">
        <v>1004</v>
      </c>
      <c r="C5550" s="290" t="s">
        <v>1005</v>
      </c>
      <c r="D5550" s="293" t="s">
        <v>1006</v>
      </c>
      <c r="E5550" s="379" t="s">
        <v>1007</v>
      </c>
      <c r="F5550" s="427" t="s">
        <v>2637</v>
      </c>
      <c r="G5550" s="291" t="s">
        <v>2638</v>
      </c>
    </row>
    <row r="5551" spans="1:8">
      <c r="A5551" s="432" t="s">
        <v>671</v>
      </c>
      <c r="B5551" s="355" t="s">
        <v>672</v>
      </c>
      <c r="C5551" s="247"/>
      <c r="D5551" s="283"/>
      <c r="E5551" s="428"/>
      <c r="F5551" s="429"/>
      <c r="G5551" s="632"/>
    </row>
    <row r="5552" spans="1:8">
      <c r="A5552" s="432"/>
      <c r="B5552" s="355" t="s">
        <v>673</v>
      </c>
      <c r="C5552" s="247" t="s">
        <v>674</v>
      </c>
      <c r="D5552" s="283" t="s">
        <v>675</v>
      </c>
      <c r="E5552" s="428">
        <v>0.04</v>
      </c>
      <c r="F5552" s="360">
        <f>'UPAD-BAHAN-ALAT'!$I$12</f>
        <v>110000</v>
      </c>
      <c r="G5552" s="248">
        <f>F5552*E5552</f>
        <v>4400</v>
      </c>
    </row>
    <row r="5553" spans="1:8">
      <c r="A5553" s="432"/>
      <c r="B5553" s="355" t="s">
        <v>1368</v>
      </c>
      <c r="C5553" s="247" t="s">
        <v>678</v>
      </c>
      <c r="D5553" s="283" t="s">
        <v>675</v>
      </c>
      <c r="E5553" s="428">
        <v>6.3E-2</v>
      </c>
      <c r="F5553" s="360">
        <f>'UPAD-BAHAN-ALAT'!$I$13</f>
        <v>140000</v>
      </c>
      <c r="G5553" s="248">
        <f>F5553*E5553</f>
        <v>8820</v>
      </c>
    </row>
    <row r="5554" spans="1:8">
      <c r="A5554" s="432"/>
      <c r="B5554" s="355" t="s">
        <v>751</v>
      </c>
      <c r="C5554" s="247" t="s">
        <v>681</v>
      </c>
      <c r="D5554" s="283" t="s">
        <v>675</v>
      </c>
      <c r="E5554" s="428">
        <v>6.3E-2</v>
      </c>
      <c r="F5554" s="360">
        <f>'UPAD-BAHAN-ALAT'!$I$15</f>
        <v>150000</v>
      </c>
      <c r="G5554" s="248">
        <f>F5554*E5554</f>
        <v>9450</v>
      </c>
    </row>
    <row r="5555" spans="1:8">
      <c r="A5555" s="432"/>
      <c r="B5555" s="355" t="s">
        <v>683</v>
      </c>
      <c r="C5555" s="247" t="s">
        <v>684</v>
      </c>
      <c r="D5555" s="283" t="s">
        <v>675</v>
      </c>
      <c r="E5555" s="428">
        <v>3.0000000000000001E-3</v>
      </c>
      <c r="F5555" s="360">
        <f>'UPAD-BAHAN-ALAT'!$I$14</f>
        <v>140000</v>
      </c>
      <c r="G5555" s="248">
        <f>F5555*E5555</f>
        <v>420</v>
      </c>
    </row>
    <row r="5556" spans="1:8">
      <c r="A5556" s="432"/>
      <c r="B5556" s="355"/>
      <c r="C5556" s="247"/>
      <c r="D5556" s="283"/>
      <c r="E5556" s="428" t="s">
        <v>685</v>
      </c>
      <c r="F5556" s="429"/>
      <c r="G5556" s="632">
        <f>SUM(G5552:G5555)</f>
        <v>23090</v>
      </c>
    </row>
    <row r="5557" spans="1:8">
      <c r="A5557" s="432" t="s">
        <v>686</v>
      </c>
      <c r="B5557" s="355" t="s">
        <v>687</v>
      </c>
      <c r="C5557" s="247"/>
      <c r="D5557" s="283"/>
      <c r="E5557" s="428"/>
      <c r="F5557" s="429"/>
      <c r="G5557" s="632"/>
    </row>
    <row r="5558" spans="1:8">
      <c r="A5558" s="432"/>
      <c r="B5558" s="355" t="s">
        <v>1377</v>
      </c>
      <c r="C5558" s="247"/>
      <c r="D5558" s="283" t="s">
        <v>896</v>
      </c>
      <c r="E5558" s="428">
        <v>0.36</v>
      </c>
      <c r="F5558" s="429">
        <f>'UPAD-BAHAN-ALAT'!$I$385</f>
        <v>65000</v>
      </c>
      <c r="G5558" s="632">
        <f>E5558*F5558</f>
        <v>23400</v>
      </c>
    </row>
    <row r="5559" spans="1:8">
      <c r="A5559" s="283"/>
      <c r="B5559" s="355"/>
      <c r="C5559" s="247"/>
      <c r="D5559" s="283"/>
      <c r="E5559" s="428" t="s">
        <v>702</v>
      </c>
      <c r="F5559" s="429"/>
      <c r="G5559" s="632">
        <f>G5558</f>
        <v>23400</v>
      </c>
    </row>
    <row r="5560" spans="1:8" s="265" customFormat="1">
      <c r="A5560" s="432" t="s">
        <v>703</v>
      </c>
      <c r="B5560" s="357" t="s">
        <v>3910</v>
      </c>
      <c r="C5560" s="610"/>
      <c r="D5560" s="610"/>
      <c r="E5560" s="611"/>
      <c r="F5560" s="639"/>
      <c r="G5560" s="631">
        <f>G5556+G5559</f>
        <v>46490</v>
      </c>
    </row>
    <row r="5561" spans="1:8" s="265" customFormat="1">
      <c r="A5561" s="432" t="s">
        <v>706</v>
      </c>
      <c r="B5561" s="617" t="s">
        <v>876</v>
      </c>
      <c r="C5561" s="618"/>
      <c r="D5561" s="618"/>
      <c r="E5561" s="613" t="s">
        <v>4030</v>
      </c>
      <c r="F5561" s="639"/>
      <c r="G5561" s="255">
        <f>G5560*0.15</f>
        <v>6973.5</v>
      </c>
    </row>
    <row r="5562" spans="1:8" s="265" customFormat="1">
      <c r="A5562" s="432" t="s">
        <v>708</v>
      </c>
      <c r="B5562" s="357" t="s">
        <v>3911</v>
      </c>
      <c r="C5562" s="610"/>
      <c r="D5562" s="610"/>
      <c r="E5562" s="611"/>
      <c r="F5562" s="639"/>
      <c r="G5562" s="255">
        <f>ROUND(SUM(G5560:G5561),2)</f>
        <v>53463.5</v>
      </c>
      <c r="H5562" s="631">
        <f>SUM(G5560:G5561)</f>
        <v>53463.5</v>
      </c>
    </row>
    <row r="5564" spans="1:8">
      <c r="A5564" s="286" t="s">
        <v>4334</v>
      </c>
      <c r="B5564" s="265" t="s">
        <v>2747</v>
      </c>
    </row>
    <row r="5565" spans="1:8" s="292" customFormat="1" ht="24.95" customHeight="1">
      <c r="A5565" s="290" t="s">
        <v>1003</v>
      </c>
      <c r="B5565" s="290" t="s">
        <v>1004</v>
      </c>
      <c r="C5565" s="290" t="s">
        <v>1005</v>
      </c>
      <c r="D5565" s="290" t="s">
        <v>1006</v>
      </c>
      <c r="E5565" s="373" t="s">
        <v>1007</v>
      </c>
      <c r="F5565" s="363" t="s">
        <v>2637</v>
      </c>
      <c r="G5565" s="291" t="s">
        <v>2638</v>
      </c>
    </row>
    <row r="5566" spans="1:8">
      <c r="A5566" s="294" t="s">
        <v>671</v>
      </c>
      <c r="B5566" s="410" t="s">
        <v>672</v>
      </c>
      <c r="C5566" s="247"/>
      <c r="D5566" s="247"/>
      <c r="E5566" s="372"/>
      <c r="F5566" s="360"/>
      <c r="G5566" s="248"/>
    </row>
    <row r="5567" spans="1:8">
      <c r="A5567" s="294"/>
      <c r="B5567" s="410" t="s">
        <v>673</v>
      </c>
      <c r="C5567" s="247" t="s">
        <v>674</v>
      </c>
      <c r="D5567" s="247" t="s">
        <v>675</v>
      </c>
      <c r="E5567" s="372">
        <v>0.04</v>
      </c>
      <c r="F5567" s="360">
        <f>'UPAD-BAHAN-ALAT'!$I$12</f>
        <v>110000</v>
      </c>
      <c r="G5567" s="248">
        <f>F5567*E5567</f>
        <v>4400</v>
      </c>
    </row>
    <row r="5568" spans="1:8">
      <c r="A5568" s="294"/>
      <c r="B5568" s="410" t="s">
        <v>1368</v>
      </c>
      <c r="C5568" s="247" t="s">
        <v>678</v>
      </c>
      <c r="D5568" s="247" t="s">
        <v>675</v>
      </c>
      <c r="E5568" s="372">
        <v>0.06</v>
      </c>
      <c r="F5568" s="360">
        <f>'UPAD-BAHAN-ALAT'!$I$13</f>
        <v>140000</v>
      </c>
      <c r="G5568" s="248">
        <f>F5568*E5568</f>
        <v>8400</v>
      </c>
    </row>
    <row r="5569" spans="1:8">
      <c r="A5569" s="294"/>
      <c r="B5569" s="410" t="s">
        <v>751</v>
      </c>
      <c r="C5569" s="247" t="s">
        <v>681</v>
      </c>
      <c r="D5569" s="247" t="s">
        <v>675</v>
      </c>
      <c r="E5569" s="372">
        <v>1.6E-2</v>
      </c>
      <c r="F5569" s="360">
        <f>'UPAD-BAHAN-ALAT'!$I$15</f>
        <v>150000</v>
      </c>
      <c r="G5569" s="248">
        <f>F5569*E5569</f>
        <v>2400</v>
      </c>
    </row>
    <row r="5570" spans="1:8">
      <c r="A5570" s="294"/>
      <c r="B5570" s="410" t="s">
        <v>683</v>
      </c>
      <c r="C5570" s="247" t="s">
        <v>684</v>
      </c>
      <c r="D5570" s="247" t="s">
        <v>675</v>
      </c>
      <c r="E5570" s="372">
        <v>3.0000000000000001E-3</v>
      </c>
      <c r="F5570" s="360">
        <f>'UPAD-BAHAN-ALAT'!$I$14</f>
        <v>140000</v>
      </c>
      <c r="G5570" s="248">
        <f>F5570*E5570</f>
        <v>420</v>
      </c>
    </row>
    <row r="5571" spans="1:8">
      <c r="A5571" s="294"/>
      <c r="B5571" s="410"/>
      <c r="C5571" s="247"/>
      <c r="D5571" s="247"/>
      <c r="E5571" s="1146" t="s">
        <v>685</v>
      </c>
      <c r="F5571" s="1146"/>
      <c r="G5571" s="248">
        <f>SUM(G5567:G5570)</f>
        <v>15620</v>
      </c>
    </row>
    <row r="5572" spans="1:8">
      <c r="A5572" s="294" t="s">
        <v>686</v>
      </c>
      <c r="B5572" s="410" t="s">
        <v>687</v>
      </c>
      <c r="C5572" s="247"/>
      <c r="D5572" s="247"/>
      <c r="E5572" s="372"/>
      <c r="F5572" s="360"/>
      <c r="G5572" s="248"/>
    </row>
    <row r="5573" spans="1:8">
      <c r="A5573" s="294"/>
      <c r="B5573" s="410" t="s">
        <v>1378</v>
      </c>
      <c r="C5573" s="247"/>
      <c r="D5573" s="247" t="s">
        <v>896</v>
      </c>
      <c r="E5573" s="372">
        <v>0.15</v>
      </c>
      <c r="F5573" s="360">
        <f>'UPAD-BAHAN-ALAT'!$I$374</f>
        <v>51000</v>
      </c>
      <c r="G5573" s="248">
        <f>F5573*E5573</f>
        <v>7650</v>
      </c>
    </row>
    <row r="5574" spans="1:8">
      <c r="A5574" s="294"/>
      <c r="B5574" s="410" t="s">
        <v>1379</v>
      </c>
      <c r="C5574" s="247"/>
      <c r="D5574" s="247" t="s">
        <v>896</v>
      </c>
      <c r="E5574" s="372">
        <v>0.372</v>
      </c>
      <c r="F5574" s="360">
        <f>'UPAD-BAHAN-ALAT'!$I$375</f>
        <v>51000</v>
      </c>
      <c r="G5574" s="248">
        <f>F5574*E5574</f>
        <v>18972</v>
      </c>
    </row>
    <row r="5575" spans="1:8">
      <c r="A5575" s="294"/>
      <c r="B5575" s="410" t="s">
        <v>1375</v>
      </c>
      <c r="C5575" s="247"/>
      <c r="D5575" s="247" t="s">
        <v>715</v>
      </c>
      <c r="E5575" s="372">
        <v>2</v>
      </c>
      <c r="F5575" s="624">
        <f>'UPAD-BAHAN-ALAT'!$I$502</f>
        <v>3500</v>
      </c>
      <c r="G5575" s="248">
        <f>F5575*E5575</f>
        <v>7000</v>
      </c>
    </row>
    <row r="5576" spans="1:8">
      <c r="A5576" s="294"/>
      <c r="B5576" s="410"/>
      <c r="C5576" s="247"/>
      <c r="D5576" s="247"/>
      <c r="E5576" s="1155" t="s">
        <v>702</v>
      </c>
      <c r="F5576" s="1155"/>
      <c r="G5576" s="248">
        <f>SUM(G5573:G5575)</f>
        <v>33622</v>
      </c>
    </row>
    <row r="5577" spans="1:8" s="265" customFormat="1">
      <c r="A5577" s="294" t="s">
        <v>703</v>
      </c>
      <c r="B5577" s="1151" t="s">
        <v>3910</v>
      </c>
      <c r="C5577" s="1151"/>
      <c r="D5577" s="1151"/>
      <c r="E5577" s="1151"/>
      <c r="F5577" s="1151"/>
      <c r="G5577" s="255">
        <f>G5571+G5576</f>
        <v>49242</v>
      </c>
    </row>
    <row r="5578" spans="1:8" s="265" customFormat="1">
      <c r="A5578" s="294" t="s">
        <v>706</v>
      </c>
      <c r="B5578" s="1148" t="s">
        <v>876</v>
      </c>
      <c r="C5578" s="1148"/>
      <c r="D5578" s="1148"/>
      <c r="E5578" s="1147" t="s">
        <v>4030</v>
      </c>
      <c r="F5578" s="1147"/>
      <c r="G5578" s="255">
        <f>G5577*0.15</f>
        <v>7386.2999999999993</v>
      </c>
    </row>
    <row r="5579" spans="1:8" s="265" customFormat="1">
      <c r="A5579" s="294" t="s">
        <v>708</v>
      </c>
      <c r="B5579" s="1149" t="s">
        <v>3911</v>
      </c>
      <c r="C5579" s="1149"/>
      <c r="D5579" s="1149"/>
      <c r="E5579" s="1149"/>
      <c r="F5579" s="1149"/>
      <c r="G5579" s="255">
        <f>ROUND(SUM(G5577:G5578),2)</f>
        <v>56628.3</v>
      </c>
      <c r="H5579" s="255">
        <f>SUM(G5577:G5578)</f>
        <v>56628.3</v>
      </c>
    </row>
    <row r="5580" spans="1:8">
      <c r="A5580" s="268"/>
      <c r="B5580" s="269"/>
      <c r="C5580" s="268"/>
      <c r="D5580" s="268"/>
      <c r="E5580" s="380"/>
      <c r="F5580" s="365"/>
      <c r="G5580" s="270"/>
    </row>
    <row r="5581" spans="1:8">
      <c r="A5581" s="285" t="s">
        <v>4335</v>
      </c>
      <c r="B5581" s="250" t="s">
        <v>2746</v>
      </c>
      <c r="C5581" s="252"/>
      <c r="D5581" s="252"/>
      <c r="E5581" s="374"/>
      <c r="F5581" s="361"/>
      <c r="G5581" s="253"/>
    </row>
    <row r="5582" spans="1:8" s="292" customFormat="1" ht="24.95" customHeight="1">
      <c r="A5582" s="290" t="s">
        <v>1003</v>
      </c>
      <c r="B5582" s="290" t="s">
        <v>1004</v>
      </c>
      <c r="C5582" s="290" t="s">
        <v>1005</v>
      </c>
      <c r="D5582" s="290" t="s">
        <v>1006</v>
      </c>
      <c r="E5582" s="373" t="s">
        <v>1007</v>
      </c>
      <c r="F5582" s="363" t="s">
        <v>2637</v>
      </c>
      <c r="G5582" s="291" t="s">
        <v>2638</v>
      </c>
    </row>
    <row r="5583" spans="1:8">
      <c r="A5583" s="294" t="s">
        <v>671</v>
      </c>
      <c r="B5583" s="410" t="s">
        <v>672</v>
      </c>
      <c r="C5583" s="247"/>
      <c r="D5583" s="247"/>
      <c r="E5583" s="372"/>
      <c r="F5583" s="360"/>
      <c r="G5583" s="248"/>
    </row>
    <row r="5584" spans="1:8">
      <c r="A5584" s="294"/>
      <c r="B5584" s="410" t="s">
        <v>673</v>
      </c>
      <c r="C5584" s="247" t="s">
        <v>674</v>
      </c>
      <c r="D5584" s="247" t="s">
        <v>675</v>
      </c>
      <c r="E5584" s="372">
        <v>0.1</v>
      </c>
      <c r="F5584" s="360">
        <f>'UPAD-BAHAN-ALAT'!$I$12</f>
        <v>110000</v>
      </c>
      <c r="G5584" s="248">
        <f>F5584*E5584</f>
        <v>11000</v>
      </c>
    </row>
    <row r="5585" spans="1:8">
      <c r="A5585" s="294"/>
      <c r="B5585" s="410" t="s">
        <v>683</v>
      </c>
      <c r="C5585" s="247" t="s">
        <v>684</v>
      </c>
      <c r="D5585" s="247" t="s">
        <v>675</v>
      </c>
      <c r="E5585" s="372">
        <v>6.0000000000000001E-3</v>
      </c>
      <c r="F5585" s="360">
        <f>'UPAD-BAHAN-ALAT'!$I$14</f>
        <v>140000</v>
      </c>
      <c r="G5585" s="248">
        <f>F5585*E5585</f>
        <v>840</v>
      </c>
    </row>
    <row r="5586" spans="1:8">
      <c r="A5586" s="294"/>
      <c r="B5586" s="410"/>
      <c r="C5586" s="247"/>
      <c r="D5586" s="247"/>
      <c r="E5586" s="1146" t="s">
        <v>685</v>
      </c>
      <c r="F5586" s="1146"/>
      <c r="G5586" s="248">
        <f>SUM(G5584:G5585)</f>
        <v>11840</v>
      </c>
    </row>
    <row r="5587" spans="1:8">
      <c r="A5587" s="294" t="s">
        <v>686</v>
      </c>
      <c r="B5587" s="410" t="s">
        <v>687</v>
      </c>
      <c r="C5587" s="247"/>
      <c r="D5587" s="247"/>
      <c r="E5587" s="372"/>
      <c r="F5587" s="360"/>
      <c r="G5587" s="248"/>
    </row>
    <row r="5588" spans="1:8">
      <c r="A5588" s="294"/>
      <c r="B5588" s="410" t="s">
        <v>1381</v>
      </c>
      <c r="C5588" s="247"/>
      <c r="D5588" s="247" t="s">
        <v>896</v>
      </c>
      <c r="E5588" s="372">
        <v>0.35</v>
      </c>
      <c r="F5588" s="360">
        <f>'UPAD-BAHAN-ALAT'!$I$381</f>
        <v>8400</v>
      </c>
      <c r="G5588" s="248">
        <f>F5588*E5588</f>
        <v>2940</v>
      </c>
    </row>
    <row r="5589" spans="1:8">
      <c r="A5589" s="247"/>
      <c r="B5589" s="295"/>
      <c r="C5589" s="296"/>
      <c r="D5589" s="296"/>
      <c r="E5589" s="1146" t="s">
        <v>702</v>
      </c>
      <c r="F5589" s="1146"/>
      <c r="G5589" s="248">
        <f>SUM(G5588)</f>
        <v>2940</v>
      </c>
    </row>
    <row r="5590" spans="1:8" s="265" customFormat="1">
      <c r="A5590" s="294" t="s">
        <v>703</v>
      </c>
      <c r="B5590" s="1147" t="s">
        <v>3910</v>
      </c>
      <c r="C5590" s="1147"/>
      <c r="D5590" s="1147"/>
      <c r="E5590" s="1147"/>
      <c r="F5590" s="1147"/>
      <c r="G5590" s="255">
        <f>G5586+G5589</f>
        <v>14780</v>
      </c>
    </row>
    <row r="5591" spans="1:8" s="265" customFormat="1">
      <c r="A5591" s="294" t="s">
        <v>706</v>
      </c>
      <c r="B5591" s="1148" t="s">
        <v>876</v>
      </c>
      <c r="C5591" s="1148"/>
      <c r="D5591" s="1148"/>
      <c r="E5591" s="1147" t="s">
        <v>4030</v>
      </c>
      <c r="F5591" s="1147"/>
      <c r="G5591" s="255">
        <f>G5590*0.15</f>
        <v>2217</v>
      </c>
    </row>
    <row r="5592" spans="1:8" s="265" customFormat="1">
      <c r="A5592" s="294" t="s">
        <v>708</v>
      </c>
      <c r="B5592" s="1149" t="s">
        <v>3911</v>
      </c>
      <c r="C5592" s="1149"/>
      <c r="D5592" s="1149"/>
      <c r="E5592" s="1149"/>
      <c r="F5592" s="1149"/>
      <c r="G5592" s="255">
        <f>ROUND(SUM(G5590:G5591),2)</f>
        <v>16997</v>
      </c>
      <c r="H5592" s="255">
        <f>SUM(G5590:G5591)</f>
        <v>16997</v>
      </c>
    </row>
    <row r="5594" spans="1:8">
      <c r="A5594" s="286" t="s">
        <v>4336</v>
      </c>
      <c r="B5594" s="265" t="s">
        <v>2745</v>
      </c>
    </row>
    <row r="5595" spans="1:8" s="292" customFormat="1" ht="24.95" customHeight="1">
      <c r="A5595" s="290" t="s">
        <v>1003</v>
      </c>
      <c r="B5595" s="290" t="s">
        <v>1004</v>
      </c>
      <c r="C5595" s="290" t="s">
        <v>1005</v>
      </c>
      <c r="D5595" s="290" t="s">
        <v>1006</v>
      </c>
      <c r="E5595" s="373" t="s">
        <v>1007</v>
      </c>
      <c r="F5595" s="363" t="s">
        <v>2637</v>
      </c>
      <c r="G5595" s="291" t="s">
        <v>2638</v>
      </c>
    </row>
    <row r="5596" spans="1:8">
      <c r="A5596" s="294" t="s">
        <v>671</v>
      </c>
      <c r="B5596" s="410" t="s">
        <v>672</v>
      </c>
      <c r="C5596" s="247"/>
      <c r="D5596" s="247"/>
      <c r="E5596" s="372"/>
      <c r="F5596" s="360"/>
      <c r="G5596" s="248"/>
    </row>
    <row r="5597" spans="1:8">
      <c r="A5597" s="294"/>
      <c r="B5597" s="410" t="s">
        <v>673</v>
      </c>
      <c r="C5597" s="247" t="s">
        <v>674</v>
      </c>
      <c r="D5597" s="247" t="s">
        <v>675</v>
      </c>
      <c r="E5597" s="372">
        <v>0.16</v>
      </c>
      <c r="F5597" s="360">
        <f>'UPAD-BAHAN-ALAT'!$I$12</f>
        <v>110000</v>
      </c>
      <c r="G5597" s="248">
        <f>F5597*E5597</f>
        <v>17600</v>
      </c>
    </row>
    <row r="5598" spans="1:8">
      <c r="A5598" s="294"/>
      <c r="B5598" s="410" t="s">
        <v>1368</v>
      </c>
      <c r="C5598" s="247" t="s">
        <v>678</v>
      </c>
      <c r="D5598" s="247" t="s">
        <v>675</v>
      </c>
      <c r="E5598" s="372">
        <v>0.16</v>
      </c>
      <c r="F5598" s="360">
        <f>'UPAD-BAHAN-ALAT'!$I$13</f>
        <v>140000</v>
      </c>
      <c r="G5598" s="248">
        <f>F5598*E5598</f>
        <v>22400</v>
      </c>
    </row>
    <row r="5599" spans="1:8">
      <c r="A5599" s="294"/>
      <c r="B5599" s="410" t="s">
        <v>751</v>
      </c>
      <c r="C5599" s="247" t="s">
        <v>681</v>
      </c>
      <c r="D5599" s="247" t="s">
        <v>675</v>
      </c>
      <c r="E5599" s="372">
        <v>1.6E-2</v>
      </c>
      <c r="F5599" s="360">
        <f>'UPAD-BAHAN-ALAT'!$I$15</f>
        <v>150000</v>
      </c>
      <c r="G5599" s="248">
        <f>F5599*E5599</f>
        <v>2400</v>
      </c>
    </row>
    <row r="5600" spans="1:8">
      <c r="A5600" s="294"/>
      <c r="B5600" s="410" t="s">
        <v>683</v>
      </c>
      <c r="C5600" s="247" t="s">
        <v>684</v>
      </c>
      <c r="D5600" s="247" t="s">
        <v>675</v>
      </c>
      <c r="E5600" s="372">
        <v>3.0000000000000001E-3</v>
      </c>
      <c r="F5600" s="360">
        <f>'UPAD-BAHAN-ALAT'!$I$14</f>
        <v>140000</v>
      </c>
      <c r="G5600" s="248">
        <f>F5600*E5600</f>
        <v>420</v>
      </c>
    </row>
    <row r="5601" spans="1:8">
      <c r="A5601" s="294"/>
      <c r="B5601" s="410"/>
      <c r="C5601" s="247"/>
      <c r="D5601" s="247"/>
      <c r="E5601" s="1146" t="s">
        <v>685</v>
      </c>
      <c r="F5601" s="1146"/>
      <c r="G5601" s="248">
        <f>SUM(G5597:G5600)</f>
        <v>42820</v>
      </c>
    </row>
    <row r="5602" spans="1:8">
      <c r="A5602" s="294" t="s">
        <v>686</v>
      </c>
      <c r="B5602" s="410" t="s">
        <v>687</v>
      </c>
      <c r="C5602" s="247"/>
      <c r="D5602" s="247"/>
      <c r="E5602" s="372"/>
      <c r="F5602" s="360"/>
      <c r="G5602" s="248"/>
    </row>
    <row r="5603" spans="1:8">
      <c r="A5603" s="247"/>
      <c r="B5603" s="410" t="s">
        <v>1383</v>
      </c>
      <c r="C5603" s="247"/>
      <c r="D5603" s="247" t="s">
        <v>896</v>
      </c>
      <c r="E5603" s="372">
        <v>0.15</v>
      </c>
      <c r="F5603" s="360">
        <f>'UPAD-BAHAN-ALAT'!$I$370</f>
        <v>61000</v>
      </c>
      <c r="G5603" s="248">
        <f>F5603*E5603</f>
        <v>9150</v>
      </c>
    </row>
    <row r="5604" spans="1:8">
      <c r="A5604" s="247"/>
      <c r="B5604" s="410" t="s">
        <v>1384</v>
      </c>
      <c r="C5604" s="247"/>
      <c r="D5604" s="247" t="s">
        <v>690</v>
      </c>
      <c r="E5604" s="372">
        <v>0.05</v>
      </c>
      <c r="F5604" s="360">
        <f>'UPAD-BAHAN-ALAT'!$I$376</f>
        <v>16500</v>
      </c>
      <c r="G5604" s="248">
        <f>F5604*E5604</f>
        <v>825</v>
      </c>
    </row>
    <row r="5605" spans="1:8">
      <c r="A5605" s="247"/>
      <c r="B5605" s="410" t="s">
        <v>1375</v>
      </c>
      <c r="C5605" s="247"/>
      <c r="D5605" s="247" t="s">
        <v>715</v>
      </c>
      <c r="E5605" s="372">
        <v>0.1</v>
      </c>
      <c r="F5605" s="624">
        <f>'UPAD-BAHAN-ALAT'!$I$502</f>
        <v>3500</v>
      </c>
      <c r="G5605" s="248">
        <f>F5605*E5605</f>
        <v>350</v>
      </c>
    </row>
    <row r="5606" spans="1:8">
      <c r="A5606" s="247"/>
      <c r="B5606" s="295"/>
      <c r="C5606" s="296"/>
      <c r="D5606" s="296"/>
      <c r="E5606" s="1146" t="s">
        <v>702</v>
      </c>
      <c r="F5606" s="1146"/>
      <c r="G5606" s="248">
        <f>SUM(G5603:G5605)</f>
        <v>10325</v>
      </c>
    </row>
    <row r="5607" spans="1:8" s="265" customFormat="1">
      <c r="A5607" s="294" t="s">
        <v>703</v>
      </c>
      <c r="B5607" s="1147" t="s">
        <v>3910</v>
      </c>
      <c r="C5607" s="1147"/>
      <c r="D5607" s="1147"/>
      <c r="E5607" s="1147"/>
      <c r="F5607" s="1147"/>
      <c r="G5607" s="255">
        <f>G5601+G5606</f>
        <v>53145</v>
      </c>
    </row>
    <row r="5608" spans="1:8" s="265" customFormat="1">
      <c r="A5608" s="294" t="s">
        <v>706</v>
      </c>
      <c r="B5608" s="1148" t="s">
        <v>876</v>
      </c>
      <c r="C5608" s="1148"/>
      <c r="D5608" s="1148"/>
      <c r="E5608" s="1147" t="s">
        <v>4030</v>
      </c>
      <c r="F5608" s="1147"/>
      <c r="G5608" s="255">
        <f>G5607*0.15</f>
        <v>7971.75</v>
      </c>
    </row>
    <row r="5609" spans="1:8" s="265" customFormat="1">
      <c r="A5609" s="294" t="s">
        <v>708</v>
      </c>
      <c r="B5609" s="1149" t="s">
        <v>3911</v>
      </c>
      <c r="C5609" s="1149"/>
      <c r="D5609" s="1149"/>
      <c r="E5609" s="1149"/>
      <c r="F5609" s="1149"/>
      <c r="G5609" s="255">
        <f>ROUND(SUM(G5607:G5608),2)</f>
        <v>61116.75</v>
      </c>
      <c r="H5609" s="255">
        <f>SUM(G5607:G5608)</f>
        <v>61116.75</v>
      </c>
    </row>
    <row r="5610" spans="1:8">
      <c r="A5610" s="252"/>
      <c r="B5610" s="251"/>
      <c r="C5610" s="252"/>
      <c r="D5610" s="251"/>
      <c r="E5610" s="378"/>
      <c r="F5610" s="364"/>
      <c r="G5610" s="264"/>
      <c r="H5610" s="253"/>
    </row>
    <row r="5611" spans="1:8">
      <c r="A5611" s="286" t="s">
        <v>4337</v>
      </c>
      <c r="B5611" s="265" t="s">
        <v>4720</v>
      </c>
    </row>
    <row r="5612" spans="1:8" s="292" customFormat="1" ht="24.95" customHeight="1">
      <c r="A5612" s="290" t="s">
        <v>1003</v>
      </c>
      <c r="B5612" s="290" t="s">
        <v>1004</v>
      </c>
      <c r="C5612" s="290" t="s">
        <v>1005</v>
      </c>
      <c r="D5612" s="290" t="s">
        <v>1006</v>
      </c>
      <c r="E5612" s="373" t="s">
        <v>1007</v>
      </c>
      <c r="F5612" s="363" t="s">
        <v>2637</v>
      </c>
      <c r="G5612" s="291" t="s">
        <v>2638</v>
      </c>
    </row>
    <row r="5613" spans="1:8">
      <c r="A5613" s="294" t="s">
        <v>671</v>
      </c>
      <c r="B5613" s="410" t="s">
        <v>672</v>
      </c>
      <c r="C5613" s="247"/>
      <c r="D5613" s="247"/>
      <c r="E5613" s="372"/>
      <c r="F5613" s="360"/>
      <c r="G5613" s="248"/>
    </row>
    <row r="5614" spans="1:8">
      <c r="A5614" s="294"/>
      <c r="B5614" s="410" t="s">
        <v>673</v>
      </c>
      <c r="C5614" s="247" t="s">
        <v>674</v>
      </c>
      <c r="D5614" s="247" t="s">
        <v>675</v>
      </c>
      <c r="E5614" s="372">
        <v>0.16</v>
      </c>
      <c r="F5614" s="360">
        <f>'UPAD-BAHAN-ALAT'!$I$12</f>
        <v>110000</v>
      </c>
      <c r="G5614" s="248">
        <f>F5614*E5614</f>
        <v>17600</v>
      </c>
    </row>
    <row r="5615" spans="1:8">
      <c r="A5615" s="294"/>
      <c r="B5615" s="410" t="s">
        <v>1368</v>
      </c>
      <c r="C5615" s="247" t="s">
        <v>678</v>
      </c>
      <c r="D5615" s="247" t="s">
        <v>675</v>
      </c>
      <c r="E5615" s="372">
        <v>0.16</v>
      </c>
      <c r="F5615" s="360">
        <f>'UPAD-BAHAN-ALAT'!$I$13</f>
        <v>140000</v>
      </c>
      <c r="G5615" s="248">
        <f>F5615*E5615</f>
        <v>22400</v>
      </c>
    </row>
    <row r="5616" spans="1:8">
      <c r="A5616" s="294"/>
      <c r="B5616" s="410" t="s">
        <v>751</v>
      </c>
      <c r="C5616" s="247" t="s">
        <v>681</v>
      </c>
      <c r="D5616" s="247" t="s">
        <v>675</v>
      </c>
      <c r="E5616" s="372">
        <v>1.6E-2</v>
      </c>
      <c r="F5616" s="360">
        <f>'UPAD-BAHAN-ALAT'!$I$15</f>
        <v>150000</v>
      </c>
      <c r="G5616" s="248">
        <f>F5616*E5616</f>
        <v>2400</v>
      </c>
    </row>
    <row r="5617" spans="1:8">
      <c r="A5617" s="294"/>
      <c r="B5617" s="410" t="s">
        <v>683</v>
      </c>
      <c r="C5617" s="247" t="s">
        <v>684</v>
      </c>
      <c r="D5617" s="247" t="s">
        <v>675</v>
      </c>
      <c r="E5617" s="372">
        <v>3.0000000000000001E-3</v>
      </c>
      <c r="F5617" s="360">
        <f>'UPAD-BAHAN-ALAT'!$I$14</f>
        <v>140000</v>
      </c>
      <c r="G5617" s="248">
        <f>F5617*E5617</f>
        <v>420</v>
      </c>
    </row>
    <row r="5618" spans="1:8">
      <c r="A5618" s="294"/>
      <c r="B5618" s="410"/>
      <c r="C5618" s="247"/>
      <c r="D5618" s="247"/>
      <c r="E5618" s="1146" t="s">
        <v>685</v>
      </c>
      <c r="F5618" s="1146"/>
      <c r="G5618" s="248">
        <f>SUM(G5614:G5617)</f>
        <v>42820</v>
      </c>
    </row>
    <row r="5619" spans="1:8">
      <c r="A5619" s="294" t="s">
        <v>686</v>
      </c>
      <c r="B5619" s="410" t="s">
        <v>687</v>
      </c>
      <c r="C5619" s="247"/>
      <c r="D5619" s="247"/>
      <c r="E5619" s="372"/>
      <c r="F5619" s="360"/>
      <c r="G5619" s="248"/>
    </row>
    <row r="5620" spans="1:8">
      <c r="A5620" s="247"/>
      <c r="B5620" s="410" t="s">
        <v>3167</v>
      </c>
      <c r="C5620" s="247"/>
      <c r="D5620" s="247" t="s">
        <v>773</v>
      </c>
      <c r="E5620" s="372">
        <v>0.15</v>
      </c>
      <c r="F5620" s="360">
        <f>'UPAD-BAHAN-ALAT'!$I$378</f>
        <v>7500</v>
      </c>
      <c r="G5620" s="248">
        <f>F5620*E5620</f>
        <v>1125</v>
      </c>
    </row>
    <row r="5621" spans="1:8">
      <c r="A5621" s="247"/>
      <c r="B5621" s="410" t="s">
        <v>3607</v>
      </c>
      <c r="C5621" s="247"/>
      <c r="D5621" s="247" t="s">
        <v>773</v>
      </c>
      <c r="E5621" s="372">
        <v>0.17</v>
      </c>
      <c r="F5621" s="360">
        <f>'UPAD-BAHAN-ALAT'!$I$373</f>
        <v>35000</v>
      </c>
      <c r="G5621" s="248">
        <f>F5621*E5621</f>
        <v>5950</v>
      </c>
    </row>
    <row r="5622" spans="1:8">
      <c r="A5622" s="247"/>
      <c r="B5622" s="410" t="s">
        <v>3608</v>
      </c>
      <c r="C5622" s="247"/>
      <c r="D5622" s="247" t="s">
        <v>773</v>
      </c>
      <c r="E5622" s="372">
        <v>0.17</v>
      </c>
      <c r="F5622" s="624">
        <f>'UPAD-BAHAN-ALAT'!$I$364</f>
        <v>70000</v>
      </c>
      <c r="G5622" s="248">
        <f>F5622*E5622</f>
        <v>11900</v>
      </c>
    </row>
    <row r="5623" spans="1:8">
      <c r="A5623" s="247"/>
      <c r="B5623" s="295"/>
      <c r="C5623" s="296"/>
      <c r="D5623" s="296"/>
      <c r="E5623" s="1146" t="s">
        <v>702</v>
      </c>
      <c r="F5623" s="1146"/>
      <c r="G5623" s="248">
        <f>SUM(G5620:G5622)</f>
        <v>18975</v>
      </c>
    </row>
    <row r="5624" spans="1:8" s="265" customFormat="1">
      <c r="A5624" s="294" t="s">
        <v>703</v>
      </c>
      <c r="B5624" s="1147" t="s">
        <v>3910</v>
      </c>
      <c r="C5624" s="1147"/>
      <c r="D5624" s="1147"/>
      <c r="E5624" s="1147"/>
      <c r="F5624" s="1147"/>
      <c r="G5624" s="255">
        <f>G5618+G5623</f>
        <v>61795</v>
      </c>
    </row>
    <row r="5625" spans="1:8" s="265" customFormat="1">
      <c r="A5625" s="294" t="s">
        <v>706</v>
      </c>
      <c r="B5625" s="1148" t="s">
        <v>876</v>
      </c>
      <c r="C5625" s="1148"/>
      <c r="D5625" s="1148"/>
      <c r="E5625" s="1147" t="s">
        <v>4030</v>
      </c>
      <c r="F5625" s="1147"/>
      <c r="G5625" s="255">
        <f>G5624*0.15</f>
        <v>9269.25</v>
      </c>
    </row>
    <row r="5626" spans="1:8" s="265" customFormat="1">
      <c r="A5626" s="294" t="s">
        <v>708</v>
      </c>
      <c r="B5626" s="1149" t="s">
        <v>3911</v>
      </c>
      <c r="C5626" s="1149"/>
      <c r="D5626" s="1149"/>
      <c r="E5626" s="1149"/>
      <c r="F5626" s="1149"/>
      <c r="G5626" s="255">
        <f>ROUND(SUM(G5624:G5625),2)</f>
        <v>71064.25</v>
      </c>
      <c r="H5626" s="255">
        <f>SUM(G5624:G5625)</f>
        <v>71064.25</v>
      </c>
    </row>
    <row r="5627" spans="1:8">
      <c r="A5627" s="268"/>
      <c r="B5627" s="269"/>
      <c r="C5627" s="268"/>
      <c r="D5627" s="268"/>
      <c r="E5627" s="380"/>
      <c r="F5627" s="365"/>
      <c r="G5627" s="270"/>
    </row>
    <row r="5628" spans="1:8" s="814" customFormat="1">
      <c r="A5628" s="921" t="s">
        <v>4338</v>
      </c>
      <c r="B5628" s="809" t="s">
        <v>4659</v>
      </c>
      <c r="C5628" s="810"/>
      <c r="D5628" s="810"/>
      <c r="E5628" s="811"/>
      <c r="F5628" s="812"/>
      <c r="G5628" s="813"/>
    </row>
    <row r="5629" spans="1:8" s="858" customFormat="1" ht="24.95" customHeight="1">
      <c r="A5629" s="853" t="s">
        <v>1003</v>
      </c>
      <c r="B5629" s="853" t="s">
        <v>1004</v>
      </c>
      <c r="C5629" s="853" t="s">
        <v>1005</v>
      </c>
      <c r="D5629" s="853" t="s">
        <v>1006</v>
      </c>
      <c r="E5629" s="880" t="s">
        <v>1007</v>
      </c>
      <c r="F5629" s="881" t="s">
        <v>2637</v>
      </c>
      <c r="G5629" s="857" t="s">
        <v>2638</v>
      </c>
    </row>
    <row r="5630" spans="1:8" s="814" customFormat="1">
      <c r="A5630" s="859" t="s">
        <v>671</v>
      </c>
      <c r="B5630" s="891" t="s">
        <v>672</v>
      </c>
      <c r="C5630" s="865"/>
      <c r="D5630" s="865"/>
      <c r="E5630" s="889"/>
      <c r="F5630" s="866"/>
      <c r="G5630" s="864"/>
    </row>
    <row r="5631" spans="1:8" s="814" customFormat="1">
      <c r="A5631" s="859"/>
      <c r="B5631" s="891" t="s">
        <v>673</v>
      </c>
      <c r="C5631" s="865" t="s">
        <v>674</v>
      </c>
      <c r="D5631" s="865" t="s">
        <v>675</v>
      </c>
      <c r="E5631" s="889">
        <v>0.02</v>
      </c>
      <c r="F5631" s="866">
        <f>'UPAD-BAHAN-ALAT'!$I$12</f>
        <v>110000</v>
      </c>
      <c r="G5631" s="864">
        <f>F5631*E5631</f>
        <v>2200</v>
      </c>
    </row>
    <row r="5632" spans="1:8" s="814" customFormat="1">
      <c r="A5632" s="859"/>
      <c r="B5632" s="891" t="s">
        <v>1368</v>
      </c>
      <c r="C5632" s="865" t="s">
        <v>678</v>
      </c>
      <c r="D5632" s="865" t="s">
        <v>675</v>
      </c>
      <c r="E5632" s="889">
        <v>6.3E-2</v>
      </c>
      <c r="F5632" s="866">
        <f>'UPAD-BAHAN-ALAT'!$I$13</f>
        <v>140000</v>
      </c>
      <c r="G5632" s="864">
        <f>F5632*E5632</f>
        <v>8820</v>
      </c>
    </row>
    <row r="5633" spans="1:8" s="814" customFormat="1">
      <c r="A5633" s="859"/>
      <c r="B5633" s="891" t="s">
        <v>751</v>
      </c>
      <c r="C5633" s="865" t="s">
        <v>681</v>
      </c>
      <c r="D5633" s="865" t="s">
        <v>675</v>
      </c>
      <c r="E5633" s="889">
        <v>6.3E-3</v>
      </c>
      <c r="F5633" s="866">
        <f>'UPAD-BAHAN-ALAT'!$I$15</f>
        <v>150000</v>
      </c>
      <c r="G5633" s="864">
        <f>F5633*E5633</f>
        <v>945</v>
      </c>
    </row>
    <row r="5634" spans="1:8" s="814" customFormat="1">
      <c r="A5634" s="859"/>
      <c r="B5634" s="891" t="s">
        <v>683</v>
      </c>
      <c r="C5634" s="865" t="s">
        <v>684</v>
      </c>
      <c r="D5634" s="865" t="s">
        <v>675</v>
      </c>
      <c r="E5634" s="889">
        <v>3.0000000000000001E-3</v>
      </c>
      <c r="F5634" s="866">
        <f>'UPAD-BAHAN-ALAT'!$I$14</f>
        <v>140000</v>
      </c>
      <c r="G5634" s="864">
        <f>F5634*E5634</f>
        <v>420</v>
      </c>
    </row>
    <row r="5635" spans="1:8" s="814" customFormat="1">
      <c r="A5635" s="859"/>
      <c r="B5635" s="891"/>
      <c r="C5635" s="865"/>
      <c r="D5635" s="865"/>
      <c r="E5635" s="1156" t="s">
        <v>685</v>
      </c>
      <c r="F5635" s="1156"/>
      <c r="G5635" s="864">
        <f>SUM(G5631:G5634)</f>
        <v>12385</v>
      </c>
    </row>
    <row r="5636" spans="1:8" s="814" customFormat="1">
      <c r="A5636" s="859" t="s">
        <v>686</v>
      </c>
      <c r="B5636" s="891" t="s">
        <v>687</v>
      </c>
      <c r="C5636" s="865"/>
      <c r="D5636" s="865"/>
      <c r="E5636" s="889"/>
      <c r="F5636" s="866"/>
      <c r="G5636" s="864"/>
    </row>
    <row r="5637" spans="1:8" s="814" customFormat="1">
      <c r="A5637" s="865"/>
      <c r="B5637" s="891" t="s">
        <v>1370</v>
      </c>
      <c r="C5637" s="865"/>
      <c r="D5637" s="865" t="s">
        <v>690</v>
      </c>
      <c r="E5637" s="889">
        <v>0.1</v>
      </c>
      <c r="F5637" s="866">
        <f>'UPAD-BAHAN-ALAT'!$I$378</f>
        <v>7500</v>
      </c>
      <c r="G5637" s="864">
        <f>F5637*E5637</f>
        <v>750</v>
      </c>
    </row>
    <row r="5638" spans="1:8" s="814" customFormat="1">
      <c r="A5638" s="865"/>
      <c r="B5638" s="891" t="s">
        <v>1371</v>
      </c>
      <c r="C5638" s="865"/>
      <c r="D5638" s="865" t="s">
        <v>690</v>
      </c>
      <c r="E5638" s="889">
        <v>0.1</v>
      </c>
      <c r="F5638" s="866">
        <f>'UPAD-BAHAN-ALAT'!$I$373</f>
        <v>35000</v>
      </c>
      <c r="G5638" s="864">
        <f>F5638*E5638</f>
        <v>3500</v>
      </c>
    </row>
    <row r="5639" spans="1:8" s="814" customFormat="1">
      <c r="A5639" s="865"/>
      <c r="B5639" s="891" t="s">
        <v>3613</v>
      </c>
      <c r="C5639" s="865"/>
      <c r="D5639" s="865" t="s">
        <v>690</v>
      </c>
      <c r="E5639" s="889">
        <v>0.26</v>
      </c>
      <c r="F5639" s="866">
        <f>'UPAD-BAHAN-ALAT'!$I$367</f>
        <v>37000</v>
      </c>
      <c r="G5639" s="864">
        <f>F5639*E5639</f>
        <v>9620</v>
      </c>
    </row>
    <row r="5640" spans="1:8" s="814" customFormat="1">
      <c r="A5640" s="865"/>
      <c r="B5640" s="900"/>
      <c r="C5640" s="897"/>
      <c r="D5640" s="897"/>
      <c r="E5640" s="1156" t="s">
        <v>702</v>
      </c>
      <c r="F5640" s="1156"/>
      <c r="G5640" s="864">
        <f>SUM(G5637:G5639)</f>
        <v>13870</v>
      </c>
    </row>
    <row r="5641" spans="1:8" s="848" customFormat="1">
      <c r="A5641" s="859" t="s">
        <v>703</v>
      </c>
      <c r="B5641" s="1153" t="s">
        <v>3910</v>
      </c>
      <c r="C5641" s="1153"/>
      <c r="D5641" s="1153"/>
      <c r="E5641" s="1153"/>
      <c r="F5641" s="1153"/>
      <c r="G5641" s="872">
        <f>G5635+G5640</f>
        <v>26255</v>
      </c>
    </row>
    <row r="5642" spans="1:8" s="848" customFormat="1">
      <c r="A5642" s="859" t="s">
        <v>706</v>
      </c>
      <c r="B5642" s="1152" t="s">
        <v>876</v>
      </c>
      <c r="C5642" s="1152"/>
      <c r="D5642" s="1152"/>
      <c r="E5642" s="1153" t="s">
        <v>4030</v>
      </c>
      <c r="F5642" s="1153"/>
      <c r="G5642" s="872">
        <f>G5641*0.15</f>
        <v>3938.25</v>
      </c>
    </row>
    <row r="5643" spans="1:8" s="848" customFormat="1">
      <c r="A5643" s="859" t="s">
        <v>708</v>
      </c>
      <c r="B5643" s="1154" t="s">
        <v>3911</v>
      </c>
      <c r="C5643" s="1154"/>
      <c r="D5643" s="1154"/>
      <c r="E5643" s="1154"/>
      <c r="F5643" s="1154"/>
      <c r="G5643" s="872">
        <f>ROUND(SUM(G5641:G5642),2)</f>
        <v>30193.25</v>
      </c>
      <c r="H5643" s="872">
        <f>SUM(G5641:G5642)</f>
        <v>30193.25</v>
      </c>
    </row>
    <row r="5644" spans="1:8">
      <c r="A5644" s="252"/>
      <c r="B5644" s="251"/>
      <c r="C5644" s="252"/>
      <c r="D5644" s="251"/>
      <c r="E5644" s="378"/>
      <c r="F5644" s="364"/>
      <c r="G5644" s="264"/>
      <c r="H5644" s="253"/>
    </row>
    <row r="5645" spans="1:8">
      <c r="A5645" s="285" t="s">
        <v>4339</v>
      </c>
      <c r="B5645" s="655" t="s">
        <v>4660</v>
      </c>
      <c r="C5645" s="252"/>
      <c r="D5645" s="252"/>
      <c r="E5645" s="374"/>
      <c r="F5645" s="361"/>
      <c r="G5645" s="253"/>
    </row>
    <row r="5646" spans="1:8" s="292" customFormat="1" ht="24.95" customHeight="1">
      <c r="A5646" s="290" t="s">
        <v>1003</v>
      </c>
      <c r="B5646" s="290" t="s">
        <v>1004</v>
      </c>
      <c r="C5646" s="290" t="s">
        <v>1005</v>
      </c>
      <c r="D5646" s="290" t="s">
        <v>1006</v>
      </c>
      <c r="E5646" s="373" t="s">
        <v>1007</v>
      </c>
      <c r="F5646" s="363" t="s">
        <v>2637</v>
      </c>
      <c r="G5646" s="291" t="s">
        <v>2638</v>
      </c>
    </row>
    <row r="5647" spans="1:8">
      <c r="A5647" s="294" t="s">
        <v>671</v>
      </c>
      <c r="B5647" s="410" t="s">
        <v>672</v>
      </c>
      <c r="C5647" s="247"/>
      <c r="D5647" s="247"/>
      <c r="E5647" s="372"/>
      <c r="F5647" s="360"/>
      <c r="G5647" s="248"/>
    </row>
    <row r="5648" spans="1:8">
      <c r="A5648" s="294"/>
      <c r="B5648" s="410" t="s">
        <v>673</v>
      </c>
      <c r="C5648" s="247" t="s">
        <v>674</v>
      </c>
      <c r="D5648" s="247" t="s">
        <v>675</v>
      </c>
      <c r="E5648" s="372">
        <v>0.02</v>
      </c>
      <c r="F5648" s="360">
        <f>'UPAD-BAHAN-ALAT'!$I$12</f>
        <v>110000</v>
      </c>
      <c r="G5648" s="248">
        <f>F5648*E5648</f>
        <v>2200</v>
      </c>
    </row>
    <row r="5649" spans="1:8">
      <c r="A5649" s="294"/>
      <c r="B5649" s="410" t="s">
        <v>1368</v>
      </c>
      <c r="C5649" s="247" t="s">
        <v>678</v>
      </c>
      <c r="D5649" s="247" t="s">
        <v>675</v>
      </c>
      <c r="E5649" s="372">
        <v>6.3E-2</v>
      </c>
      <c r="F5649" s="360">
        <f>'UPAD-BAHAN-ALAT'!$I$13</f>
        <v>140000</v>
      </c>
      <c r="G5649" s="248">
        <f>F5649*E5649</f>
        <v>8820</v>
      </c>
    </row>
    <row r="5650" spans="1:8">
      <c r="A5650" s="294"/>
      <c r="B5650" s="410" t="s">
        <v>751</v>
      </c>
      <c r="C5650" s="247" t="s">
        <v>681</v>
      </c>
      <c r="D5650" s="247" t="s">
        <v>675</v>
      </c>
      <c r="E5650" s="372">
        <v>6.3E-3</v>
      </c>
      <c r="F5650" s="360">
        <f>'UPAD-BAHAN-ALAT'!$I$15</f>
        <v>150000</v>
      </c>
      <c r="G5650" s="248">
        <f>F5650*E5650</f>
        <v>945</v>
      </c>
    </row>
    <row r="5651" spans="1:8">
      <c r="A5651" s="294"/>
      <c r="B5651" s="410" t="s">
        <v>683</v>
      </c>
      <c r="C5651" s="247" t="s">
        <v>684</v>
      </c>
      <c r="D5651" s="247" t="s">
        <v>675</v>
      </c>
      <c r="E5651" s="372">
        <v>3.0000000000000001E-3</v>
      </c>
      <c r="F5651" s="360">
        <f>'UPAD-BAHAN-ALAT'!$I$14</f>
        <v>140000</v>
      </c>
      <c r="G5651" s="248">
        <f>F5651*E5651</f>
        <v>420</v>
      </c>
    </row>
    <row r="5652" spans="1:8">
      <c r="A5652" s="294"/>
      <c r="B5652" s="410"/>
      <c r="C5652" s="247"/>
      <c r="D5652" s="247"/>
      <c r="E5652" s="1146" t="s">
        <v>685</v>
      </c>
      <c r="F5652" s="1146"/>
      <c r="G5652" s="248">
        <f>SUM(G5648:G5651)</f>
        <v>12385</v>
      </c>
    </row>
    <row r="5653" spans="1:8">
      <c r="A5653" s="294" t="s">
        <v>686</v>
      </c>
      <c r="B5653" s="410" t="s">
        <v>687</v>
      </c>
      <c r="C5653" s="247"/>
      <c r="D5653" s="247"/>
      <c r="E5653" s="372"/>
      <c r="F5653" s="360"/>
      <c r="G5653" s="248"/>
    </row>
    <row r="5654" spans="1:8">
      <c r="A5654" s="294"/>
      <c r="B5654" s="410" t="s">
        <v>1370</v>
      </c>
      <c r="C5654" s="247"/>
      <c r="D5654" s="247" t="s">
        <v>690</v>
      </c>
      <c r="E5654" s="372">
        <v>0.1</v>
      </c>
      <c r="F5654" s="360">
        <f>'UPAD-BAHAN-ALAT'!$I$378</f>
        <v>7500</v>
      </c>
      <c r="G5654" s="248">
        <f>F5654*E5654</f>
        <v>750</v>
      </c>
    </row>
    <row r="5655" spans="1:8">
      <c r="A5655" s="294"/>
      <c r="B5655" s="410" t="s">
        <v>1371</v>
      </c>
      <c r="C5655" s="247"/>
      <c r="D5655" s="247" t="s">
        <v>690</v>
      </c>
      <c r="E5655" s="372">
        <v>0.1</v>
      </c>
      <c r="F5655" s="360">
        <f>'UPAD-BAHAN-ALAT'!$I$373</f>
        <v>35000</v>
      </c>
      <c r="G5655" s="248">
        <f>F5655*E5655</f>
        <v>3500</v>
      </c>
    </row>
    <row r="5656" spans="1:8">
      <c r="A5656" s="294"/>
      <c r="B5656" s="410" t="s">
        <v>3614</v>
      </c>
      <c r="C5656" s="247"/>
      <c r="D5656" s="247" t="s">
        <v>690</v>
      </c>
      <c r="E5656" s="372">
        <v>0.26</v>
      </c>
      <c r="F5656" s="360">
        <f>'UPAD-BAHAN-ALAT'!$I$366</f>
        <v>25000</v>
      </c>
      <c r="G5656" s="248">
        <f>F5656*E5656</f>
        <v>6500</v>
      </c>
    </row>
    <row r="5657" spans="1:8">
      <c r="A5657" s="247"/>
      <c r="B5657" s="295"/>
      <c r="C5657" s="296"/>
      <c r="D5657" s="296"/>
      <c r="E5657" s="1146" t="s">
        <v>702</v>
      </c>
      <c r="F5657" s="1146"/>
      <c r="G5657" s="248">
        <f>SUM(G5654:G5656)</f>
        <v>10750</v>
      </c>
    </row>
    <row r="5658" spans="1:8" s="265" customFormat="1">
      <c r="A5658" s="294" t="s">
        <v>703</v>
      </c>
      <c r="B5658" s="1147" t="s">
        <v>3910</v>
      </c>
      <c r="C5658" s="1147"/>
      <c r="D5658" s="1147"/>
      <c r="E5658" s="1147"/>
      <c r="F5658" s="1147"/>
      <c r="G5658" s="255">
        <f>G5652+G5657</f>
        <v>23135</v>
      </c>
    </row>
    <row r="5659" spans="1:8" s="265" customFormat="1">
      <c r="A5659" s="294" t="s">
        <v>706</v>
      </c>
      <c r="B5659" s="1148" t="s">
        <v>876</v>
      </c>
      <c r="C5659" s="1148"/>
      <c r="D5659" s="1148"/>
      <c r="E5659" s="1147" t="s">
        <v>4030</v>
      </c>
      <c r="F5659" s="1147"/>
      <c r="G5659" s="255">
        <f>G5658*0.15</f>
        <v>3470.25</v>
      </c>
    </row>
    <row r="5660" spans="1:8" s="265" customFormat="1">
      <c r="A5660" s="294" t="s">
        <v>708</v>
      </c>
      <c r="B5660" s="1149" t="s">
        <v>3911</v>
      </c>
      <c r="C5660" s="1149"/>
      <c r="D5660" s="1149"/>
      <c r="E5660" s="1149"/>
      <c r="F5660" s="1149"/>
      <c r="G5660" s="255">
        <f>ROUND(SUM(G5658:G5659),2)</f>
        <v>26605.25</v>
      </c>
      <c r="H5660" s="255">
        <f>SUM(G5658:G5659)</f>
        <v>26605.25</v>
      </c>
    </row>
    <row r="5661" spans="1:8">
      <c r="A5661" s="650"/>
      <c r="B5661" s="746"/>
      <c r="C5661" s="650"/>
      <c r="D5661" s="650"/>
      <c r="E5661" s="652"/>
      <c r="F5661" s="653"/>
      <c r="G5661" s="654"/>
    </row>
    <row r="5662" spans="1:8">
      <c r="A5662" s="285" t="s">
        <v>4340</v>
      </c>
      <c r="B5662" s="263" t="s">
        <v>4661</v>
      </c>
      <c r="C5662" s="276"/>
      <c r="D5662" s="276"/>
      <c r="E5662" s="383"/>
      <c r="F5662" s="656"/>
      <c r="G5662" s="264"/>
    </row>
    <row r="5663" spans="1:8" s="292" customFormat="1" ht="24.95" customHeight="1">
      <c r="A5663" s="290" t="s">
        <v>1003</v>
      </c>
      <c r="B5663" s="290" t="s">
        <v>1004</v>
      </c>
      <c r="C5663" s="290" t="s">
        <v>1005</v>
      </c>
      <c r="D5663" s="290" t="s">
        <v>1006</v>
      </c>
      <c r="E5663" s="373" t="s">
        <v>1007</v>
      </c>
      <c r="F5663" s="363" t="s">
        <v>2637</v>
      </c>
      <c r="G5663" s="291" t="s">
        <v>2638</v>
      </c>
    </row>
    <row r="5664" spans="1:8">
      <c r="A5664" s="294" t="s">
        <v>671</v>
      </c>
      <c r="B5664" s="410" t="s">
        <v>672</v>
      </c>
      <c r="C5664" s="247"/>
      <c r="D5664" s="247"/>
      <c r="E5664" s="372"/>
      <c r="F5664" s="360"/>
      <c r="G5664" s="248"/>
    </row>
    <row r="5665" spans="1:8">
      <c r="A5665" s="294"/>
      <c r="B5665" s="410" t="s">
        <v>673</v>
      </c>
      <c r="C5665" s="247" t="s">
        <v>674</v>
      </c>
      <c r="D5665" s="247" t="s">
        <v>675</v>
      </c>
      <c r="E5665" s="372">
        <v>2.8000000000000001E-2</v>
      </c>
      <c r="F5665" s="360">
        <f>'UPAD-BAHAN-ALAT'!$I$12</f>
        <v>110000</v>
      </c>
      <c r="G5665" s="248">
        <f>F5665*E5665</f>
        <v>3080</v>
      </c>
    </row>
    <row r="5666" spans="1:8">
      <c r="A5666" s="294"/>
      <c r="B5666" s="410" t="s">
        <v>1368</v>
      </c>
      <c r="C5666" s="247" t="s">
        <v>678</v>
      </c>
      <c r="D5666" s="247" t="s">
        <v>675</v>
      </c>
      <c r="E5666" s="372">
        <v>4.2000000000000003E-2</v>
      </c>
      <c r="F5666" s="360">
        <f>'UPAD-BAHAN-ALAT'!$I$13</f>
        <v>140000</v>
      </c>
      <c r="G5666" s="248">
        <f>F5666*E5666</f>
        <v>5880</v>
      </c>
    </row>
    <row r="5667" spans="1:8">
      <c r="A5667" s="294"/>
      <c r="B5667" s="410" t="s">
        <v>751</v>
      </c>
      <c r="C5667" s="247" t="s">
        <v>681</v>
      </c>
      <c r="D5667" s="247" t="s">
        <v>675</v>
      </c>
      <c r="E5667" s="372">
        <v>4.1999999999999997E-3</v>
      </c>
      <c r="F5667" s="360">
        <f>'UPAD-BAHAN-ALAT'!$I$15</f>
        <v>150000</v>
      </c>
      <c r="G5667" s="248">
        <f>F5667*E5667</f>
        <v>630</v>
      </c>
    </row>
    <row r="5668" spans="1:8">
      <c r="A5668" s="294"/>
      <c r="B5668" s="410" t="s">
        <v>683</v>
      </c>
      <c r="C5668" s="247" t="s">
        <v>684</v>
      </c>
      <c r="D5668" s="247" t="s">
        <v>675</v>
      </c>
      <c r="E5668" s="372">
        <v>3.0000000000000001E-3</v>
      </c>
      <c r="F5668" s="360">
        <f>'UPAD-BAHAN-ALAT'!$I$14</f>
        <v>140000</v>
      </c>
      <c r="G5668" s="248">
        <f>F5668*E5668</f>
        <v>420</v>
      </c>
    </row>
    <row r="5669" spans="1:8">
      <c r="A5669" s="294"/>
      <c r="B5669" s="410"/>
      <c r="C5669" s="247"/>
      <c r="D5669" s="247"/>
      <c r="E5669" s="1146" t="s">
        <v>685</v>
      </c>
      <c r="F5669" s="1146"/>
      <c r="G5669" s="248">
        <f>SUM(G5665:G5668)</f>
        <v>10010</v>
      </c>
    </row>
    <row r="5670" spans="1:8">
      <c r="A5670" s="294" t="s">
        <v>686</v>
      </c>
      <c r="B5670" s="410" t="s">
        <v>687</v>
      </c>
      <c r="C5670" s="247"/>
      <c r="D5670" s="247"/>
      <c r="E5670" s="372"/>
      <c r="F5670" s="360"/>
      <c r="G5670" s="248"/>
    </row>
    <row r="5671" spans="1:8">
      <c r="A5671" s="294"/>
      <c r="B5671" s="410" t="s">
        <v>1371</v>
      </c>
      <c r="C5671" s="247"/>
      <c r="D5671" s="247" t="s">
        <v>690</v>
      </c>
      <c r="E5671" s="372">
        <v>0.12</v>
      </c>
      <c r="F5671" s="360">
        <f>'UPAD-BAHAN-ALAT'!$I$373</f>
        <v>35000</v>
      </c>
      <c r="G5671" s="248">
        <f>F5671*E5671</f>
        <v>4200</v>
      </c>
    </row>
    <row r="5672" spans="1:8">
      <c r="A5672" s="247"/>
      <c r="B5672" s="410" t="s">
        <v>1372</v>
      </c>
      <c r="C5672" s="247"/>
      <c r="D5672" s="247" t="s">
        <v>690</v>
      </c>
      <c r="E5672" s="372">
        <v>0.26</v>
      </c>
      <c r="F5672" s="360">
        <f>'UPAD-BAHAN-ALAT'!$I$367</f>
        <v>37000</v>
      </c>
      <c r="G5672" s="248">
        <f>F5672*E5672</f>
        <v>9620</v>
      </c>
    </row>
    <row r="5673" spans="1:8">
      <c r="A5673" s="247"/>
      <c r="B5673" s="295"/>
      <c r="C5673" s="296"/>
      <c r="D5673" s="296"/>
      <c r="E5673" s="1146" t="s">
        <v>702</v>
      </c>
      <c r="F5673" s="1146"/>
      <c r="G5673" s="248">
        <f>SUM(G5671:G5672)</f>
        <v>13820</v>
      </c>
    </row>
    <row r="5674" spans="1:8" s="265" customFormat="1">
      <c r="A5674" s="294" t="s">
        <v>703</v>
      </c>
      <c r="B5674" s="1147" t="s">
        <v>3910</v>
      </c>
      <c r="C5674" s="1147"/>
      <c r="D5674" s="1147"/>
      <c r="E5674" s="1147"/>
      <c r="F5674" s="1147"/>
      <c r="G5674" s="255">
        <f>G5669+G5673</f>
        <v>23830</v>
      </c>
    </row>
    <row r="5675" spans="1:8" s="265" customFormat="1">
      <c r="A5675" s="294" t="s">
        <v>706</v>
      </c>
      <c r="B5675" s="1148" t="s">
        <v>876</v>
      </c>
      <c r="C5675" s="1148"/>
      <c r="D5675" s="1148"/>
      <c r="E5675" s="1147" t="s">
        <v>4030</v>
      </c>
      <c r="F5675" s="1147"/>
      <c r="G5675" s="255">
        <f>G5674*0.15</f>
        <v>3574.5</v>
      </c>
    </row>
    <row r="5676" spans="1:8" s="265" customFormat="1">
      <c r="A5676" s="294" t="s">
        <v>708</v>
      </c>
      <c r="B5676" s="1149" t="s">
        <v>3911</v>
      </c>
      <c r="C5676" s="1149"/>
      <c r="D5676" s="1149"/>
      <c r="E5676" s="1149"/>
      <c r="F5676" s="1149"/>
      <c r="G5676" s="255">
        <f>ROUND(SUM(G5674:G5675),2)</f>
        <v>27404.5</v>
      </c>
      <c r="H5676" s="255">
        <f>SUM(G5674:G5675)</f>
        <v>27404.5</v>
      </c>
    </row>
    <row r="5677" spans="1:8">
      <c r="A5677" s="268"/>
      <c r="B5677" s="269"/>
      <c r="C5677" s="268"/>
      <c r="D5677" s="268"/>
      <c r="E5677" s="380"/>
      <c r="F5677" s="365"/>
      <c r="G5677" s="270"/>
    </row>
    <row r="5678" spans="1:8">
      <c r="A5678" s="285" t="s">
        <v>4341</v>
      </c>
      <c r="B5678" s="263" t="s">
        <v>4345</v>
      </c>
      <c r="C5678" s="276"/>
      <c r="D5678" s="276"/>
      <c r="E5678" s="383"/>
      <c r="F5678" s="656"/>
      <c r="G5678" s="264"/>
    </row>
    <row r="5679" spans="1:8" s="292" customFormat="1" ht="24.95" customHeight="1">
      <c r="A5679" s="290" t="s">
        <v>1003</v>
      </c>
      <c r="B5679" s="290" t="s">
        <v>1004</v>
      </c>
      <c r="C5679" s="290" t="s">
        <v>1005</v>
      </c>
      <c r="D5679" s="290" t="s">
        <v>1006</v>
      </c>
      <c r="E5679" s="373" t="s">
        <v>1007</v>
      </c>
      <c r="F5679" s="363" t="s">
        <v>2637</v>
      </c>
      <c r="G5679" s="291" t="s">
        <v>2638</v>
      </c>
    </row>
    <row r="5680" spans="1:8">
      <c r="A5680" s="294" t="s">
        <v>671</v>
      </c>
      <c r="B5680" s="410" t="s">
        <v>672</v>
      </c>
      <c r="C5680" s="247"/>
      <c r="D5680" s="247"/>
      <c r="E5680" s="372"/>
      <c r="F5680" s="360"/>
      <c r="G5680" s="248"/>
    </row>
    <row r="5681" spans="1:8">
      <c r="A5681" s="294"/>
      <c r="B5681" s="410" t="s">
        <v>673</v>
      </c>
      <c r="C5681" s="247" t="s">
        <v>674</v>
      </c>
      <c r="D5681" s="247" t="s">
        <v>675</v>
      </c>
      <c r="E5681" s="372">
        <v>2.8000000000000001E-2</v>
      </c>
      <c r="F5681" s="360">
        <f>'UPAD-BAHAN-ALAT'!$I$12</f>
        <v>110000</v>
      </c>
      <c r="G5681" s="248">
        <f>F5681*E5681</f>
        <v>3080</v>
      </c>
    </row>
    <row r="5682" spans="1:8">
      <c r="A5682" s="294"/>
      <c r="B5682" s="410" t="s">
        <v>1368</v>
      </c>
      <c r="C5682" s="247" t="s">
        <v>678</v>
      </c>
      <c r="D5682" s="247" t="s">
        <v>675</v>
      </c>
      <c r="E5682" s="372">
        <v>4.2000000000000003E-2</v>
      </c>
      <c r="F5682" s="360">
        <f>'UPAD-BAHAN-ALAT'!$I$13</f>
        <v>140000</v>
      </c>
      <c r="G5682" s="248">
        <f>F5682*E5682</f>
        <v>5880</v>
      </c>
    </row>
    <row r="5683" spans="1:8">
      <c r="A5683" s="294"/>
      <c r="B5683" s="410" t="s">
        <v>751</v>
      </c>
      <c r="C5683" s="247" t="s">
        <v>681</v>
      </c>
      <c r="D5683" s="247" t="s">
        <v>675</v>
      </c>
      <c r="E5683" s="372">
        <v>4.1999999999999997E-3</v>
      </c>
      <c r="F5683" s="360">
        <f>'UPAD-BAHAN-ALAT'!$I$15</f>
        <v>150000</v>
      </c>
      <c r="G5683" s="248">
        <f>F5683*E5683</f>
        <v>630</v>
      </c>
    </row>
    <row r="5684" spans="1:8">
      <c r="A5684" s="294"/>
      <c r="B5684" s="410" t="s">
        <v>683</v>
      </c>
      <c r="C5684" s="247" t="s">
        <v>684</v>
      </c>
      <c r="D5684" s="247" t="s">
        <v>675</v>
      </c>
      <c r="E5684" s="372">
        <v>3.0000000000000001E-3</v>
      </c>
      <c r="F5684" s="360">
        <f>'UPAD-BAHAN-ALAT'!$I$14</f>
        <v>140000</v>
      </c>
      <c r="G5684" s="248">
        <f>F5684*E5684</f>
        <v>420</v>
      </c>
    </row>
    <row r="5685" spans="1:8">
      <c r="A5685" s="294"/>
      <c r="B5685" s="410"/>
      <c r="C5685" s="247"/>
      <c r="D5685" s="247"/>
      <c r="E5685" s="1146" t="s">
        <v>685</v>
      </c>
      <c r="F5685" s="1146"/>
      <c r="G5685" s="248">
        <f>SUM(G5681:G5684)</f>
        <v>10010</v>
      </c>
    </row>
    <row r="5686" spans="1:8">
      <c r="A5686" s="294" t="s">
        <v>686</v>
      </c>
      <c r="B5686" s="410" t="s">
        <v>687</v>
      </c>
      <c r="C5686" s="247"/>
      <c r="D5686" s="247"/>
      <c r="E5686" s="372"/>
      <c r="F5686" s="360"/>
      <c r="G5686" s="248"/>
    </row>
    <row r="5687" spans="1:8">
      <c r="A5687" s="294"/>
      <c r="B5687" s="410" t="s">
        <v>1372</v>
      </c>
      <c r="C5687" s="247"/>
      <c r="D5687" s="247" t="s">
        <v>690</v>
      </c>
      <c r="E5687" s="372">
        <v>0.26</v>
      </c>
      <c r="F5687" s="360">
        <f>'UPAD-BAHAN-ALAT'!$I$367</f>
        <v>37000</v>
      </c>
      <c r="G5687" s="248">
        <f>F5687*E5687</f>
        <v>9620</v>
      </c>
    </row>
    <row r="5688" spans="1:8">
      <c r="A5688" s="247"/>
      <c r="B5688" s="295"/>
      <c r="C5688" s="296"/>
      <c r="D5688" s="296"/>
      <c r="E5688" s="1146" t="s">
        <v>702</v>
      </c>
      <c r="F5688" s="1146"/>
      <c r="G5688" s="248">
        <f>SUM(G5687:G5687)</f>
        <v>9620</v>
      </c>
    </row>
    <row r="5689" spans="1:8" s="265" customFormat="1">
      <c r="A5689" s="294" t="s">
        <v>703</v>
      </c>
      <c r="B5689" s="1147" t="s">
        <v>3910</v>
      </c>
      <c r="C5689" s="1147"/>
      <c r="D5689" s="1147"/>
      <c r="E5689" s="1147"/>
      <c r="F5689" s="1147"/>
      <c r="G5689" s="255">
        <f>G5685+G5688</f>
        <v>19630</v>
      </c>
    </row>
    <row r="5690" spans="1:8" s="265" customFormat="1">
      <c r="A5690" s="294" t="s">
        <v>706</v>
      </c>
      <c r="B5690" s="1148" t="s">
        <v>876</v>
      </c>
      <c r="C5690" s="1148"/>
      <c r="D5690" s="1148"/>
      <c r="E5690" s="1147" t="s">
        <v>4030</v>
      </c>
      <c r="F5690" s="1147"/>
      <c r="G5690" s="255">
        <f>G5689*0.15</f>
        <v>2944.5</v>
      </c>
    </row>
    <row r="5691" spans="1:8" s="265" customFormat="1">
      <c r="A5691" s="294" t="s">
        <v>708</v>
      </c>
      <c r="B5691" s="1149" t="s">
        <v>3911</v>
      </c>
      <c r="C5691" s="1149"/>
      <c r="D5691" s="1149"/>
      <c r="E5691" s="1149"/>
      <c r="F5691" s="1149"/>
      <c r="G5691" s="255">
        <f>ROUND(SUM(G5689:G5690),2)</f>
        <v>22574.5</v>
      </c>
      <c r="H5691" s="255">
        <f>SUM(G5689:G5690)</f>
        <v>22574.5</v>
      </c>
    </row>
    <row r="5692" spans="1:8">
      <c r="A5692" s="268"/>
      <c r="B5692" s="269"/>
      <c r="C5692" s="268"/>
      <c r="D5692" s="268"/>
      <c r="E5692" s="380"/>
      <c r="F5692" s="365"/>
      <c r="G5692" s="270"/>
    </row>
    <row r="5693" spans="1:8" s="814" customFormat="1">
      <c r="A5693" s="808" t="s">
        <v>4342</v>
      </c>
      <c r="B5693" s="929" t="s">
        <v>4346</v>
      </c>
      <c r="C5693" s="930"/>
      <c r="D5693" s="930"/>
      <c r="E5693" s="931"/>
      <c r="F5693" s="932"/>
      <c r="G5693" s="933"/>
    </row>
    <row r="5694" spans="1:8" s="858" customFormat="1" ht="24.95" customHeight="1">
      <c r="A5694" s="853" t="s">
        <v>1003</v>
      </c>
      <c r="B5694" s="853" t="s">
        <v>1004</v>
      </c>
      <c r="C5694" s="853" t="s">
        <v>1005</v>
      </c>
      <c r="D5694" s="853" t="s">
        <v>1006</v>
      </c>
      <c r="E5694" s="880" t="s">
        <v>1007</v>
      </c>
      <c r="F5694" s="881" t="s">
        <v>2637</v>
      </c>
      <c r="G5694" s="857" t="s">
        <v>2638</v>
      </c>
    </row>
    <row r="5695" spans="1:8" s="814" customFormat="1">
      <c r="A5695" s="859" t="s">
        <v>671</v>
      </c>
      <c r="B5695" s="891" t="s">
        <v>672</v>
      </c>
      <c r="C5695" s="865"/>
      <c r="D5695" s="865"/>
      <c r="E5695" s="889"/>
      <c r="F5695" s="866"/>
      <c r="G5695" s="864"/>
    </row>
    <row r="5696" spans="1:8" s="814" customFormat="1">
      <c r="A5696" s="859"/>
      <c r="B5696" s="891" t="s">
        <v>673</v>
      </c>
      <c r="C5696" s="865" t="s">
        <v>674</v>
      </c>
      <c r="D5696" s="865" t="s">
        <v>675</v>
      </c>
      <c r="E5696" s="889">
        <v>2.8000000000000001E-2</v>
      </c>
      <c r="F5696" s="866">
        <f>'UPAD-BAHAN-ALAT'!$I$12</f>
        <v>110000</v>
      </c>
      <c r="G5696" s="864">
        <f>F5696*E5696</f>
        <v>3080</v>
      </c>
    </row>
    <row r="5697" spans="1:8" s="814" customFormat="1">
      <c r="A5697" s="859"/>
      <c r="B5697" s="891" t="s">
        <v>1368</v>
      </c>
      <c r="C5697" s="865" t="s">
        <v>678</v>
      </c>
      <c r="D5697" s="865" t="s">
        <v>675</v>
      </c>
      <c r="E5697" s="889">
        <v>4.2000000000000003E-2</v>
      </c>
      <c r="F5697" s="866">
        <f>'UPAD-BAHAN-ALAT'!$I$13</f>
        <v>140000</v>
      </c>
      <c r="G5697" s="864">
        <f>F5697*E5697</f>
        <v>5880</v>
      </c>
    </row>
    <row r="5698" spans="1:8" s="814" customFormat="1">
      <c r="A5698" s="859"/>
      <c r="B5698" s="891" t="s">
        <v>751</v>
      </c>
      <c r="C5698" s="865" t="s">
        <v>681</v>
      </c>
      <c r="D5698" s="865" t="s">
        <v>675</v>
      </c>
      <c r="E5698" s="889">
        <v>4.1999999999999997E-3</v>
      </c>
      <c r="F5698" s="866">
        <f>'UPAD-BAHAN-ALAT'!$I$15</f>
        <v>150000</v>
      </c>
      <c r="G5698" s="864">
        <f>F5698*E5698</f>
        <v>630</v>
      </c>
    </row>
    <row r="5699" spans="1:8" s="814" customFormat="1">
      <c r="A5699" s="859"/>
      <c r="B5699" s="891" t="s">
        <v>683</v>
      </c>
      <c r="C5699" s="865" t="s">
        <v>684</v>
      </c>
      <c r="D5699" s="865" t="s">
        <v>675</v>
      </c>
      <c r="E5699" s="889">
        <v>3.0000000000000001E-3</v>
      </c>
      <c r="F5699" s="866">
        <f>'UPAD-BAHAN-ALAT'!$I$14</f>
        <v>140000</v>
      </c>
      <c r="G5699" s="864">
        <f>F5699*E5699</f>
        <v>420</v>
      </c>
    </row>
    <row r="5700" spans="1:8" s="814" customFormat="1">
      <c r="A5700" s="859"/>
      <c r="B5700" s="891"/>
      <c r="C5700" s="865"/>
      <c r="D5700" s="865"/>
      <c r="E5700" s="1156" t="s">
        <v>685</v>
      </c>
      <c r="F5700" s="1156"/>
      <c r="G5700" s="864">
        <f>SUM(G5696:G5699)</f>
        <v>10010</v>
      </c>
    </row>
    <row r="5701" spans="1:8" s="814" customFormat="1">
      <c r="A5701" s="859" t="s">
        <v>686</v>
      </c>
      <c r="B5701" s="891" t="s">
        <v>687</v>
      </c>
      <c r="C5701" s="865"/>
      <c r="D5701" s="865"/>
      <c r="E5701" s="889"/>
      <c r="F5701" s="866"/>
      <c r="G5701" s="864"/>
    </row>
    <row r="5702" spans="1:8" s="814" customFormat="1">
      <c r="A5702" s="859"/>
      <c r="B5702" s="891" t="s">
        <v>3609</v>
      </c>
      <c r="C5702" s="865"/>
      <c r="D5702" s="865" t="s">
        <v>773</v>
      </c>
      <c r="E5702" s="889">
        <v>0.1</v>
      </c>
      <c r="F5702" s="866">
        <f>'UPAD-BAHAN-ALAT'!$I$378</f>
        <v>7500</v>
      </c>
      <c r="G5702" s="864">
        <f>F5702*E5702</f>
        <v>750</v>
      </c>
    </row>
    <row r="5703" spans="1:8" s="814" customFormat="1">
      <c r="A5703" s="865"/>
      <c r="B5703" s="891" t="s">
        <v>1371</v>
      </c>
      <c r="C5703" s="865"/>
      <c r="D5703" s="865" t="s">
        <v>690</v>
      </c>
      <c r="E5703" s="889">
        <v>0.1</v>
      </c>
      <c r="F5703" s="866">
        <f>'UPAD-BAHAN-ALAT'!$I$373</f>
        <v>35000</v>
      </c>
      <c r="G5703" s="864">
        <f>F5703*E5703</f>
        <v>3500</v>
      </c>
    </row>
    <row r="5704" spans="1:8" s="814" customFormat="1">
      <c r="A5704" s="865"/>
      <c r="B5704" s="891" t="s">
        <v>1372</v>
      </c>
      <c r="C5704" s="865"/>
      <c r="D5704" s="865" t="s">
        <v>690</v>
      </c>
      <c r="E5704" s="889">
        <v>0.26</v>
      </c>
      <c r="F5704" s="866">
        <f>'UPAD-BAHAN-ALAT'!$I$366</f>
        <v>25000</v>
      </c>
      <c r="G5704" s="864">
        <f>F5704*E5704</f>
        <v>6500</v>
      </c>
    </row>
    <row r="5705" spans="1:8" s="814" customFormat="1">
      <c r="A5705" s="865"/>
      <c r="B5705" s="900"/>
      <c r="C5705" s="897"/>
      <c r="D5705" s="897"/>
      <c r="E5705" s="1156" t="s">
        <v>702</v>
      </c>
      <c r="F5705" s="1156"/>
      <c r="G5705" s="864">
        <f>SUM(G5702:G5704)</f>
        <v>10750</v>
      </c>
    </row>
    <row r="5706" spans="1:8" s="848" customFormat="1">
      <c r="A5706" s="859" t="s">
        <v>703</v>
      </c>
      <c r="B5706" s="1153" t="s">
        <v>3910</v>
      </c>
      <c r="C5706" s="1153"/>
      <c r="D5706" s="1153"/>
      <c r="E5706" s="1153"/>
      <c r="F5706" s="1153"/>
      <c r="G5706" s="872">
        <f>G5700+G5705</f>
        <v>20760</v>
      </c>
    </row>
    <row r="5707" spans="1:8" s="848" customFormat="1">
      <c r="A5707" s="859" t="s">
        <v>706</v>
      </c>
      <c r="B5707" s="1152" t="s">
        <v>876</v>
      </c>
      <c r="C5707" s="1152"/>
      <c r="D5707" s="1152"/>
      <c r="E5707" s="1153" t="s">
        <v>4030</v>
      </c>
      <c r="F5707" s="1153"/>
      <c r="G5707" s="872">
        <f>G5706*0.15</f>
        <v>3114</v>
      </c>
    </row>
    <row r="5708" spans="1:8" s="848" customFormat="1">
      <c r="A5708" s="859" t="s">
        <v>708</v>
      </c>
      <c r="B5708" s="1154" t="s">
        <v>3911</v>
      </c>
      <c r="C5708" s="1154"/>
      <c r="D5708" s="1154"/>
      <c r="E5708" s="1154"/>
      <c r="F5708" s="1154"/>
      <c r="G5708" s="872">
        <f>ROUND(SUM(G5706:G5707),2)</f>
        <v>23874</v>
      </c>
      <c r="H5708" s="872">
        <f>SUM(G5706:G5707)</f>
        <v>23874</v>
      </c>
    </row>
    <row r="5709" spans="1:8">
      <c r="A5709" s="252"/>
      <c r="B5709" s="251"/>
      <c r="C5709" s="252"/>
      <c r="D5709" s="251"/>
      <c r="E5709" s="378"/>
      <c r="F5709" s="364"/>
      <c r="G5709" s="264"/>
      <c r="H5709" s="253"/>
    </row>
    <row r="5710" spans="1:8">
      <c r="A5710" s="285" t="s">
        <v>4343</v>
      </c>
      <c r="B5710" s="263" t="s">
        <v>4347</v>
      </c>
      <c r="C5710" s="276"/>
      <c r="D5710" s="276"/>
      <c r="E5710" s="383"/>
      <c r="F5710" s="656"/>
      <c r="G5710" s="264"/>
    </row>
    <row r="5711" spans="1:8" s="292" customFormat="1" ht="24.95" customHeight="1">
      <c r="A5711" s="290" t="s">
        <v>1003</v>
      </c>
      <c r="B5711" s="290" t="s">
        <v>1004</v>
      </c>
      <c r="C5711" s="290" t="s">
        <v>1005</v>
      </c>
      <c r="D5711" s="290" t="s">
        <v>1006</v>
      </c>
      <c r="E5711" s="373" t="s">
        <v>1007</v>
      </c>
      <c r="F5711" s="363" t="s">
        <v>2637</v>
      </c>
      <c r="G5711" s="291" t="s">
        <v>2638</v>
      </c>
    </row>
    <row r="5712" spans="1:8">
      <c r="A5712" s="294" t="s">
        <v>671</v>
      </c>
      <c r="B5712" s="410" t="s">
        <v>672</v>
      </c>
      <c r="C5712" s="247"/>
      <c r="D5712" s="247"/>
      <c r="E5712" s="372"/>
      <c r="F5712" s="360"/>
      <c r="G5712" s="248"/>
    </row>
    <row r="5713" spans="1:8">
      <c r="A5713" s="294"/>
      <c r="B5713" s="410" t="s">
        <v>673</v>
      </c>
      <c r="C5713" s="247" t="s">
        <v>674</v>
      </c>
      <c r="D5713" s="247" t="s">
        <v>675</v>
      </c>
      <c r="E5713" s="372">
        <v>2.8000000000000001E-2</v>
      </c>
      <c r="F5713" s="360">
        <f>'UPAD-BAHAN-ALAT'!$I$12</f>
        <v>110000</v>
      </c>
      <c r="G5713" s="248">
        <f>F5713*E5713</f>
        <v>3080</v>
      </c>
    </row>
    <row r="5714" spans="1:8">
      <c r="A5714" s="294"/>
      <c r="B5714" s="410" t="s">
        <v>1368</v>
      </c>
      <c r="C5714" s="247" t="s">
        <v>678</v>
      </c>
      <c r="D5714" s="247" t="s">
        <v>675</v>
      </c>
      <c r="E5714" s="372">
        <v>4.2000000000000003E-2</v>
      </c>
      <c r="F5714" s="360">
        <f>'UPAD-BAHAN-ALAT'!$I$13</f>
        <v>140000</v>
      </c>
      <c r="G5714" s="248">
        <f>F5714*E5714</f>
        <v>5880</v>
      </c>
    </row>
    <row r="5715" spans="1:8">
      <c r="A5715" s="294"/>
      <c r="B5715" s="410" t="s">
        <v>751</v>
      </c>
      <c r="C5715" s="247" t="s">
        <v>681</v>
      </c>
      <c r="D5715" s="247" t="s">
        <v>675</v>
      </c>
      <c r="E5715" s="372">
        <v>4.1999999999999997E-3</v>
      </c>
      <c r="F5715" s="360">
        <f>'UPAD-BAHAN-ALAT'!$I$15</f>
        <v>150000</v>
      </c>
      <c r="G5715" s="248">
        <f>F5715*E5715</f>
        <v>630</v>
      </c>
    </row>
    <row r="5716" spans="1:8">
      <c r="A5716" s="294"/>
      <c r="B5716" s="410" t="s">
        <v>683</v>
      </c>
      <c r="C5716" s="247" t="s">
        <v>684</v>
      </c>
      <c r="D5716" s="247" t="s">
        <v>675</v>
      </c>
      <c r="E5716" s="372">
        <v>3.0000000000000001E-3</v>
      </c>
      <c r="F5716" s="360">
        <f>'UPAD-BAHAN-ALAT'!$I$14</f>
        <v>140000</v>
      </c>
      <c r="G5716" s="248">
        <f>F5716*E5716</f>
        <v>420</v>
      </c>
    </row>
    <row r="5717" spans="1:8">
      <c r="A5717" s="294"/>
      <c r="B5717" s="410"/>
      <c r="C5717" s="247"/>
      <c r="D5717" s="247"/>
      <c r="E5717" s="1146" t="s">
        <v>685</v>
      </c>
      <c r="F5717" s="1146"/>
      <c r="G5717" s="248">
        <f>SUM(G5713:G5716)</f>
        <v>10010</v>
      </c>
    </row>
    <row r="5718" spans="1:8">
      <c r="A5718" s="294" t="s">
        <v>686</v>
      </c>
      <c r="B5718" s="410" t="s">
        <v>687</v>
      </c>
      <c r="C5718" s="247"/>
      <c r="D5718" s="247"/>
      <c r="E5718" s="372"/>
      <c r="F5718" s="360"/>
      <c r="G5718" s="248"/>
    </row>
    <row r="5719" spans="1:8">
      <c r="A5719" s="247"/>
      <c r="B5719" s="410" t="s">
        <v>1371</v>
      </c>
      <c r="C5719" s="247"/>
      <c r="D5719" s="247" t="s">
        <v>690</v>
      </c>
      <c r="E5719" s="372">
        <v>0.1</v>
      </c>
      <c r="F5719" s="360">
        <f>'UPAD-BAHAN-ALAT'!$I$373</f>
        <v>35000</v>
      </c>
      <c r="G5719" s="248">
        <f>F5719*E5719</f>
        <v>3500</v>
      </c>
    </row>
    <row r="5720" spans="1:8">
      <c r="A5720" s="247"/>
      <c r="B5720" s="410" t="s">
        <v>1372</v>
      </c>
      <c r="C5720" s="247"/>
      <c r="D5720" s="247" t="s">
        <v>690</v>
      </c>
      <c r="E5720" s="372">
        <v>0.26</v>
      </c>
      <c r="F5720" s="360">
        <f>'UPAD-BAHAN-ALAT'!$I$366</f>
        <v>25000</v>
      </c>
      <c r="G5720" s="248">
        <f>F5720*E5720</f>
        <v>6500</v>
      </c>
    </row>
    <row r="5721" spans="1:8">
      <c r="A5721" s="247"/>
      <c r="B5721" s="295"/>
      <c r="C5721" s="296"/>
      <c r="D5721" s="296"/>
      <c r="E5721" s="1146" t="s">
        <v>702</v>
      </c>
      <c r="F5721" s="1146"/>
      <c r="G5721" s="248">
        <f>SUM(G5719:G5720)</f>
        <v>10000</v>
      </c>
    </row>
    <row r="5722" spans="1:8" s="265" customFormat="1">
      <c r="A5722" s="294" t="s">
        <v>703</v>
      </c>
      <c r="B5722" s="1147" t="s">
        <v>3910</v>
      </c>
      <c r="C5722" s="1147"/>
      <c r="D5722" s="1147"/>
      <c r="E5722" s="1147"/>
      <c r="F5722" s="1147"/>
      <c r="G5722" s="255">
        <f>G5717+G5721</f>
        <v>20010</v>
      </c>
    </row>
    <row r="5723" spans="1:8" s="265" customFormat="1">
      <c r="A5723" s="294" t="s">
        <v>706</v>
      </c>
      <c r="B5723" s="1148" t="s">
        <v>876</v>
      </c>
      <c r="C5723" s="1148"/>
      <c r="D5723" s="1148"/>
      <c r="E5723" s="1147" t="s">
        <v>4030</v>
      </c>
      <c r="F5723" s="1147"/>
      <c r="G5723" s="255">
        <f>G5722*0.15</f>
        <v>3001.5</v>
      </c>
    </row>
    <row r="5724" spans="1:8" s="265" customFormat="1">
      <c r="A5724" s="294" t="s">
        <v>708</v>
      </c>
      <c r="B5724" s="1149" t="s">
        <v>3911</v>
      </c>
      <c r="C5724" s="1149"/>
      <c r="D5724" s="1149"/>
      <c r="E5724" s="1149"/>
      <c r="F5724" s="1149"/>
      <c r="G5724" s="255">
        <f>ROUND(SUM(G5722:G5723),2)</f>
        <v>23011.5</v>
      </c>
      <c r="H5724" s="255">
        <f>SUM(G5722:G5723)</f>
        <v>23011.5</v>
      </c>
    </row>
    <row r="5725" spans="1:8">
      <c r="A5725" s="252"/>
      <c r="B5725" s="251"/>
      <c r="C5725" s="252"/>
      <c r="D5725" s="251"/>
      <c r="E5725" s="378"/>
      <c r="F5725" s="364"/>
      <c r="G5725" s="264"/>
      <c r="H5725" s="253"/>
    </row>
    <row r="5726" spans="1:8">
      <c r="A5726" s="285" t="s">
        <v>4344</v>
      </c>
      <c r="B5726" s="263" t="s">
        <v>4348</v>
      </c>
      <c r="C5726" s="276"/>
      <c r="D5726" s="276"/>
      <c r="E5726" s="383"/>
      <c r="F5726" s="656"/>
      <c r="G5726" s="264"/>
    </row>
    <row r="5727" spans="1:8" s="292" customFormat="1" ht="24.95" customHeight="1">
      <c r="A5727" s="290" t="s">
        <v>1003</v>
      </c>
      <c r="B5727" s="290" t="s">
        <v>1004</v>
      </c>
      <c r="C5727" s="290" t="s">
        <v>1005</v>
      </c>
      <c r="D5727" s="290" t="s">
        <v>1006</v>
      </c>
      <c r="E5727" s="373" t="s">
        <v>1007</v>
      </c>
      <c r="F5727" s="363" t="s">
        <v>2637</v>
      </c>
      <c r="G5727" s="291" t="s">
        <v>2638</v>
      </c>
    </row>
    <row r="5728" spans="1:8">
      <c r="A5728" s="294" t="s">
        <v>671</v>
      </c>
      <c r="B5728" s="410" t="s">
        <v>672</v>
      </c>
      <c r="C5728" s="247"/>
      <c r="D5728" s="247"/>
      <c r="E5728" s="372"/>
      <c r="F5728" s="360"/>
      <c r="G5728" s="248"/>
    </row>
    <row r="5729" spans="1:8">
      <c r="A5729" s="294"/>
      <c r="B5729" s="410" t="s">
        <v>673</v>
      </c>
      <c r="C5729" s="247" t="s">
        <v>674</v>
      </c>
      <c r="D5729" s="247" t="s">
        <v>675</v>
      </c>
      <c r="E5729" s="372">
        <v>2.8000000000000001E-2</v>
      </c>
      <c r="F5729" s="360">
        <f>'UPAD-BAHAN-ALAT'!$I$12</f>
        <v>110000</v>
      </c>
      <c r="G5729" s="248">
        <f>F5729*E5729</f>
        <v>3080</v>
      </c>
    </row>
    <row r="5730" spans="1:8">
      <c r="A5730" s="294"/>
      <c r="B5730" s="410" t="s">
        <v>1368</v>
      </c>
      <c r="C5730" s="247" t="s">
        <v>678</v>
      </c>
      <c r="D5730" s="247" t="s">
        <v>675</v>
      </c>
      <c r="E5730" s="372">
        <v>4.2000000000000003E-2</v>
      </c>
      <c r="F5730" s="360">
        <f>'UPAD-BAHAN-ALAT'!$I$13</f>
        <v>140000</v>
      </c>
      <c r="G5730" s="248">
        <f>F5730*E5730</f>
        <v>5880</v>
      </c>
    </row>
    <row r="5731" spans="1:8">
      <c r="A5731" s="294"/>
      <c r="B5731" s="410" t="s">
        <v>751</v>
      </c>
      <c r="C5731" s="247" t="s">
        <v>681</v>
      </c>
      <c r="D5731" s="247" t="s">
        <v>675</v>
      </c>
      <c r="E5731" s="372">
        <v>4.1999999999999997E-3</v>
      </c>
      <c r="F5731" s="360">
        <f>'UPAD-BAHAN-ALAT'!$I$15</f>
        <v>150000</v>
      </c>
      <c r="G5731" s="248">
        <f>F5731*E5731</f>
        <v>630</v>
      </c>
    </row>
    <row r="5732" spans="1:8">
      <c r="A5732" s="294"/>
      <c r="B5732" s="410" t="s">
        <v>683</v>
      </c>
      <c r="C5732" s="247" t="s">
        <v>684</v>
      </c>
      <c r="D5732" s="247" t="s">
        <v>675</v>
      </c>
      <c r="E5732" s="372">
        <v>3.0000000000000001E-3</v>
      </c>
      <c r="F5732" s="360">
        <f>'UPAD-BAHAN-ALAT'!$I$14</f>
        <v>140000</v>
      </c>
      <c r="G5732" s="248">
        <f>F5732*E5732</f>
        <v>420</v>
      </c>
    </row>
    <row r="5733" spans="1:8">
      <c r="A5733" s="294"/>
      <c r="B5733" s="410"/>
      <c r="C5733" s="247"/>
      <c r="D5733" s="247"/>
      <c r="E5733" s="1146" t="s">
        <v>685</v>
      </c>
      <c r="F5733" s="1146"/>
      <c r="G5733" s="248">
        <f>SUM(G5729:G5732)</f>
        <v>10010</v>
      </c>
    </row>
    <row r="5734" spans="1:8">
      <c r="A5734" s="294" t="s">
        <v>686</v>
      </c>
      <c r="B5734" s="410" t="s">
        <v>687</v>
      </c>
      <c r="C5734" s="247"/>
      <c r="D5734" s="247"/>
      <c r="E5734" s="372"/>
      <c r="F5734" s="360"/>
      <c r="G5734" s="248"/>
    </row>
    <row r="5735" spans="1:8">
      <c r="A5735" s="247"/>
      <c r="B5735" s="410" t="s">
        <v>1372</v>
      </c>
      <c r="C5735" s="247"/>
      <c r="D5735" s="247" t="s">
        <v>690</v>
      </c>
      <c r="E5735" s="372">
        <v>0.26</v>
      </c>
      <c r="F5735" s="360">
        <f>'UPAD-BAHAN-ALAT'!$I$366</f>
        <v>25000</v>
      </c>
      <c r="G5735" s="248">
        <f>F5735*E5735</f>
        <v>6500</v>
      </c>
    </row>
    <row r="5736" spans="1:8">
      <c r="A5736" s="247"/>
      <c r="B5736" s="295"/>
      <c r="C5736" s="296"/>
      <c r="D5736" s="296"/>
      <c r="E5736" s="1146" t="s">
        <v>702</v>
      </c>
      <c r="F5736" s="1146"/>
      <c r="G5736" s="248">
        <f>SUM(G5735:G5735)</f>
        <v>6500</v>
      </c>
    </row>
    <row r="5737" spans="1:8" s="265" customFormat="1">
      <c r="A5737" s="294" t="s">
        <v>703</v>
      </c>
      <c r="B5737" s="1147" t="s">
        <v>3910</v>
      </c>
      <c r="C5737" s="1147"/>
      <c r="D5737" s="1147"/>
      <c r="E5737" s="1147"/>
      <c r="F5737" s="1147"/>
      <c r="G5737" s="255">
        <f>G5733+G5736</f>
        <v>16510</v>
      </c>
    </row>
    <row r="5738" spans="1:8" s="265" customFormat="1">
      <c r="A5738" s="294" t="s">
        <v>706</v>
      </c>
      <c r="B5738" s="1148" t="s">
        <v>876</v>
      </c>
      <c r="C5738" s="1148"/>
      <c r="D5738" s="1148"/>
      <c r="E5738" s="1147" t="s">
        <v>4030</v>
      </c>
      <c r="F5738" s="1147"/>
      <c r="G5738" s="255">
        <f>G5737*0.15</f>
        <v>2476.5</v>
      </c>
    </row>
    <row r="5739" spans="1:8" s="265" customFormat="1">
      <c r="A5739" s="294" t="s">
        <v>708</v>
      </c>
      <c r="B5739" s="1149" t="s">
        <v>3911</v>
      </c>
      <c r="C5739" s="1149"/>
      <c r="D5739" s="1149"/>
      <c r="E5739" s="1149"/>
      <c r="F5739" s="1149"/>
      <c r="G5739" s="255">
        <f>ROUND(SUM(G5737:G5738),2)</f>
        <v>18986.5</v>
      </c>
      <c r="H5739" s="255">
        <f>SUM(G5737:G5738)</f>
        <v>18986.5</v>
      </c>
    </row>
    <row r="5740" spans="1:8">
      <c r="A5740" s="268"/>
      <c r="B5740" s="269"/>
      <c r="C5740" s="268"/>
      <c r="D5740" s="268"/>
      <c r="E5740" s="380"/>
      <c r="F5740" s="365"/>
      <c r="G5740" s="270"/>
    </row>
    <row r="5741" spans="1:8">
      <c r="A5741" s="285" t="s">
        <v>4351</v>
      </c>
      <c r="B5741" s="250" t="s">
        <v>2744</v>
      </c>
      <c r="C5741" s="252"/>
      <c r="D5741" s="252"/>
      <c r="E5741" s="374"/>
      <c r="F5741" s="361"/>
      <c r="G5741" s="253"/>
    </row>
    <row r="5742" spans="1:8" s="292" customFormat="1" ht="24.95" customHeight="1">
      <c r="A5742" s="290" t="s">
        <v>1003</v>
      </c>
      <c r="B5742" s="290" t="s">
        <v>1004</v>
      </c>
      <c r="C5742" s="290" t="s">
        <v>1005</v>
      </c>
      <c r="D5742" s="290" t="s">
        <v>1006</v>
      </c>
      <c r="E5742" s="373" t="s">
        <v>1007</v>
      </c>
      <c r="F5742" s="363" t="s">
        <v>2637</v>
      </c>
      <c r="G5742" s="291" t="s">
        <v>2638</v>
      </c>
    </row>
    <row r="5743" spans="1:8">
      <c r="A5743" s="294" t="s">
        <v>671</v>
      </c>
      <c r="B5743" s="410" t="s">
        <v>672</v>
      </c>
      <c r="C5743" s="247"/>
      <c r="D5743" s="247"/>
      <c r="E5743" s="372"/>
      <c r="F5743" s="360"/>
      <c r="G5743" s="248"/>
    </row>
    <row r="5744" spans="1:8">
      <c r="A5744" s="294"/>
      <c r="B5744" s="410" t="s">
        <v>673</v>
      </c>
      <c r="C5744" s="247" t="s">
        <v>674</v>
      </c>
      <c r="D5744" s="247" t="s">
        <v>675</v>
      </c>
      <c r="E5744" s="372">
        <v>0.04</v>
      </c>
      <c r="F5744" s="360">
        <f>'UPAD-BAHAN-ALAT'!$I$12</f>
        <v>110000</v>
      </c>
      <c r="G5744" s="248">
        <f>F5744*E5744</f>
        <v>4400</v>
      </c>
    </row>
    <row r="5745" spans="1:8">
      <c r="A5745" s="294"/>
      <c r="B5745" s="410" t="s">
        <v>1368</v>
      </c>
      <c r="C5745" s="247" t="s">
        <v>678</v>
      </c>
      <c r="D5745" s="247" t="s">
        <v>675</v>
      </c>
      <c r="E5745" s="372">
        <v>5.0000000000000001E-3</v>
      </c>
      <c r="F5745" s="360">
        <f>'UPAD-BAHAN-ALAT'!$I$13</f>
        <v>140000</v>
      </c>
      <c r="G5745" s="248">
        <f>F5745*E5745</f>
        <v>700</v>
      </c>
    </row>
    <row r="5746" spans="1:8">
      <c r="A5746" s="294"/>
      <c r="B5746" s="410" t="s">
        <v>751</v>
      </c>
      <c r="C5746" s="247" t="s">
        <v>681</v>
      </c>
      <c r="D5746" s="247" t="s">
        <v>675</v>
      </c>
      <c r="E5746" s="372">
        <v>5.0000000000000001E-4</v>
      </c>
      <c r="F5746" s="360">
        <f>'UPAD-BAHAN-ALAT'!$I$15</f>
        <v>150000</v>
      </c>
      <c r="G5746" s="248">
        <f>F5746*E5746</f>
        <v>75</v>
      </c>
    </row>
    <row r="5747" spans="1:8">
      <c r="A5747" s="294"/>
      <c r="B5747" s="410" t="s">
        <v>683</v>
      </c>
      <c r="C5747" s="247" t="s">
        <v>684</v>
      </c>
      <c r="D5747" s="247" t="s">
        <v>675</v>
      </c>
      <c r="E5747" s="372">
        <v>2.5000000000000001E-3</v>
      </c>
      <c r="F5747" s="360">
        <f>'UPAD-BAHAN-ALAT'!$I$14</f>
        <v>140000</v>
      </c>
      <c r="G5747" s="248">
        <f>F5747*E5747</f>
        <v>350</v>
      </c>
    </row>
    <row r="5748" spans="1:8">
      <c r="A5748" s="294"/>
      <c r="B5748" s="410"/>
      <c r="C5748" s="247"/>
      <c r="D5748" s="247"/>
      <c r="E5748" s="1146" t="s">
        <v>685</v>
      </c>
      <c r="F5748" s="1146"/>
      <c r="G5748" s="248">
        <f>SUM(G5744:G5747)</f>
        <v>5525</v>
      </c>
    </row>
    <row r="5749" spans="1:8">
      <c r="A5749" s="294" t="s">
        <v>686</v>
      </c>
      <c r="B5749" s="410" t="s">
        <v>687</v>
      </c>
      <c r="C5749" s="247"/>
      <c r="D5749" s="247"/>
      <c r="E5749" s="372"/>
      <c r="F5749" s="360"/>
      <c r="G5749" s="248"/>
    </row>
    <row r="5750" spans="1:8">
      <c r="A5750" s="247"/>
      <c r="B5750" s="410" t="s">
        <v>1389</v>
      </c>
      <c r="C5750" s="247"/>
      <c r="D5750" s="247" t="s">
        <v>690</v>
      </c>
      <c r="E5750" s="372">
        <v>0.3</v>
      </c>
      <c r="F5750" s="360">
        <f>'UPAD-BAHAN-ALAT'!$I$386</f>
        <v>12000</v>
      </c>
      <c r="G5750" s="248">
        <f>F5750*E5750</f>
        <v>3600</v>
      </c>
    </row>
    <row r="5751" spans="1:8">
      <c r="A5751" s="247"/>
      <c r="B5751" s="410" t="s">
        <v>1375</v>
      </c>
      <c r="C5751" s="247"/>
      <c r="D5751" s="247" t="s">
        <v>715</v>
      </c>
      <c r="E5751" s="372">
        <v>0.2</v>
      </c>
      <c r="F5751" s="360">
        <f>'UPAD-BAHAN-ALAT'!$I$502</f>
        <v>3500</v>
      </c>
      <c r="G5751" s="248">
        <f>F5751*E5751</f>
        <v>700</v>
      </c>
    </row>
    <row r="5752" spans="1:8">
      <c r="A5752" s="247"/>
      <c r="B5752" s="410" t="s">
        <v>1390</v>
      </c>
      <c r="C5752" s="247"/>
      <c r="D5752" s="247" t="s">
        <v>1391</v>
      </c>
      <c r="E5752" s="372">
        <v>0.25</v>
      </c>
      <c r="F5752" s="360">
        <f>'UPAD-BAHAN-ALAT'!$I$387</f>
        <v>10000</v>
      </c>
      <c r="G5752" s="248">
        <f>F5752*E5752</f>
        <v>2500</v>
      </c>
    </row>
    <row r="5753" spans="1:8">
      <c r="A5753" s="247"/>
      <c r="B5753" s="295"/>
      <c r="C5753" s="296"/>
      <c r="D5753" s="296"/>
      <c r="E5753" s="1146" t="s">
        <v>702</v>
      </c>
      <c r="F5753" s="1146"/>
      <c r="G5753" s="248">
        <f>SUM(G5750:G5752)</f>
        <v>6800</v>
      </c>
    </row>
    <row r="5754" spans="1:8" s="265" customFormat="1">
      <c r="A5754" s="294" t="s">
        <v>703</v>
      </c>
      <c r="B5754" s="1147" t="s">
        <v>3910</v>
      </c>
      <c r="C5754" s="1147"/>
      <c r="D5754" s="1147"/>
      <c r="E5754" s="1147"/>
      <c r="F5754" s="1147"/>
      <c r="G5754" s="255">
        <f>G5748+G5753</f>
        <v>12325</v>
      </c>
    </row>
    <row r="5755" spans="1:8" s="265" customFormat="1">
      <c r="A5755" s="294" t="s">
        <v>706</v>
      </c>
      <c r="B5755" s="1148" t="s">
        <v>876</v>
      </c>
      <c r="C5755" s="1148"/>
      <c r="D5755" s="1148"/>
      <c r="E5755" s="1147" t="s">
        <v>4030</v>
      </c>
      <c r="F5755" s="1147"/>
      <c r="G5755" s="255">
        <f>G5754*0.15</f>
        <v>1848.75</v>
      </c>
    </row>
    <row r="5756" spans="1:8" s="265" customFormat="1">
      <c r="A5756" s="294" t="s">
        <v>708</v>
      </c>
      <c r="B5756" s="1149" t="s">
        <v>3911</v>
      </c>
      <c r="C5756" s="1149"/>
      <c r="D5756" s="1149"/>
      <c r="E5756" s="1149"/>
      <c r="F5756" s="1149"/>
      <c r="G5756" s="255">
        <f>ROUND(SUM(G5754:G5755),2)</f>
        <v>14173.75</v>
      </c>
      <c r="H5756" s="255">
        <f>SUM(G5754:G5755)</f>
        <v>14173.75</v>
      </c>
    </row>
    <row r="5758" spans="1:8">
      <c r="A5758" s="268"/>
      <c r="B5758" s="269"/>
      <c r="C5758" s="268"/>
      <c r="D5758" s="268"/>
      <c r="E5758" s="380"/>
      <c r="F5758" s="365"/>
      <c r="G5758" s="270"/>
    </row>
    <row r="5759" spans="1:8">
      <c r="A5759" s="285" t="s">
        <v>4352</v>
      </c>
      <c r="B5759" s="250" t="s">
        <v>2743</v>
      </c>
      <c r="C5759" s="252"/>
      <c r="D5759" s="252"/>
      <c r="E5759" s="374"/>
      <c r="F5759" s="361"/>
      <c r="G5759" s="253"/>
    </row>
    <row r="5760" spans="1:8" s="292" customFormat="1" ht="24.95" customHeight="1">
      <c r="A5760" s="290" t="s">
        <v>1003</v>
      </c>
      <c r="B5760" s="290" t="s">
        <v>1004</v>
      </c>
      <c r="C5760" s="290" t="s">
        <v>1005</v>
      </c>
      <c r="D5760" s="290" t="s">
        <v>1006</v>
      </c>
      <c r="E5760" s="373" t="s">
        <v>1007</v>
      </c>
      <c r="F5760" s="363" t="s">
        <v>2637</v>
      </c>
      <c r="G5760" s="291" t="s">
        <v>2638</v>
      </c>
    </row>
    <row r="5761" spans="1:8">
      <c r="A5761" s="294" t="s">
        <v>671</v>
      </c>
      <c r="B5761" s="410" t="s">
        <v>672</v>
      </c>
      <c r="C5761" s="247"/>
      <c r="D5761" s="247"/>
      <c r="E5761" s="372"/>
      <c r="F5761" s="360"/>
      <c r="G5761" s="248"/>
    </row>
    <row r="5762" spans="1:8">
      <c r="A5762" s="294"/>
      <c r="B5762" s="410" t="s">
        <v>673</v>
      </c>
      <c r="C5762" s="247" t="s">
        <v>674</v>
      </c>
      <c r="D5762" s="247" t="s">
        <v>675</v>
      </c>
      <c r="E5762" s="372">
        <v>0.02</v>
      </c>
      <c r="F5762" s="360">
        <f>'UPAD-BAHAN-ALAT'!$I$12</f>
        <v>110000</v>
      </c>
      <c r="G5762" s="248">
        <f>F5762*E5762</f>
        <v>2200</v>
      </c>
    </row>
    <row r="5763" spans="1:8">
      <c r="A5763" s="294"/>
      <c r="B5763" s="410" t="s">
        <v>1368</v>
      </c>
      <c r="C5763" s="247" t="s">
        <v>678</v>
      </c>
      <c r="D5763" s="247" t="s">
        <v>675</v>
      </c>
      <c r="E5763" s="372">
        <v>0.2</v>
      </c>
      <c r="F5763" s="360">
        <f>'UPAD-BAHAN-ALAT'!$I$13</f>
        <v>140000</v>
      </c>
      <c r="G5763" s="248">
        <f>F5763*E5763</f>
        <v>28000</v>
      </c>
    </row>
    <row r="5764" spans="1:8">
      <c r="A5764" s="294"/>
      <c r="B5764" s="410" t="s">
        <v>751</v>
      </c>
      <c r="C5764" s="247" t="s">
        <v>681</v>
      </c>
      <c r="D5764" s="247" t="s">
        <v>675</v>
      </c>
      <c r="E5764" s="372">
        <v>0.02</v>
      </c>
      <c r="F5764" s="360">
        <f>'UPAD-BAHAN-ALAT'!$I$15</f>
        <v>150000</v>
      </c>
      <c r="G5764" s="248">
        <f>F5764*E5764</f>
        <v>3000</v>
      </c>
    </row>
    <row r="5765" spans="1:8">
      <c r="A5765" s="294"/>
      <c r="B5765" s="410" t="s">
        <v>683</v>
      </c>
      <c r="C5765" s="247" t="s">
        <v>684</v>
      </c>
      <c r="D5765" s="247" t="s">
        <v>675</v>
      </c>
      <c r="E5765" s="372">
        <v>2.5000000000000001E-3</v>
      </c>
      <c r="F5765" s="360">
        <f>'UPAD-BAHAN-ALAT'!$I$14</f>
        <v>140000</v>
      </c>
      <c r="G5765" s="248">
        <f>F5765*E5765</f>
        <v>350</v>
      </c>
    </row>
    <row r="5766" spans="1:8">
      <c r="A5766" s="294"/>
      <c r="B5766" s="410"/>
      <c r="C5766" s="247"/>
      <c r="D5766" s="247"/>
      <c r="E5766" s="1146" t="s">
        <v>685</v>
      </c>
      <c r="F5766" s="1146"/>
      <c r="G5766" s="248">
        <f>SUM(G5762:G5765)</f>
        <v>33550</v>
      </c>
    </row>
    <row r="5767" spans="1:8">
      <c r="A5767" s="294" t="s">
        <v>686</v>
      </c>
      <c r="B5767" s="410" t="s">
        <v>687</v>
      </c>
      <c r="C5767" s="247"/>
      <c r="D5767" s="247"/>
      <c r="E5767" s="372"/>
      <c r="F5767" s="360"/>
      <c r="G5767" s="248"/>
    </row>
    <row r="5768" spans="1:8">
      <c r="A5768" s="294"/>
      <c r="B5768" s="410" t="s">
        <v>1394</v>
      </c>
      <c r="C5768" s="247"/>
      <c r="D5768" s="247" t="s">
        <v>690</v>
      </c>
      <c r="E5768" s="372">
        <v>0.1</v>
      </c>
      <c r="F5768" s="360">
        <f>'UPAD-BAHAN-ALAT'!$I$371</f>
        <v>37000</v>
      </c>
      <c r="G5768" s="248">
        <f>F5768*E5768</f>
        <v>3700</v>
      </c>
    </row>
    <row r="5769" spans="1:8">
      <c r="A5769" s="247"/>
      <c r="B5769" s="410" t="s">
        <v>1395</v>
      </c>
      <c r="C5769" s="247"/>
      <c r="D5769" s="247" t="s">
        <v>743</v>
      </c>
      <c r="E5769" s="372">
        <v>0.01</v>
      </c>
      <c r="F5769" s="360">
        <f>'UPAD-BAHAN-ALAT'!$I$503</f>
        <v>24000</v>
      </c>
      <c r="G5769" s="248">
        <f>F5769*E5769</f>
        <v>240</v>
      </c>
    </row>
    <row r="5770" spans="1:8">
      <c r="A5770" s="247"/>
      <c r="B5770" s="295"/>
      <c r="C5770" s="296"/>
      <c r="D5770" s="296"/>
      <c r="E5770" s="1146" t="s">
        <v>702</v>
      </c>
      <c r="F5770" s="1146"/>
      <c r="G5770" s="248">
        <f>SUM(G5768:G5769)</f>
        <v>3940</v>
      </c>
    </row>
    <row r="5771" spans="1:8" s="265" customFormat="1">
      <c r="A5771" s="294" t="s">
        <v>703</v>
      </c>
      <c r="B5771" s="1147" t="s">
        <v>3910</v>
      </c>
      <c r="C5771" s="1147"/>
      <c r="D5771" s="1147"/>
      <c r="E5771" s="1147"/>
      <c r="F5771" s="1147"/>
      <c r="G5771" s="255">
        <f>G5766+G5770</f>
        <v>37490</v>
      </c>
    </row>
    <row r="5772" spans="1:8" s="265" customFormat="1">
      <c r="A5772" s="294" t="s">
        <v>706</v>
      </c>
      <c r="B5772" s="1148" t="s">
        <v>876</v>
      </c>
      <c r="C5772" s="1148"/>
      <c r="D5772" s="1148"/>
      <c r="E5772" s="1147" t="s">
        <v>4030</v>
      </c>
      <c r="F5772" s="1147"/>
      <c r="G5772" s="255">
        <f>G5771*0.15</f>
        <v>5623.5</v>
      </c>
    </row>
    <row r="5773" spans="1:8" s="265" customFormat="1">
      <c r="A5773" s="294" t="s">
        <v>708</v>
      </c>
      <c r="B5773" s="1149" t="s">
        <v>3911</v>
      </c>
      <c r="C5773" s="1149"/>
      <c r="D5773" s="1149"/>
      <c r="E5773" s="1149"/>
      <c r="F5773" s="1149"/>
      <c r="G5773" s="255">
        <f>ROUND(SUM(G5771:G5772),2)</f>
        <v>43113.5</v>
      </c>
      <c r="H5773" s="255">
        <f>SUM(G5771:G5772)</f>
        <v>43113.5</v>
      </c>
    </row>
    <row r="5774" spans="1:8">
      <c r="A5774" s="252"/>
      <c r="B5774" s="251"/>
      <c r="C5774" s="252"/>
      <c r="D5774" s="251"/>
      <c r="E5774" s="378"/>
      <c r="F5774" s="364"/>
      <c r="G5774" s="264"/>
      <c r="H5774" s="253"/>
    </row>
    <row r="5775" spans="1:8">
      <c r="A5775" s="285" t="s">
        <v>4353</v>
      </c>
      <c r="B5775" s="655" t="s">
        <v>4349</v>
      </c>
      <c r="C5775" s="252"/>
      <c r="D5775" s="252"/>
      <c r="E5775" s="374"/>
      <c r="F5775" s="361"/>
      <c r="G5775" s="253"/>
    </row>
    <row r="5776" spans="1:8" s="292" customFormat="1" ht="24.95" customHeight="1">
      <c r="A5776" s="290" t="s">
        <v>1003</v>
      </c>
      <c r="B5776" s="290" t="s">
        <v>1004</v>
      </c>
      <c r="C5776" s="290" t="s">
        <v>1005</v>
      </c>
      <c r="D5776" s="290" t="s">
        <v>1006</v>
      </c>
      <c r="E5776" s="373" t="s">
        <v>1007</v>
      </c>
      <c r="F5776" s="363" t="s">
        <v>2637</v>
      </c>
      <c r="G5776" s="291" t="s">
        <v>2638</v>
      </c>
    </row>
    <row r="5777" spans="1:8">
      <c r="A5777" s="294" t="s">
        <v>671</v>
      </c>
      <c r="B5777" s="410" t="s">
        <v>672</v>
      </c>
      <c r="C5777" s="247"/>
      <c r="D5777" s="247"/>
      <c r="E5777" s="372"/>
      <c r="F5777" s="360"/>
      <c r="G5777" s="248"/>
    </row>
    <row r="5778" spans="1:8">
      <c r="A5778" s="294"/>
      <c r="B5778" s="410" t="s">
        <v>673</v>
      </c>
      <c r="C5778" s="247" t="s">
        <v>674</v>
      </c>
      <c r="D5778" s="247" t="s">
        <v>675</v>
      </c>
      <c r="E5778" s="372">
        <v>0.02</v>
      </c>
      <c r="F5778" s="360">
        <f>'UPAD-BAHAN-ALAT'!$I$12</f>
        <v>110000</v>
      </c>
      <c r="G5778" s="248">
        <f>F5778*E5778</f>
        <v>2200</v>
      </c>
    </row>
    <row r="5779" spans="1:8">
      <c r="A5779" s="294"/>
      <c r="B5779" s="410" t="s">
        <v>1368</v>
      </c>
      <c r="C5779" s="247" t="s">
        <v>678</v>
      </c>
      <c r="D5779" s="247" t="s">
        <v>675</v>
      </c>
      <c r="E5779" s="372">
        <v>0.2</v>
      </c>
      <c r="F5779" s="360">
        <f>'UPAD-BAHAN-ALAT'!$I$13</f>
        <v>140000</v>
      </c>
      <c r="G5779" s="248">
        <f>F5779*E5779</f>
        <v>28000</v>
      </c>
    </row>
    <row r="5780" spans="1:8">
      <c r="A5780" s="294"/>
      <c r="B5780" s="410" t="s">
        <v>751</v>
      </c>
      <c r="C5780" s="247" t="s">
        <v>681</v>
      </c>
      <c r="D5780" s="247" t="s">
        <v>675</v>
      </c>
      <c r="E5780" s="372">
        <v>0.02</v>
      </c>
      <c r="F5780" s="360">
        <f>'UPAD-BAHAN-ALAT'!$I$15</f>
        <v>150000</v>
      </c>
      <c r="G5780" s="248">
        <f>F5780*E5780</f>
        <v>3000</v>
      </c>
    </row>
    <row r="5781" spans="1:8">
      <c r="A5781" s="294"/>
      <c r="B5781" s="410" t="s">
        <v>683</v>
      </c>
      <c r="C5781" s="247" t="s">
        <v>684</v>
      </c>
      <c r="D5781" s="247" t="s">
        <v>675</v>
      </c>
      <c r="E5781" s="372">
        <v>2.5000000000000001E-3</v>
      </c>
      <c r="F5781" s="360">
        <f>'UPAD-BAHAN-ALAT'!$I$14</f>
        <v>140000</v>
      </c>
      <c r="G5781" s="248">
        <f>F5781*E5781</f>
        <v>350</v>
      </c>
    </row>
    <row r="5782" spans="1:8">
      <c r="A5782" s="294"/>
      <c r="B5782" s="410"/>
      <c r="C5782" s="247"/>
      <c r="D5782" s="247"/>
      <c r="E5782" s="1146" t="s">
        <v>685</v>
      </c>
      <c r="F5782" s="1146"/>
      <c r="G5782" s="248">
        <f>SUM(G5778:G5781)</f>
        <v>33550</v>
      </c>
    </row>
    <row r="5783" spans="1:8">
      <c r="A5783" s="294" t="s">
        <v>686</v>
      </c>
      <c r="B5783" s="410" t="s">
        <v>687</v>
      </c>
      <c r="C5783" s="247"/>
      <c r="D5783" s="247"/>
      <c r="E5783" s="372"/>
      <c r="F5783" s="360"/>
      <c r="G5783" s="248"/>
    </row>
    <row r="5784" spans="1:8">
      <c r="A5784" s="294"/>
      <c r="B5784" s="410" t="s">
        <v>1394</v>
      </c>
      <c r="C5784" s="247"/>
      <c r="D5784" s="247" t="s">
        <v>690</v>
      </c>
      <c r="E5784" s="372">
        <v>0.2</v>
      </c>
      <c r="F5784" s="360">
        <f>'UPAD-BAHAN-ALAT'!$I$371</f>
        <v>37000</v>
      </c>
      <c r="G5784" s="248">
        <f>F5784*E5784</f>
        <v>7400</v>
      </c>
    </row>
    <row r="5785" spans="1:8">
      <c r="A5785" s="294"/>
      <c r="B5785" s="410" t="s">
        <v>3610</v>
      </c>
      <c r="C5785" s="247"/>
      <c r="D5785" s="247" t="s">
        <v>773</v>
      </c>
      <c r="E5785" s="372">
        <v>0.26</v>
      </c>
      <c r="F5785" s="360">
        <f>'UPAD-BAHAN-ALAT'!$I$365</f>
        <v>70000</v>
      </c>
      <c r="G5785" s="248">
        <f>F5785*E5785</f>
        <v>18200</v>
      </c>
    </row>
    <row r="5786" spans="1:8">
      <c r="A5786" s="294"/>
      <c r="B5786" s="410" t="s">
        <v>1395</v>
      </c>
      <c r="C5786" s="247"/>
      <c r="D5786" s="247" t="s">
        <v>743</v>
      </c>
      <c r="E5786" s="372">
        <v>0.01</v>
      </c>
      <c r="F5786" s="360">
        <f>'UPAD-BAHAN-ALAT'!$I$503</f>
        <v>24000</v>
      </c>
      <c r="G5786" s="248">
        <f>F5786*E5786</f>
        <v>240</v>
      </c>
    </row>
    <row r="5787" spans="1:8">
      <c r="A5787" s="247"/>
      <c r="B5787" s="295"/>
      <c r="C5787" s="296"/>
      <c r="D5787" s="296"/>
      <c r="E5787" s="1146" t="s">
        <v>702</v>
      </c>
      <c r="F5787" s="1146"/>
      <c r="G5787" s="248">
        <f>SUM(G5784:G5786)</f>
        <v>25840</v>
      </c>
    </row>
    <row r="5788" spans="1:8" s="265" customFormat="1">
      <c r="A5788" s="294" t="s">
        <v>703</v>
      </c>
      <c r="B5788" s="1147" t="s">
        <v>3910</v>
      </c>
      <c r="C5788" s="1147"/>
      <c r="D5788" s="1147"/>
      <c r="E5788" s="1147"/>
      <c r="F5788" s="1147"/>
      <c r="G5788" s="255">
        <f>G5782+G5787</f>
        <v>59390</v>
      </c>
    </row>
    <row r="5789" spans="1:8" s="265" customFormat="1">
      <c r="A5789" s="294" t="s">
        <v>706</v>
      </c>
      <c r="B5789" s="1148" t="s">
        <v>876</v>
      </c>
      <c r="C5789" s="1148"/>
      <c r="D5789" s="1148"/>
      <c r="E5789" s="1147" t="s">
        <v>4030</v>
      </c>
      <c r="F5789" s="1147"/>
      <c r="G5789" s="255">
        <f>G5788*0.15</f>
        <v>8908.5</v>
      </c>
    </row>
    <row r="5790" spans="1:8" s="265" customFormat="1">
      <c r="A5790" s="294" t="s">
        <v>708</v>
      </c>
      <c r="B5790" s="1149" t="s">
        <v>3911</v>
      </c>
      <c r="C5790" s="1149"/>
      <c r="D5790" s="1149"/>
      <c r="E5790" s="1149"/>
      <c r="F5790" s="1149"/>
      <c r="G5790" s="255">
        <f>ROUND(SUM(G5788:G5789),2)</f>
        <v>68298.5</v>
      </c>
      <c r="H5790" s="255">
        <f>SUM(G5788:G5789)</f>
        <v>68298.5</v>
      </c>
    </row>
    <row r="5791" spans="1:8">
      <c r="A5791" s="252"/>
      <c r="B5791" s="251"/>
      <c r="C5791" s="252"/>
      <c r="D5791" s="251"/>
      <c r="E5791" s="378"/>
      <c r="F5791" s="364"/>
      <c r="G5791" s="264"/>
      <c r="H5791" s="253"/>
    </row>
    <row r="5792" spans="1:8">
      <c r="A5792" s="285" t="s">
        <v>4354</v>
      </c>
      <c r="B5792" s="655" t="s">
        <v>4350</v>
      </c>
      <c r="C5792" s="252"/>
      <c r="D5792" s="252"/>
      <c r="E5792" s="374"/>
      <c r="F5792" s="361"/>
      <c r="G5792" s="253"/>
    </row>
    <row r="5793" spans="1:8" s="292" customFormat="1" ht="24.95" customHeight="1">
      <c r="A5793" s="290" t="s">
        <v>1003</v>
      </c>
      <c r="B5793" s="290" t="s">
        <v>1004</v>
      </c>
      <c r="C5793" s="290" t="s">
        <v>1005</v>
      </c>
      <c r="D5793" s="290" t="s">
        <v>1006</v>
      </c>
      <c r="E5793" s="373" t="s">
        <v>1007</v>
      </c>
      <c r="F5793" s="363" t="s">
        <v>2637</v>
      </c>
      <c r="G5793" s="291" t="s">
        <v>2638</v>
      </c>
    </row>
    <row r="5794" spans="1:8">
      <c r="A5794" s="294" t="s">
        <v>671</v>
      </c>
      <c r="B5794" s="410" t="s">
        <v>672</v>
      </c>
      <c r="C5794" s="247"/>
      <c r="D5794" s="247"/>
      <c r="E5794" s="372"/>
      <c r="F5794" s="360"/>
      <c r="G5794" s="248"/>
    </row>
    <row r="5795" spans="1:8">
      <c r="A5795" s="294"/>
      <c r="B5795" s="410" t="s">
        <v>673</v>
      </c>
      <c r="C5795" s="247" t="s">
        <v>674</v>
      </c>
      <c r="D5795" s="247" t="s">
        <v>675</v>
      </c>
      <c r="E5795" s="372">
        <v>0.02</v>
      </c>
      <c r="F5795" s="360">
        <f>'UPAD-BAHAN-ALAT'!$I$12</f>
        <v>110000</v>
      </c>
      <c r="G5795" s="248">
        <f>F5795*E5795</f>
        <v>2200</v>
      </c>
    </row>
    <row r="5796" spans="1:8">
      <c r="A5796" s="294"/>
      <c r="B5796" s="410" t="s">
        <v>1368</v>
      </c>
      <c r="C5796" s="247" t="s">
        <v>678</v>
      </c>
      <c r="D5796" s="247" t="s">
        <v>675</v>
      </c>
      <c r="E5796" s="372">
        <v>0.2</v>
      </c>
      <c r="F5796" s="360">
        <f>'UPAD-BAHAN-ALAT'!$I$13</f>
        <v>140000</v>
      </c>
      <c r="G5796" s="248">
        <f>F5796*E5796</f>
        <v>28000</v>
      </c>
    </row>
    <row r="5797" spans="1:8">
      <c r="A5797" s="294"/>
      <c r="B5797" s="410" t="s">
        <v>751</v>
      </c>
      <c r="C5797" s="247" t="s">
        <v>681</v>
      </c>
      <c r="D5797" s="247" t="s">
        <v>675</v>
      </c>
      <c r="E5797" s="372">
        <v>0.02</v>
      </c>
      <c r="F5797" s="360">
        <f>'UPAD-BAHAN-ALAT'!$I$15</f>
        <v>150000</v>
      </c>
      <c r="G5797" s="248">
        <f>F5797*E5797</f>
        <v>3000</v>
      </c>
    </row>
    <row r="5798" spans="1:8">
      <c r="A5798" s="294"/>
      <c r="B5798" s="410" t="s">
        <v>683</v>
      </c>
      <c r="C5798" s="247" t="s">
        <v>684</v>
      </c>
      <c r="D5798" s="247" t="s">
        <v>675</v>
      </c>
      <c r="E5798" s="372">
        <v>2.5000000000000001E-3</v>
      </c>
      <c r="F5798" s="360">
        <f>'UPAD-BAHAN-ALAT'!$I$14</f>
        <v>140000</v>
      </c>
      <c r="G5798" s="248">
        <f>F5798*E5798</f>
        <v>350</v>
      </c>
    </row>
    <row r="5799" spans="1:8">
      <c r="A5799" s="294"/>
      <c r="B5799" s="410"/>
      <c r="C5799" s="247"/>
      <c r="D5799" s="247"/>
      <c r="E5799" s="1146" t="s">
        <v>685</v>
      </c>
      <c r="F5799" s="1146"/>
      <c r="G5799" s="248">
        <f>SUM(G5795:G5798)</f>
        <v>33550</v>
      </c>
    </row>
    <row r="5800" spans="1:8">
      <c r="A5800" s="294" t="s">
        <v>686</v>
      </c>
      <c r="B5800" s="410" t="s">
        <v>687</v>
      </c>
      <c r="C5800" s="247"/>
      <c r="D5800" s="247"/>
      <c r="E5800" s="372"/>
      <c r="F5800" s="360"/>
      <c r="G5800" s="248"/>
    </row>
    <row r="5801" spans="1:8">
      <c r="A5801" s="294"/>
      <c r="B5801" s="410" t="s">
        <v>3607</v>
      </c>
      <c r="C5801" s="247"/>
      <c r="D5801" s="247" t="s">
        <v>690</v>
      </c>
      <c r="E5801" s="372">
        <v>0.11</v>
      </c>
      <c r="F5801" s="360">
        <f>'UPAD-BAHAN-ALAT'!$I$373</f>
        <v>35000</v>
      </c>
      <c r="G5801" s="248">
        <f>F5801*E5801</f>
        <v>3850</v>
      </c>
    </row>
    <row r="5802" spans="1:8">
      <c r="A5802" s="247"/>
      <c r="B5802" s="410" t="s">
        <v>3611</v>
      </c>
      <c r="C5802" s="247"/>
      <c r="D5802" s="247" t="s">
        <v>773</v>
      </c>
      <c r="E5802" s="372">
        <v>0.26</v>
      </c>
      <c r="F5802" s="360">
        <f>'UPAD-BAHAN-ALAT'!$I$368</f>
        <v>90000</v>
      </c>
      <c r="G5802" s="248">
        <f>F5802*E5802</f>
        <v>23400</v>
      </c>
    </row>
    <row r="5803" spans="1:8">
      <c r="A5803" s="247"/>
      <c r="B5803" s="410" t="s">
        <v>1395</v>
      </c>
      <c r="C5803" s="247"/>
      <c r="D5803" s="247" t="s">
        <v>743</v>
      </c>
      <c r="E5803" s="372">
        <v>0.01</v>
      </c>
      <c r="F5803" s="360">
        <f>'UPAD-BAHAN-ALAT'!$I$503</f>
        <v>24000</v>
      </c>
      <c r="G5803" s="248">
        <f>F5803*E5803</f>
        <v>240</v>
      </c>
    </row>
    <row r="5804" spans="1:8">
      <c r="A5804" s="247"/>
      <c r="B5804" s="295"/>
      <c r="C5804" s="296"/>
      <c r="D5804" s="296"/>
      <c r="E5804" s="1146" t="s">
        <v>702</v>
      </c>
      <c r="F5804" s="1146"/>
      <c r="G5804" s="248">
        <f>SUM(G5801:G5803)</f>
        <v>27490</v>
      </c>
    </row>
    <row r="5805" spans="1:8" s="265" customFormat="1">
      <c r="A5805" s="294" t="s">
        <v>703</v>
      </c>
      <c r="B5805" s="1147" t="s">
        <v>3910</v>
      </c>
      <c r="C5805" s="1147"/>
      <c r="D5805" s="1147"/>
      <c r="E5805" s="1147"/>
      <c r="F5805" s="1147"/>
      <c r="G5805" s="255">
        <f>G5799+G5804</f>
        <v>61040</v>
      </c>
    </row>
    <row r="5806" spans="1:8" s="265" customFormat="1">
      <c r="A5806" s="294" t="s">
        <v>706</v>
      </c>
      <c r="B5806" s="1148" t="s">
        <v>876</v>
      </c>
      <c r="C5806" s="1148"/>
      <c r="D5806" s="1148"/>
      <c r="E5806" s="1147" t="s">
        <v>4030</v>
      </c>
      <c r="F5806" s="1147"/>
      <c r="G5806" s="255">
        <f>G5805*0.15</f>
        <v>9156</v>
      </c>
    </row>
    <row r="5807" spans="1:8" s="265" customFormat="1">
      <c r="A5807" s="294" t="s">
        <v>708</v>
      </c>
      <c r="B5807" s="1149" t="s">
        <v>3911</v>
      </c>
      <c r="C5807" s="1149"/>
      <c r="D5807" s="1149"/>
      <c r="E5807" s="1149"/>
      <c r="F5807" s="1149"/>
      <c r="G5807" s="255">
        <f>ROUND(SUM(G5805:G5806),2)</f>
        <v>70196</v>
      </c>
      <c r="H5807" s="255">
        <f>SUM(G5805:G5806)</f>
        <v>70196</v>
      </c>
    </row>
    <row r="5809" spans="1:7">
      <c r="A5809" s="286" t="s">
        <v>4355</v>
      </c>
      <c r="B5809" s="265" t="s">
        <v>2742</v>
      </c>
    </row>
    <row r="5810" spans="1:7" s="292" customFormat="1" ht="24.95" customHeight="1">
      <c r="A5810" s="290" t="s">
        <v>1003</v>
      </c>
      <c r="B5810" s="290" t="s">
        <v>1004</v>
      </c>
      <c r="C5810" s="290" t="s">
        <v>1005</v>
      </c>
      <c r="D5810" s="290" t="s">
        <v>1006</v>
      </c>
      <c r="E5810" s="373" t="s">
        <v>1007</v>
      </c>
      <c r="F5810" s="363" t="s">
        <v>2637</v>
      </c>
      <c r="G5810" s="291" t="s">
        <v>2638</v>
      </c>
    </row>
    <row r="5811" spans="1:7">
      <c r="A5811" s="294" t="s">
        <v>671</v>
      </c>
      <c r="B5811" s="410" t="s">
        <v>672</v>
      </c>
      <c r="C5811" s="247"/>
      <c r="D5811" s="247"/>
      <c r="E5811" s="372"/>
      <c r="F5811" s="360"/>
      <c r="G5811" s="248"/>
    </row>
    <row r="5812" spans="1:7">
      <c r="A5812" s="294"/>
      <c r="B5812" s="410" t="s">
        <v>673</v>
      </c>
      <c r="C5812" s="247" t="s">
        <v>674</v>
      </c>
      <c r="D5812" s="247" t="s">
        <v>675</v>
      </c>
      <c r="E5812" s="372">
        <v>0.25</v>
      </c>
      <c r="F5812" s="360">
        <f>'UPAD-BAHAN-ALAT'!$I$12</f>
        <v>110000</v>
      </c>
      <c r="G5812" s="248">
        <f>F5812*E5812</f>
        <v>27500</v>
      </c>
    </row>
    <row r="5813" spans="1:7">
      <c r="A5813" s="294"/>
      <c r="B5813" s="410" t="s">
        <v>1368</v>
      </c>
      <c r="C5813" s="247" t="s">
        <v>678</v>
      </c>
      <c r="D5813" s="247" t="s">
        <v>675</v>
      </c>
      <c r="E5813" s="372">
        <v>0.22500000000000001</v>
      </c>
      <c r="F5813" s="360">
        <f>'UPAD-BAHAN-ALAT'!$I$13</f>
        <v>140000</v>
      </c>
      <c r="G5813" s="248">
        <f>F5813*E5813</f>
        <v>31500</v>
      </c>
    </row>
    <row r="5814" spans="1:7">
      <c r="A5814" s="294"/>
      <c r="B5814" s="410" t="s">
        <v>751</v>
      </c>
      <c r="C5814" s="247" t="s">
        <v>678</v>
      </c>
      <c r="D5814" s="247" t="s">
        <v>675</v>
      </c>
      <c r="E5814" s="372">
        <v>2.2499999999999999E-2</v>
      </c>
      <c r="F5814" s="360">
        <f>'UPAD-BAHAN-ALAT'!$I$15</f>
        <v>150000</v>
      </c>
      <c r="G5814" s="248">
        <f>F5814*E5814</f>
        <v>3375</v>
      </c>
    </row>
    <row r="5815" spans="1:7">
      <c r="A5815" s="294"/>
      <c r="B5815" s="410" t="s">
        <v>683</v>
      </c>
      <c r="C5815" s="247" t="s">
        <v>684</v>
      </c>
      <c r="D5815" s="247" t="s">
        <v>675</v>
      </c>
      <c r="E5815" s="372">
        <v>7.4999999999999997E-3</v>
      </c>
      <c r="F5815" s="360">
        <f>'UPAD-BAHAN-ALAT'!$I$14</f>
        <v>140000</v>
      </c>
      <c r="G5815" s="248">
        <f>F5815*E5815</f>
        <v>1050</v>
      </c>
    </row>
    <row r="5816" spans="1:7">
      <c r="A5816" s="294"/>
      <c r="B5816" s="410"/>
      <c r="C5816" s="247"/>
      <c r="D5816" s="247"/>
      <c r="E5816" s="1146" t="s">
        <v>685</v>
      </c>
      <c r="F5816" s="1146"/>
      <c r="G5816" s="248">
        <f>SUM(G5812:G5815)</f>
        <v>63425</v>
      </c>
    </row>
    <row r="5817" spans="1:7">
      <c r="A5817" s="294" t="s">
        <v>686</v>
      </c>
      <c r="B5817" s="410" t="s">
        <v>687</v>
      </c>
      <c r="C5817" s="247"/>
      <c r="D5817" s="247"/>
      <c r="E5817" s="372"/>
      <c r="F5817" s="360"/>
      <c r="G5817" s="248"/>
    </row>
    <row r="5818" spans="1:7">
      <c r="A5818" s="247"/>
      <c r="B5818" s="410" t="s">
        <v>1394</v>
      </c>
      <c r="C5818" s="247"/>
      <c r="D5818" s="247" t="s">
        <v>690</v>
      </c>
      <c r="E5818" s="372">
        <v>0.1</v>
      </c>
      <c r="F5818" s="360">
        <f>'UPAD-BAHAN-ALAT'!$I$371</f>
        <v>37000</v>
      </c>
      <c r="G5818" s="248">
        <f>F5818*E5818</f>
        <v>3700</v>
      </c>
    </row>
    <row r="5819" spans="1:7">
      <c r="A5819" s="247"/>
      <c r="B5819" s="410" t="s">
        <v>1374</v>
      </c>
      <c r="C5819" s="247"/>
      <c r="D5819" s="247" t="s">
        <v>896</v>
      </c>
      <c r="E5819" s="372">
        <v>0.01</v>
      </c>
      <c r="F5819" s="624">
        <f>'UPAD-BAHAN-ALAT'!$I$383</f>
        <v>25000</v>
      </c>
      <c r="G5819" s="248">
        <f>F5819*E5819</f>
        <v>250</v>
      </c>
    </row>
    <row r="5820" spans="1:7">
      <c r="A5820" s="247"/>
      <c r="B5820" s="410" t="s">
        <v>1395</v>
      </c>
      <c r="C5820" s="247"/>
      <c r="D5820" s="247" t="s">
        <v>743</v>
      </c>
      <c r="E5820" s="372">
        <v>0.01</v>
      </c>
      <c r="F5820" s="360">
        <f>'UPAD-BAHAN-ALAT'!$I$503</f>
        <v>24000</v>
      </c>
      <c r="G5820" s="248">
        <f>F5820*E5820</f>
        <v>240</v>
      </c>
    </row>
    <row r="5821" spans="1:7">
      <c r="A5821" s="247"/>
      <c r="B5821" s="410" t="s">
        <v>1397</v>
      </c>
      <c r="C5821" s="247"/>
      <c r="D5821" s="247" t="s">
        <v>2646</v>
      </c>
      <c r="E5821" s="372">
        <v>2E-3</v>
      </c>
      <c r="F5821" s="360">
        <f>'UPAD-BAHAN-ALAT'!$I$96</f>
        <v>3465000</v>
      </c>
      <c r="G5821" s="248">
        <f>F5821*E5821</f>
        <v>6930</v>
      </c>
    </row>
    <row r="5822" spans="1:7">
      <c r="A5822" s="247"/>
      <c r="B5822" s="295"/>
      <c r="C5822" s="296"/>
      <c r="D5822" s="296"/>
      <c r="E5822" s="1146" t="s">
        <v>702</v>
      </c>
      <c r="F5822" s="1146"/>
      <c r="G5822" s="248">
        <f>SUM(G5818:G5821)</f>
        <v>11120</v>
      </c>
    </row>
    <row r="5823" spans="1:7" s="265" customFormat="1">
      <c r="A5823" s="294" t="s">
        <v>703</v>
      </c>
      <c r="B5823" s="1147" t="s">
        <v>3910</v>
      </c>
      <c r="C5823" s="1147"/>
      <c r="D5823" s="1147"/>
      <c r="E5823" s="1147"/>
      <c r="F5823" s="1147"/>
      <c r="G5823" s="255">
        <f>G5816+G5822</f>
        <v>74545</v>
      </c>
    </row>
    <row r="5824" spans="1:7" s="265" customFormat="1">
      <c r="A5824" s="294" t="s">
        <v>706</v>
      </c>
      <c r="B5824" s="1148" t="s">
        <v>876</v>
      </c>
      <c r="C5824" s="1148"/>
      <c r="D5824" s="1148"/>
      <c r="E5824" s="1147" t="s">
        <v>4030</v>
      </c>
      <c r="F5824" s="1147"/>
      <c r="G5824" s="255">
        <f>G5823*0.15</f>
        <v>11181.75</v>
      </c>
    </row>
    <row r="5825" spans="1:8" s="265" customFormat="1">
      <c r="A5825" s="294" t="s">
        <v>708</v>
      </c>
      <c r="B5825" s="1149" t="s">
        <v>3911</v>
      </c>
      <c r="C5825" s="1149"/>
      <c r="D5825" s="1149"/>
      <c r="E5825" s="1149"/>
      <c r="F5825" s="1149"/>
      <c r="G5825" s="255">
        <f>ROUND(SUM(G5823:G5824),2)</f>
        <v>85726.75</v>
      </c>
      <c r="H5825" s="255">
        <f>SUM(G5823:G5824)</f>
        <v>85726.75</v>
      </c>
    </row>
    <row r="5826" spans="1:8">
      <c r="A5826" s="268"/>
      <c r="B5826" s="269"/>
      <c r="C5826" s="268"/>
      <c r="D5826" s="268"/>
      <c r="E5826" s="380"/>
      <c r="F5826" s="365"/>
      <c r="G5826" s="270"/>
    </row>
    <row r="5827" spans="1:8">
      <c r="A5827" s="285" t="s">
        <v>4356</v>
      </c>
      <c r="B5827" s="250" t="s">
        <v>2741</v>
      </c>
      <c r="C5827" s="252"/>
      <c r="D5827" s="252"/>
      <c r="E5827" s="374"/>
      <c r="F5827" s="361"/>
      <c r="G5827" s="253"/>
    </row>
    <row r="5828" spans="1:8" s="292" customFormat="1" ht="24.95" customHeight="1">
      <c r="A5828" s="290" t="s">
        <v>1003</v>
      </c>
      <c r="B5828" s="290" t="s">
        <v>1004</v>
      </c>
      <c r="C5828" s="290" t="s">
        <v>1005</v>
      </c>
      <c r="D5828" s="290" t="s">
        <v>1006</v>
      </c>
      <c r="E5828" s="373" t="s">
        <v>1007</v>
      </c>
      <c r="F5828" s="363" t="s">
        <v>2637</v>
      </c>
      <c r="G5828" s="291" t="s">
        <v>2638</v>
      </c>
    </row>
    <row r="5829" spans="1:8">
      <c r="A5829" s="294" t="s">
        <v>671</v>
      </c>
      <c r="B5829" s="410" t="s">
        <v>672</v>
      </c>
      <c r="C5829" s="247"/>
      <c r="D5829" s="247"/>
      <c r="E5829" s="372"/>
      <c r="F5829" s="360"/>
      <c r="G5829" s="248"/>
    </row>
    <row r="5830" spans="1:8">
      <c r="A5830" s="294"/>
      <c r="B5830" s="410" t="s">
        <v>673</v>
      </c>
      <c r="C5830" s="247" t="s">
        <v>674</v>
      </c>
      <c r="D5830" s="247" t="s">
        <v>675</v>
      </c>
      <c r="E5830" s="372">
        <v>0.25</v>
      </c>
      <c r="F5830" s="360">
        <f>'UPAD-BAHAN-ALAT'!$I$12</f>
        <v>110000</v>
      </c>
      <c r="G5830" s="248">
        <f>F5830*E5830</f>
        <v>27500</v>
      </c>
    </row>
    <row r="5831" spans="1:8">
      <c r="A5831" s="294"/>
      <c r="B5831" s="410" t="s">
        <v>1368</v>
      </c>
      <c r="C5831" s="247" t="s">
        <v>678</v>
      </c>
      <c r="D5831" s="247" t="s">
        <v>675</v>
      </c>
      <c r="E5831" s="372">
        <v>0.25</v>
      </c>
      <c r="F5831" s="360">
        <f>'UPAD-BAHAN-ALAT'!$I$13</f>
        <v>140000</v>
      </c>
      <c r="G5831" s="248">
        <f>F5831*E5831</f>
        <v>35000</v>
      </c>
    </row>
    <row r="5832" spans="1:8">
      <c r="A5832" s="294"/>
      <c r="B5832" s="410" t="s">
        <v>751</v>
      </c>
      <c r="C5832" s="247" t="s">
        <v>681</v>
      </c>
      <c r="D5832" s="247" t="s">
        <v>675</v>
      </c>
      <c r="E5832" s="372">
        <v>2.5000000000000001E-2</v>
      </c>
      <c r="F5832" s="360">
        <f>'UPAD-BAHAN-ALAT'!$I$15</f>
        <v>150000</v>
      </c>
      <c r="G5832" s="248">
        <f>F5832*E5832</f>
        <v>3750</v>
      </c>
    </row>
    <row r="5833" spans="1:8">
      <c r="A5833" s="294"/>
      <c r="B5833" s="410" t="s">
        <v>683</v>
      </c>
      <c r="C5833" s="247" t="s">
        <v>684</v>
      </c>
      <c r="D5833" s="247" t="s">
        <v>675</v>
      </c>
      <c r="E5833" s="372">
        <v>1.2999999999999999E-3</v>
      </c>
      <c r="F5833" s="360">
        <f>'UPAD-BAHAN-ALAT'!$I$14</f>
        <v>140000</v>
      </c>
      <c r="G5833" s="248">
        <f>F5833*E5833</f>
        <v>182</v>
      </c>
    </row>
    <row r="5834" spans="1:8">
      <c r="A5834" s="294"/>
      <c r="B5834" s="410"/>
      <c r="C5834" s="247"/>
      <c r="D5834" s="247"/>
      <c r="E5834" s="1146" t="s">
        <v>685</v>
      </c>
      <c r="F5834" s="1146"/>
      <c r="G5834" s="248">
        <f>SUM(G5830:G5833)</f>
        <v>66432</v>
      </c>
    </row>
    <row r="5835" spans="1:8">
      <c r="A5835" s="294" t="s">
        <v>686</v>
      </c>
      <c r="B5835" s="410" t="s">
        <v>687</v>
      </c>
      <c r="C5835" s="247"/>
      <c r="D5835" s="247"/>
      <c r="E5835" s="372"/>
      <c r="F5835" s="360"/>
      <c r="G5835" s="248"/>
    </row>
    <row r="5836" spans="1:8">
      <c r="A5836" s="247"/>
      <c r="B5836" s="410" t="s">
        <v>1398</v>
      </c>
      <c r="C5836" s="247"/>
      <c r="D5836" s="247" t="s">
        <v>690</v>
      </c>
      <c r="E5836" s="372">
        <v>0.1</v>
      </c>
      <c r="F5836" s="360">
        <f>'UPAD-BAHAN-ALAT'!$I$371</f>
        <v>37000</v>
      </c>
      <c r="G5836" s="248">
        <f>F5836*E5836</f>
        <v>3700</v>
      </c>
    </row>
    <row r="5837" spans="1:8">
      <c r="A5837" s="247"/>
      <c r="B5837" s="410" t="s">
        <v>1399</v>
      </c>
      <c r="C5837" s="247"/>
      <c r="D5837" s="247" t="s">
        <v>690</v>
      </c>
      <c r="E5837" s="372">
        <v>0.1</v>
      </c>
      <c r="F5837" s="360">
        <f>'UPAD-BAHAN-ALAT'!$I$371</f>
        <v>37000</v>
      </c>
      <c r="G5837" s="248">
        <f>F5837*E5837</f>
        <v>3700</v>
      </c>
    </row>
    <row r="5838" spans="1:8">
      <c r="A5838" s="247"/>
      <c r="B5838" s="410" t="s">
        <v>1400</v>
      </c>
      <c r="C5838" s="247"/>
      <c r="D5838" s="247" t="s">
        <v>690</v>
      </c>
      <c r="E5838" s="372">
        <v>0.08</v>
      </c>
      <c r="F5838" s="360">
        <f>'UPAD-BAHAN-ALAT'!$I$364</f>
        <v>70000</v>
      </c>
      <c r="G5838" s="248">
        <f>F5838*E5838</f>
        <v>5600</v>
      </c>
    </row>
    <row r="5839" spans="1:8">
      <c r="A5839" s="247"/>
      <c r="B5839" s="410" t="s">
        <v>1395</v>
      </c>
      <c r="C5839" s="247"/>
      <c r="D5839" s="247" t="s">
        <v>743</v>
      </c>
      <c r="E5839" s="372">
        <v>0.01</v>
      </c>
      <c r="F5839" s="360">
        <f>'UPAD-BAHAN-ALAT'!$I$503</f>
        <v>24000</v>
      </c>
      <c r="G5839" s="248">
        <f>F5839*E5839</f>
        <v>240</v>
      </c>
    </row>
    <row r="5840" spans="1:8">
      <c r="A5840" s="247"/>
      <c r="B5840" s="410" t="s">
        <v>1374</v>
      </c>
      <c r="C5840" s="247"/>
      <c r="D5840" s="247" t="s">
        <v>896</v>
      </c>
      <c r="E5840" s="372">
        <v>0.01</v>
      </c>
      <c r="F5840" s="360">
        <f>'UPAD-BAHAN-ALAT'!$I$383</f>
        <v>25000</v>
      </c>
      <c r="G5840" s="248">
        <f>F5840*E5840</f>
        <v>250</v>
      </c>
    </row>
    <row r="5841" spans="1:8">
      <c r="A5841" s="247"/>
      <c r="B5841" s="410"/>
      <c r="C5841" s="247"/>
      <c r="D5841" s="247"/>
      <c r="E5841" s="1155" t="s">
        <v>702</v>
      </c>
      <c r="F5841" s="1155"/>
      <c r="G5841" s="248">
        <f>SUM(G5836:G5840)</f>
        <v>13490</v>
      </c>
    </row>
    <row r="5842" spans="1:8" s="265" customFormat="1">
      <c r="A5842" s="294" t="s">
        <v>703</v>
      </c>
      <c r="B5842" s="1151" t="s">
        <v>3910</v>
      </c>
      <c r="C5842" s="1151"/>
      <c r="D5842" s="1151"/>
      <c r="E5842" s="1151"/>
      <c r="F5842" s="1151"/>
      <c r="G5842" s="255">
        <f>G5834+G5841</f>
        <v>79922</v>
      </c>
    </row>
    <row r="5843" spans="1:8" s="265" customFormat="1">
      <c r="A5843" s="294" t="s">
        <v>706</v>
      </c>
      <c r="B5843" s="1148" t="s">
        <v>876</v>
      </c>
      <c r="C5843" s="1148"/>
      <c r="D5843" s="1148"/>
      <c r="E5843" s="1147" t="s">
        <v>4030</v>
      </c>
      <c r="F5843" s="1147"/>
      <c r="G5843" s="255">
        <f>G5842*0.15</f>
        <v>11988.3</v>
      </c>
    </row>
    <row r="5844" spans="1:8" s="265" customFormat="1">
      <c r="A5844" s="294" t="s">
        <v>708</v>
      </c>
      <c r="B5844" s="1149" t="s">
        <v>3911</v>
      </c>
      <c r="C5844" s="1149"/>
      <c r="D5844" s="1149"/>
      <c r="E5844" s="1149"/>
      <c r="F5844" s="1149"/>
      <c r="G5844" s="255">
        <f>ROUND(SUM(G5842:G5843),2)</f>
        <v>91910.3</v>
      </c>
      <c r="H5844" s="255">
        <f>SUM(G5842:G5843)</f>
        <v>91910.3</v>
      </c>
    </row>
    <row r="5846" spans="1:8">
      <c r="A5846" s="600" t="s">
        <v>4357</v>
      </c>
      <c r="B5846" s="265" t="s">
        <v>4639</v>
      </c>
    </row>
    <row r="5847" spans="1:8" s="292" customFormat="1" ht="24.95" customHeight="1">
      <c r="A5847" s="290" t="s">
        <v>1003</v>
      </c>
      <c r="B5847" s="290" t="s">
        <v>1004</v>
      </c>
      <c r="C5847" s="290" t="s">
        <v>1005</v>
      </c>
      <c r="D5847" s="290" t="s">
        <v>1006</v>
      </c>
      <c r="E5847" s="373" t="s">
        <v>1007</v>
      </c>
      <c r="F5847" s="363" t="s">
        <v>2637</v>
      </c>
      <c r="G5847" s="291" t="s">
        <v>2638</v>
      </c>
    </row>
    <row r="5848" spans="1:8">
      <c r="A5848" s="294" t="s">
        <v>671</v>
      </c>
      <c r="B5848" s="410" t="s">
        <v>672</v>
      </c>
      <c r="C5848" s="247"/>
      <c r="D5848" s="247"/>
      <c r="E5848" s="372"/>
      <c r="F5848" s="360"/>
      <c r="G5848" s="248"/>
    </row>
    <row r="5849" spans="1:8">
      <c r="A5849" s="294"/>
      <c r="B5849" s="410" t="s">
        <v>673</v>
      </c>
      <c r="C5849" s="247" t="s">
        <v>674</v>
      </c>
      <c r="D5849" s="247" t="s">
        <v>675</v>
      </c>
      <c r="E5849" s="372">
        <v>0.06</v>
      </c>
      <c r="F5849" s="360">
        <f>'UPAD-BAHAN-ALAT'!$I$12</f>
        <v>110000</v>
      </c>
      <c r="G5849" s="248">
        <f>F5849*E5849</f>
        <v>6600</v>
      </c>
    </row>
    <row r="5850" spans="1:8">
      <c r="A5850" s="294"/>
      <c r="B5850" s="410" t="s">
        <v>1368</v>
      </c>
      <c r="C5850" s="247" t="s">
        <v>678</v>
      </c>
      <c r="D5850" s="247" t="s">
        <v>675</v>
      </c>
      <c r="E5850" s="372">
        <v>0.06</v>
      </c>
      <c r="F5850" s="360">
        <f>'UPAD-BAHAN-ALAT'!$I$13</f>
        <v>140000</v>
      </c>
      <c r="G5850" s="248">
        <f>F5850*E5850</f>
        <v>8400</v>
      </c>
    </row>
    <row r="5851" spans="1:8">
      <c r="A5851" s="294"/>
      <c r="B5851" s="410" t="s">
        <v>751</v>
      </c>
      <c r="C5851" s="247" t="s">
        <v>681</v>
      </c>
      <c r="D5851" s="247" t="s">
        <v>675</v>
      </c>
      <c r="E5851" s="372">
        <v>1.2E-2</v>
      </c>
      <c r="F5851" s="360">
        <f>'UPAD-BAHAN-ALAT'!$I$15</f>
        <v>150000</v>
      </c>
      <c r="G5851" s="248">
        <f>F5851*E5851</f>
        <v>1800</v>
      </c>
    </row>
    <row r="5852" spans="1:8">
      <c r="A5852" s="294"/>
      <c r="B5852" s="410" t="s">
        <v>683</v>
      </c>
      <c r="C5852" s="247" t="s">
        <v>684</v>
      </c>
      <c r="D5852" s="247" t="s">
        <v>675</v>
      </c>
      <c r="E5852" s="372">
        <v>3.0000000000000001E-3</v>
      </c>
      <c r="F5852" s="360">
        <f>'UPAD-BAHAN-ALAT'!$I$14</f>
        <v>140000</v>
      </c>
      <c r="G5852" s="248">
        <f>F5852*E5852</f>
        <v>420</v>
      </c>
    </row>
    <row r="5853" spans="1:8">
      <c r="A5853" s="294"/>
      <c r="B5853" s="410"/>
      <c r="C5853" s="247"/>
      <c r="D5853" s="247"/>
      <c r="E5853" s="1146" t="s">
        <v>685</v>
      </c>
      <c r="F5853" s="1146"/>
      <c r="G5853" s="248">
        <f>SUM(G5849:G5852)</f>
        <v>17220</v>
      </c>
    </row>
    <row r="5854" spans="1:8">
      <c r="A5854" s="294" t="s">
        <v>686</v>
      </c>
      <c r="B5854" s="410" t="s">
        <v>687</v>
      </c>
      <c r="C5854" s="247"/>
      <c r="D5854" s="247"/>
      <c r="E5854" s="372"/>
      <c r="F5854" s="360"/>
      <c r="G5854" s="248"/>
    </row>
    <row r="5855" spans="1:8">
      <c r="A5855" s="247"/>
      <c r="B5855" s="410" t="s">
        <v>1400</v>
      </c>
      <c r="C5855" s="247"/>
      <c r="D5855" s="247" t="s">
        <v>690</v>
      </c>
      <c r="E5855" s="372">
        <v>0.3</v>
      </c>
      <c r="F5855" s="360">
        <f>'UPAD-BAHAN-ALAT'!$I$364</f>
        <v>70000</v>
      </c>
      <c r="G5855" s="248">
        <f>F5855*E5855</f>
        <v>21000</v>
      </c>
    </row>
    <row r="5856" spans="1:8">
      <c r="A5856" s="247"/>
      <c r="B5856" s="410" t="s">
        <v>1395</v>
      </c>
      <c r="C5856" s="247"/>
      <c r="D5856" s="247" t="s">
        <v>743</v>
      </c>
      <c r="E5856" s="372">
        <v>0.01</v>
      </c>
      <c r="F5856" s="360">
        <f>'UPAD-BAHAN-ALAT'!$I$503</f>
        <v>24000</v>
      </c>
      <c r="G5856" s="248">
        <f>F5856*E5856</f>
        <v>240</v>
      </c>
    </row>
    <row r="5857" spans="1:8">
      <c r="A5857" s="247"/>
      <c r="B5857" s="410" t="s">
        <v>1374</v>
      </c>
      <c r="C5857" s="247"/>
      <c r="D5857" s="247" t="s">
        <v>896</v>
      </c>
      <c r="E5857" s="372">
        <v>0.01</v>
      </c>
      <c r="F5857" s="360">
        <f>'UPAD-BAHAN-ALAT'!$I$383</f>
        <v>25000</v>
      </c>
      <c r="G5857" s="248">
        <f>F5857*E5857</f>
        <v>250</v>
      </c>
    </row>
    <row r="5858" spans="1:8">
      <c r="A5858" s="247"/>
      <c r="B5858" s="295"/>
      <c r="C5858" s="296"/>
      <c r="D5858" s="296"/>
      <c r="E5858" s="1146" t="s">
        <v>702</v>
      </c>
      <c r="F5858" s="1146"/>
      <c r="G5858" s="248">
        <f>SUM(G5855:G5857)</f>
        <v>21490</v>
      </c>
    </row>
    <row r="5859" spans="1:8" s="265" customFormat="1">
      <c r="A5859" s="294" t="s">
        <v>703</v>
      </c>
      <c r="B5859" s="1147" t="s">
        <v>3910</v>
      </c>
      <c r="C5859" s="1147"/>
      <c r="D5859" s="1147"/>
      <c r="E5859" s="1147"/>
      <c r="F5859" s="1147"/>
      <c r="G5859" s="255">
        <f>G5853+G5858</f>
        <v>38710</v>
      </c>
    </row>
    <row r="5860" spans="1:8" s="265" customFormat="1">
      <c r="A5860" s="294" t="s">
        <v>706</v>
      </c>
      <c r="B5860" s="1148" t="s">
        <v>876</v>
      </c>
      <c r="C5860" s="1148"/>
      <c r="D5860" s="1148"/>
      <c r="E5860" s="1147" t="s">
        <v>4030</v>
      </c>
      <c r="F5860" s="1147"/>
      <c r="G5860" s="255">
        <f>G5859*0.15</f>
        <v>5806.5</v>
      </c>
    </row>
    <row r="5861" spans="1:8" s="265" customFormat="1">
      <c r="A5861" s="294" t="s">
        <v>708</v>
      </c>
      <c r="B5861" s="1149" t="s">
        <v>3911</v>
      </c>
      <c r="C5861" s="1149"/>
      <c r="D5861" s="1149"/>
      <c r="E5861" s="1149"/>
      <c r="F5861" s="1149"/>
      <c r="G5861" s="255">
        <f>ROUND(SUM(G5859:G5860),2)</f>
        <v>44516.5</v>
      </c>
      <c r="H5861" s="255">
        <f>SUM(G5859:G5860)</f>
        <v>44516.5</v>
      </c>
    </row>
    <row r="5862" spans="1:8">
      <c r="A5862" s="268"/>
      <c r="B5862" s="269"/>
      <c r="C5862" s="268"/>
      <c r="D5862" s="268"/>
      <c r="E5862" s="380"/>
      <c r="F5862" s="365"/>
      <c r="G5862" s="270"/>
    </row>
    <row r="5863" spans="1:8">
      <c r="A5863" s="285" t="s">
        <v>4358</v>
      </c>
      <c r="B5863" s="250" t="s">
        <v>4638</v>
      </c>
      <c r="C5863" s="252"/>
      <c r="D5863" s="252"/>
      <c r="E5863" s="374"/>
      <c r="F5863" s="361"/>
      <c r="G5863" s="253"/>
    </row>
    <row r="5864" spans="1:8" s="292" customFormat="1" ht="24.95" customHeight="1">
      <c r="A5864" s="290" t="s">
        <v>1003</v>
      </c>
      <c r="B5864" s="290" t="s">
        <v>1004</v>
      </c>
      <c r="C5864" s="290" t="s">
        <v>1005</v>
      </c>
      <c r="D5864" s="290" t="s">
        <v>1006</v>
      </c>
      <c r="E5864" s="373" t="s">
        <v>1007</v>
      </c>
      <c r="F5864" s="363" t="s">
        <v>2637</v>
      </c>
      <c r="G5864" s="291" t="s">
        <v>2638</v>
      </c>
    </row>
    <row r="5865" spans="1:8">
      <c r="A5865" s="294" t="s">
        <v>671</v>
      </c>
      <c r="B5865" s="410" t="s">
        <v>672</v>
      </c>
      <c r="C5865" s="247"/>
      <c r="D5865" s="247"/>
      <c r="E5865" s="372"/>
      <c r="F5865" s="360"/>
      <c r="G5865" s="248"/>
    </row>
    <row r="5866" spans="1:8">
      <c r="A5866" s="294"/>
      <c r="B5866" s="410" t="s">
        <v>673</v>
      </c>
      <c r="C5866" s="247" t="s">
        <v>674</v>
      </c>
      <c r="D5866" s="247" t="s">
        <v>675</v>
      </c>
      <c r="E5866" s="372">
        <v>0.4</v>
      </c>
      <c r="F5866" s="360">
        <f>'UPAD-BAHAN-ALAT'!$I$12</f>
        <v>110000</v>
      </c>
      <c r="G5866" s="248">
        <f>F5866*E5866</f>
        <v>44000</v>
      </c>
    </row>
    <row r="5867" spans="1:8">
      <c r="A5867" s="294"/>
      <c r="B5867" s="410" t="s">
        <v>1368</v>
      </c>
      <c r="C5867" s="247" t="s">
        <v>678</v>
      </c>
      <c r="D5867" s="247" t="s">
        <v>675</v>
      </c>
      <c r="E5867" s="372">
        <v>0.8</v>
      </c>
      <c r="F5867" s="360">
        <f>'UPAD-BAHAN-ALAT'!$I$13</f>
        <v>140000</v>
      </c>
      <c r="G5867" s="248">
        <f>F5867*E5867</f>
        <v>112000</v>
      </c>
    </row>
    <row r="5868" spans="1:8">
      <c r="A5868" s="294"/>
      <c r="B5868" s="410" t="s">
        <v>751</v>
      </c>
      <c r="C5868" s="247" t="s">
        <v>681</v>
      </c>
      <c r="D5868" s="247" t="s">
        <v>675</v>
      </c>
      <c r="E5868" s="372">
        <v>0.08</v>
      </c>
      <c r="F5868" s="360">
        <f>'UPAD-BAHAN-ALAT'!$I$15</f>
        <v>150000</v>
      </c>
      <c r="G5868" s="248">
        <f>F5868*E5868</f>
        <v>12000</v>
      </c>
    </row>
    <row r="5869" spans="1:8">
      <c r="A5869" s="294"/>
      <c r="B5869" s="410" t="s">
        <v>683</v>
      </c>
      <c r="C5869" s="247" t="s">
        <v>684</v>
      </c>
      <c r="D5869" s="247" t="s">
        <v>675</v>
      </c>
      <c r="E5869" s="372">
        <v>0.02</v>
      </c>
      <c r="F5869" s="360">
        <f>'UPAD-BAHAN-ALAT'!$I$14</f>
        <v>140000</v>
      </c>
      <c r="G5869" s="248">
        <f>F5869*E5869</f>
        <v>2800</v>
      </c>
    </row>
    <row r="5870" spans="1:8">
      <c r="A5870" s="294"/>
      <c r="B5870" s="410"/>
      <c r="C5870" s="247"/>
      <c r="D5870" s="247"/>
      <c r="E5870" s="1146" t="s">
        <v>685</v>
      </c>
      <c r="F5870" s="1146"/>
      <c r="G5870" s="248">
        <f>SUM(G5866:G5869)</f>
        <v>170800</v>
      </c>
    </row>
    <row r="5871" spans="1:8">
      <c r="A5871" s="294" t="s">
        <v>686</v>
      </c>
      <c r="B5871" s="410" t="s">
        <v>687</v>
      </c>
      <c r="C5871" s="247"/>
      <c r="D5871" s="247"/>
      <c r="E5871" s="372"/>
      <c r="F5871" s="360"/>
      <c r="G5871" s="248"/>
    </row>
    <row r="5872" spans="1:8">
      <c r="A5872" s="247"/>
      <c r="B5872" s="410" t="s">
        <v>1371</v>
      </c>
      <c r="C5872" s="247"/>
      <c r="D5872" s="247" t="s">
        <v>690</v>
      </c>
      <c r="E5872" s="372">
        <v>0.11</v>
      </c>
      <c r="F5872" s="360">
        <f>'UPAD-BAHAN-ALAT'!$I$373</f>
        <v>35000</v>
      </c>
      <c r="G5872" s="248">
        <f>F5872*E5872</f>
        <v>3850</v>
      </c>
    </row>
    <row r="5873" spans="1:8">
      <c r="A5873" s="247"/>
      <c r="B5873" s="410" t="s">
        <v>1402</v>
      </c>
      <c r="C5873" s="247"/>
      <c r="D5873" s="247" t="s">
        <v>690</v>
      </c>
      <c r="E5873" s="372">
        <v>0.17</v>
      </c>
      <c r="F5873" s="360">
        <f>'UPAD-BAHAN-ALAT'!$I$371</f>
        <v>37000</v>
      </c>
      <c r="G5873" s="248">
        <f>F5873*E5873</f>
        <v>6290</v>
      </c>
    </row>
    <row r="5874" spans="1:8">
      <c r="A5874" s="247"/>
      <c r="B5874" s="410" t="s">
        <v>1372</v>
      </c>
      <c r="C5874" s="247"/>
      <c r="D5874" s="247" t="s">
        <v>690</v>
      </c>
      <c r="E5874" s="372">
        <v>0.08</v>
      </c>
      <c r="F5874" s="360">
        <f>'UPAD-BAHAN-ALAT'!$I$364</f>
        <v>70000</v>
      </c>
      <c r="G5874" s="248">
        <f>F5874*E5874</f>
        <v>5600</v>
      </c>
    </row>
    <row r="5875" spans="1:8">
      <c r="A5875" s="247"/>
      <c r="B5875" s="410" t="s">
        <v>1395</v>
      </c>
      <c r="C5875" s="247"/>
      <c r="D5875" s="247" t="s">
        <v>743</v>
      </c>
      <c r="E5875" s="372">
        <v>0.01</v>
      </c>
      <c r="F5875" s="360">
        <f>'UPAD-BAHAN-ALAT'!$I$503</f>
        <v>24000</v>
      </c>
      <c r="G5875" s="248">
        <f>F5875*E5875</f>
        <v>240</v>
      </c>
    </row>
    <row r="5876" spans="1:8">
      <c r="A5876" s="247"/>
      <c r="B5876" s="410" t="s">
        <v>1374</v>
      </c>
      <c r="C5876" s="247"/>
      <c r="D5876" s="247" t="s">
        <v>896</v>
      </c>
      <c r="E5876" s="372">
        <v>0.01</v>
      </c>
      <c r="F5876" s="360">
        <f>'UPAD-BAHAN-ALAT'!$I$383</f>
        <v>25000</v>
      </c>
      <c r="G5876" s="248">
        <f>F5876*E5876</f>
        <v>250</v>
      </c>
    </row>
    <row r="5877" spans="1:8">
      <c r="A5877" s="247"/>
      <c r="B5877" s="295"/>
      <c r="C5877" s="296"/>
      <c r="D5877" s="296"/>
      <c r="E5877" s="1146" t="s">
        <v>702</v>
      </c>
      <c r="F5877" s="1146"/>
      <c r="G5877" s="248">
        <f>SUM(G5872:G5876)</f>
        <v>16230</v>
      </c>
    </row>
    <row r="5878" spans="1:8" s="265" customFormat="1">
      <c r="A5878" s="294" t="s">
        <v>703</v>
      </c>
      <c r="B5878" s="1147" t="s">
        <v>3910</v>
      </c>
      <c r="C5878" s="1147"/>
      <c r="D5878" s="1147"/>
      <c r="E5878" s="1147"/>
      <c r="F5878" s="1147"/>
      <c r="G5878" s="255">
        <f>G5870+G5877</f>
        <v>187030</v>
      </c>
    </row>
    <row r="5879" spans="1:8" s="265" customFormat="1">
      <c r="A5879" s="294" t="s">
        <v>706</v>
      </c>
      <c r="B5879" s="1148" t="s">
        <v>876</v>
      </c>
      <c r="C5879" s="1148"/>
      <c r="D5879" s="1148"/>
      <c r="E5879" s="1147" t="s">
        <v>4030</v>
      </c>
      <c r="F5879" s="1147"/>
      <c r="G5879" s="255">
        <f>G5878*0.15</f>
        <v>28054.5</v>
      </c>
    </row>
    <row r="5880" spans="1:8" s="265" customFormat="1">
      <c r="A5880" s="294" t="s">
        <v>708</v>
      </c>
      <c r="B5880" s="1149" t="s">
        <v>3911</v>
      </c>
      <c r="C5880" s="1149"/>
      <c r="D5880" s="1149"/>
      <c r="E5880" s="1149"/>
      <c r="F5880" s="1149"/>
      <c r="G5880" s="255">
        <f>ROUND(SUM(G5878:G5879),2)</f>
        <v>215084.5</v>
      </c>
      <c r="H5880" s="255">
        <f>SUM(G5878:G5879)</f>
        <v>215084.5</v>
      </c>
    </row>
    <row r="5882" spans="1:8">
      <c r="A5882" s="600" t="s">
        <v>4359</v>
      </c>
      <c r="B5882" s="265" t="s">
        <v>2740</v>
      </c>
    </row>
    <row r="5883" spans="1:8" s="292" customFormat="1" ht="24.95" customHeight="1">
      <c r="A5883" s="290" t="s">
        <v>1003</v>
      </c>
      <c r="B5883" s="290" t="s">
        <v>1004</v>
      </c>
      <c r="C5883" s="290" t="s">
        <v>1005</v>
      </c>
      <c r="D5883" s="290" t="s">
        <v>1006</v>
      </c>
      <c r="E5883" s="373" t="s">
        <v>1007</v>
      </c>
      <c r="F5883" s="363" t="s">
        <v>2637</v>
      </c>
      <c r="G5883" s="291" t="s">
        <v>2638</v>
      </c>
    </row>
    <row r="5884" spans="1:8">
      <c r="A5884" s="294" t="s">
        <v>671</v>
      </c>
      <c r="B5884" s="410" t="s">
        <v>672</v>
      </c>
      <c r="C5884" s="247"/>
      <c r="D5884" s="247"/>
      <c r="E5884" s="372"/>
      <c r="F5884" s="360"/>
      <c r="G5884" s="248"/>
    </row>
    <row r="5885" spans="1:8">
      <c r="A5885" s="294"/>
      <c r="B5885" s="410" t="s">
        <v>673</v>
      </c>
      <c r="C5885" s="247" t="s">
        <v>674</v>
      </c>
      <c r="D5885" s="247" t="s">
        <v>675</v>
      </c>
      <c r="E5885" s="372">
        <v>0.4</v>
      </c>
      <c r="F5885" s="360">
        <f>'UPAD-BAHAN-ALAT'!$I$12</f>
        <v>110000</v>
      </c>
      <c r="G5885" s="248">
        <f>F5885*E5885</f>
        <v>44000</v>
      </c>
    </row>
    <row r="5886" spans="1:8">
      <c r="A5886" s="294"/>
      <c r="B5886" s="410" t="s">
        <v>1368</v>
      </c>
      <c r="C5886" s="247" t="s">
        <v>678</v>
      </c>
      <c r="D5886" s="247" t="s">
        <v>675</v>
      </c>
      <c r="E5886" s="372">
        <v>0.7</v>
      </c>
      <c r="F5886" s="360">
        <f>'UPAD-BAHAN-ALAT'!$I$13</f>
        <v>140000</v>
      </c>
      <c r="G5886" s="248">
        <f>F5886*E5886</f>
        <v>98000</v>
      </c>
    </row>
    <row r="5887" spans="1:8">
      <c r="A5887" s="294"/>
      <c r="B5887" s="410" t="s">
        <v>751</v>
      </c>
      <c r="C5887" s="247" t="s">
        <v>681</v>
      </c>
      <c r="D5887" s="247" t="s">
        <v>675</v>
      </c>
      <c r="E5887" s="372">
        <v>7.0000000000000007E-2</v>
      </c>
      <c r="F5887" s="360">
        <f>'UPAD-BAHAN-ALAT'!$I$15</f>
        <v>150000</v>
      </c>
      <c r="G5887" s="248">
        <f>F5887*E5887</f>
        <v>10500.000000000002</v>
      </c>
    </row>
    <row r="5888" spans="1:8">
      <c r="A5888" s="294"/>
      <c r="B5888" s="410" t="s">
        <v>683</v>
      </c>
      <c r="C5888" s="247" t="s">
        <v>684</v>
      </c>
      <c r="D5888" s="247" t="s">
        <v>675</v>
      </c>
      <c r="E5888" s="372">
        <v>0.02</v>
      </c>
      <c r="F5888" s="360">
        <f>'UPAD-BAHAN-ALAT'!$I$14</f>
        <v>140000</v>
      </c>
      <c r="G5888" s="248">
        <f>F5888*E5888</f>
        <v>2800</v>
      </c>
    </row>
    <row r="5889" spans="1:8">
      <c r="A5889" s="294"/>
      <c r="B5889" s="410"/>
      <c r="C5889" s="247"/>
      <c r="D5889" s="247"/>
      <c r="E5889" s="1146" t="s">
        <v>685</v>
      </c>
      <c r="F5889" s="1146"/>
      <c r="G5889" s="248">
        <f>SUM(G5885:G5888)</f>
        <v>155300</v>
      </c>
    </row>
    <row r="5890" spans="1:8">
      <c r="A5890" s="294" t="s">
        <v>686</v>
      </c>
      <c r="B5890" s="410" t="s">
        <v>687</v>
      </c>
      <c r="C5890" s="247"/>
      <c r="D5890" s="247"/>
      <c r="E5890" s="372"/>
      <c r="F5890" s="360"/>
      <c r="G5890" s="248"/>
    </row>
    <row r="5891" spans="1:8">
      <c r="A5891" s="247"/>
      <c r="B5891" s="410" t="s">
        <v>1371</v>
      </c>
      <c r="C5891" s="247"/>
      <c r="D5891" s="247" t="s">
        <v>690</v>
      </c>
      <c r="E5891" s="372">
        <v>0.3</v>
      </c>
      <c r="F5891" s="360">
        <f>'UPAD-BAHAN-ALAT'!$I$373</f>
        <v>35000</v>
      </c>
      <c r="G5891" s="248">
        <f>F5891*E5891</f>
        <v>10500</v>
      </c>
    </row>
    <row r="5892" spans="1:8">
      <c r="A5892" s="247"/>
      <c r="B5892" s="410" t="s">
        <v>1374</v>
      </c>
      <c r="C5892" s="247"/>
      <c r="D5892" s="247" t="s">
        <v>896</v>
      </c>
      <c r="E5892" s="372">
        <v>0.01</v>
      </c>
      <c r="F5892" s="360">
        <f>'UPAD-BAHAN-ALAT'!$I$383</f>
        <v>25000</v>
      </c>
      <c r="G5892" s="248">
        <f>F5892*E5892</f>
        <v>250</v>
      </c>
    </row>
    <row r="5893" spans="1:8">
      <c r="A5893" s="247"/>
      <c r="B5893" s="295"/>
      <c r="C5893" s="296"/>
      <c r="D5893" s="296"/>
      <c r="E5893" s="1146" t="s">
        <v>702</v>
      </c>
      <c r="F5893" s="1146"/>
      <c r="G5893" s="248">
        <f>SUM(G5891:G5892)</f>
        <v>10750</v>
      </c>
    </row>
    <row r="5894" spans="1:8" s="265" customFormat="1">
      <c r="A5894" s="294" t="s">
        <v>703</v>
      </c>
      <c r="B5894" s="1147" t="s">
        <v>3910</v>
      </c>
      <c r="C5894" s="1147"/>
      <c r="D5894" s="1147"/>
      <c r="E5894" s="1147"/>
      <c r="F5894" s="1147"/>
      <c r="G5894" s="255">
        <f>G5889+G5893</f>
        <v>166050</v>
      </c>
    </row>
    <row r="5895" spans="1:8" s="265" customFormat="1">
      <c r="A5895" s="294" t="s">
        <v>706</v>
      </c>
      <c r="B5895" s="1148" t="s">
        <v>876</v>
      </c>
      <c r="C5895" s="1148"/>
      <c r="D5895" s="1148"/>
      <c r="E5895" s="1147" t="s">
        <v>4030</v>
      </c>
      <c r="F5895" s="1147"/>
      <c r="G5895" s="255">
        <f>G5894*0.15</f>
        <v>24907.5</v>
      </c>
    </row>
    <row r="5896" spans="1:8" s="265" customFormat="1">
      <c r="A5896" s="294" t="s">
        <v>708</v>
      </c>
      <c r="B5896" s="1149" t="s">
        <v>3911</v>
      </c>
      <c r="C5896" s="1149"/>
      <c r="D5896" s="1149"/>
      <c r="E5896" s="1149"/>
      <c r="F5896" s="1149"/>
      <c r="G5896" s="255">
        <f>ROUND(SUM(G5894:G5895),2)</f>
        <v>190957.5</v>
      </c>
      <c r="H5896" s="255">
        <f>SUM(G5894:G5895)</f>
        <v>190957.5</v>
      </c>
    </row>
    <row r="5898" spans="1:8">
      <c r="A5898" s="284" t="s">
        <v>4360</v>
      </c>
      <c r="B5898" s="250" t="s">
        <v>2739</v>
      </c>
      <c r="D5898" s="252"/>
      <c r="E5898" s="374"/>
      <c r="F5898" s="361"/>
      <c r="G5898" s="253"/>
    </row>
    <row r="5899" spans="1:8">
      <c r="A5899" s="285" t="s">
        <v>4361</v>
      </c>
      <c r="B5899" s="250" t="s">
        <v>2738</v>
      </c>
      <c r="C5899" s="252"/>
      <c r="D5899" s="252"/>
      <c r="E5899" s="374"/>
      <c r="F5899" s="361"/>
      <c r="G5899" s="253"/>
    </row>
    <row r="5900" spans="1:8" s="292" customFormat="1" ht="24.95" customHeight="1">
      <c r="A5900" s="290" t="s">
        <v>1003</v>
      </c>
      <c r="B5900" s="290" t="s">
        <v>1004</v>
      </c>
      <c r="C5900" s="290" t="s">
        <v>1005</v>
      </c>
      <c r="D5900" s="290" t="s">
        <v>1006</v>
      </c>
      <c r="E5900" s="373" t="s">
        <v>1007</v>
      </c>
      <c r="F5900" s="363" t="s">
        <v>2637</v>
      </c>
      <c r="G5900" s="291" t="s">
        <v>2638</v>
      </c>
    </row>
    <row r="5901" spans="1:8">
      <c r="A5901" s="294" t="s">
        <v>671</v>
      </c>
      <c r="B5901" s="410" t="s">
        <v>672</v>
      </c>
      <c r="C5901" s="247"/>
      <c r="D5901" s="247"/>
      <c r="E5901" s="372"/>
      <c r="F5901" s="360"/>
      <c r="G5901" s="248"/>
    </row>
    <row r="5902" spans="1:8">
      <c r="A5902" s="294"/>
      <c r="B5902" s="410" t="s">
        <v>673</v>
      </c>
      <c r="C5902" s="247" t="s">
        <v>674</v>
      </c>
      <c r="D5902" s="247" t="s">
        <v>675</v>
      </c>
      <c r="E5902" s="372">
        <v>3.3</v>
      </c>
      <c r="F5902" s="360">
        <f>'UPAD-BAHAN-ALAT'!$I$12</f>
        <v>110000</v>
      </c>
      <c r="G5902" s="248">
        <f>F5902*E5902</f>
        <v>363000</v>
      </c>
    </row>
    <row r="5903" spans="1:8">
      <c r="A5903" s="294"/>
      <c r="B5903" s="410" t="s">
        <v>731</v>
      </c>
      <c r="C5903" s="247" t="s">
        <v>678</v>
      </c>
      <c r="D5903" s="247" t="s">
        <v>675</v>
      </c>
      <c r="E5903" s="372">
        <v>1.1000000000000001</v>
      </c>
      <c r="F5903" s="360">
        <f>'UPAD-BAHAN-ALAT'!$I$13</f>
        <v>140000</v>
      </c>
      <c r="G5903" s="248">
        <f>F5903*E5903</f>
        <v>154000</v>
      </c>
    </row>
    <row r="5904" spans="1:8">
      <c r="A5904" s="294"/>
      <c r="B5904" s="410" t="s">
        <v>751</v>
      </c>
      <c r="C5904" s="247" t="s">
        <v>681</v>
      </c>
      <c r="D5904" s="247" t="s">
        <v>675</v>
      </c>
      <c r="E5904" s="372">
        <v>0.01</v>
      </c>
      <c r="F5904" s="360">
        <f>'UPAD-BAHAN-ALAT'!$I$15</f>
        <v>150000</v>
      </c>
      <c r="G5904" s="248">
        <f>F5904*E5904</f>
        <v>1500</v>
      </c>
    </row>
    <row r="5905" spans="1:8">
      <c r="A5905" s="294"/>
      <c r="B5905" s="410" t="s">
        <v>683</v>
      </c>
      <c r="C5905" s="247" t="s">
        <v>684</v>
      </c>
      <c r="D5905" s="247" t="s">
        <v>675</v>
      </c>
      <c r="E5905" s="372">
        <v>0.16</v>
      </c>
      <c r="F5905" s="360">
        <f>'UPAD-BAHAN-ALAT'!$I$14</f>
        <v>140000</v>
      </c>
      <c r="G5905" s="248">
        <f>F5905*E5905</f>
        <v>22400</v>
      </c>
    </row>
    <row r="5906" spans="1:8">
      <c r="A5906" s="294"/>
      <c r="B5906" s="410"/>
      <c r="C5906" s="247"/>
      <c r="D5906" s="247"/>
      <c r="E5906" s="1146" t="s">
        <v>685</v>
      </c>
      <c r="F5906" s="1146"/>
      <c r="G5906" s="248">
        <f>SUM(G5902:G5905)</f>
        <v>540900</v>
      </c>
    </row>
    <row r="5907" spans="1:8">
      <c r="A5907" s="294" t="s">
        <v>686</v>
      </c>
      <c r="B5907" s="410" t="s">
        <v>687</v>
      </c>
      <c r="C5907" s="247"/>
      <c r="D5907" s="247"/>
      <c r="E5907" s="372"/>
      <c r="F5907" s="360"/>
      <c r="G5907" s="248"/>
    </row>
    <row r="5908" spans="1:8">
      <c r="A5908" s="247"/>
      <c r="B5908" s="410" t="s">
        <v>1404</v>
      </c>
      <c r="C5908" s="247"/>
      <c r="D5908" s="247" t="s">
        <v>1405</v>
      </c>
      <c r="E5908" s="372">
        <v>1</v>
      </c>
      <c r="F5908" s="360">
        <f>'UPAD-BAHAN-ALAT'!$I$396</f>
        <v>1500000</v>
      </c>
      <c r="G5908" s="248">
        <f>F5908*E5908</f>
        <v>1500000</v>
      </c>
    </row>
    <row r="5909" spans="1:8">
      <c r="A5909" s="247"/>
      <c r="B5909" s="410" t="s">
        <v>1406</v>
      </c>
      <c r="C5909" s="247"/>
      <c r="D5909" s="247" t="s">
        <v>1011</v>
      </c>
      <c r="E5909" s="372" t="s">
        <v>1407</v>
      </c>
      <c r="F5909" s="360">
        <f>6%*$G$5908</f>
        <v>90000</v>
      </c>
      <c r="G5909" s="248">
        <f>F5909</f>
        <v>90000</v>
      </c>
    </row>
    <row r="5910" spans="1:8">
      <c r="A5910" s="247"/>
      <c r="B5910" s="295"/>
      <c r="C5910" s="296"/>
      <c r="D5910" s="296"/>
      <c r="E5910" s="1146" t="s">
        <v>702</v>
      </c>
      <c r="F5910" s="1146"/>
      <c r="G5910" s="248">
        <f>SUM(G5908:G5909)</f>
        <v>1590000</v>
      </c>
    </row>
    <row r="5911" spans="1:8" s="265" customFormat="1">
      <c r="A5911" s="294" t="s">
        <v>703</v>
      </c>
      <c r="B5911" s="1147" t="s">
        <v>3910</v>
      </c>
      <c r="C5911" s="1147"/>
      <c r="D5911" s="1147"/>
      <c r="E5911" s="1147"/>
      <c r="F5911" s="1147"/>
      <c r="G5911" s="255">
        <f>G5906+G5910</f>
        <v>2130900</v>
      </c>
    </row>
    <row r="5912" spans="1:8" s="265" customFormat="1">
      <c r="A5912" s="294" t="s">
        <v>706</v>
      </c>
      <c r="B5912" s="1148" t="s">
        <v>876</v>
      </c>
      <c r="C5912" s="1148"/>
      <c r="D5912" s="1148"/>
      <c r="E5912" s="1147" t="s">
        <v>4030</v>
      </c>
      <c r="F5912" s="1147"/>
      <c r="G5912" s="255">
        <f>G5911*0.15</f>
        <v>319635</v>
      </c>
    </row>
    <row r="5913" spans="1:8" s="265" customFormat="1">
      <c r="A5913" s="294" t="s">
        <v>708</v>
      </c>
      <c r="B5913" s="1149" t="s">
        <v>3911</v>
      </c>
      <c r="C5913" s="1149"/>
      <c r="D5913" s="1149"/>
      <c r="E5913" s="1149"/>
      <c r="F5913" s="1149"/>
      <c r="G5913" s="255">
        <f>ROUND(SUM(G5911:G5912),2)</f>
        <v>2450535</v>
      </c>
      <c r="H5913" s="255">
        <f>SUM(G5911:G5912)</f>
        <v>2450535</v>
      </c>
    </row>
    <row r="5914" spans="1:8">
      <c r="A5914" s="252"/>
      <c r="B5914" s="251"/>
      <c r="C5914" s="252"/>
      <c r="D5914" s="251"/>
      <c r="E5914" s="378"/>
      <c r="F5914" s="364"/>
      <c r="G5914" s="264"/>
      <c r="H5914" s="253"/>
    </row>
    <row r="5915" spans="1:8">
      <c r="A5915" s="285" t="s">
        <v>4362</v>
      </c>
      <c r="B5915" s="655" t="s">
        <v>3585</v>
      </c>
      <c r="C5915" s="252"/>
      <c r="D5915" s="252"/>
      <c r="E5915" s="374"/>
      <c r="F5915" s="361"/>
      <c r="G5915" s="253"/>
    </row>
    <row r="5916" spans="1:8" s="292" customFormat="1" ht="24.95" customHeight="1">
      <c r="A5916" s="290" t="s">
        <v>1003</v>
      </c>
      <c r="B5916" s="290" t="s">
        <v>1004</v>
      </c>
      <c r="C5916" s="290" t="s">
        <v>1005</v>
      </c>
      <c r="D5916" s="290" t="s">
        <v>1006</v>
      </c>
      <c r="E5916" s="373" t="s">
        <v>1007</v>
      </c>
      <c r="F5916" s="363" t="s">
        <v>2637</v>
      </c>
      <c r="G5916" s="291" t="s">
        <v>2638</v>
      </c>
    </row>
    <row r="5917" spans="1:8">
      <c r="A5917" s="294" t="s">
        <v>671</v>
      </c>
      <c r="B5917" s="410" t="s">
        <v>672</v>
      </c>
      <c r="C5917" s="247"/>
      <c r="D5917" s="247"/>
      <c r="E5917" s="372"/>
      <c r="F5917" s="360"/>
      <c r="G5917" s="248"/>
    </row>
    <row r="5918" spans="1:8">
      <c r="A5918" s="294"/>
      <c r="B5918" s="410" t="s">
        <v>673</v>
      </c>
      <c r="C5918" s="247" t="s">
        <v>674</v>
      </c>
      <c r="D5918" s="247" t="s">
        <v>675</v>
      </c>
      <c r="E5918" s="372">
        <v>3.3</v>
      </c>
      <c r="F5918" s="360">
        <f>'UPAD-BAHAN-ALAT'!$I$12</f>
        <v>110000</v>
      </c>
      <c r="G5918" s="248">
        <f>F5918*E5918</f>
        <v>363000</v>
      </c>
    </row>
    <row r="5919" spans="1:8">
      <c r="A5919" s="294"/>
      <c r="B5919" s="410" t="s">
        <v>731</v>
      </c>
      <c r="C5919" s="247" t="s">
        <v>678</v>
      </c>
      <c r="D5919" s="247" t="s">
        <v>675</v>
      </c>
      <c r="E5919" s="372">
        <v>1.1000000000000001</v>
      </c>
      <c r="F5919" s="360">
        <f>'UPAD-BAHAN-ALAT'!$I$13</f>
        <v>140000</v>
      </c>
      <c r="G5919" s="248">
        <f>F5919*E5919</f>
        <v>154000</v>
      </c>
    </row>
    <row r="5920" spans="1:8">
      <c r="A5920" s="294"/>
      <c r="B5920" s="410" t="s">
        <v>751</v>
      </c>
      <c r="C5920" s="247" t="s">
        <v>681</v>
      </c>
      <c r="D5920" s="247" t="s">
        <v>675</v>
      </c>
      <c r="E5920" s="372">
        <v>0.01</v>
      </c>
      <c r="F5920" s="360">
        <f>'UPAD-BAHAN-ALAT'!$I$15</f>
        <v>150000</v>
      </c>
      <c r="G5920" s="248">
        <f>F5920*E5920</f>
        <v>1500</v>
      </c>
    </row>
    <row r="5921" spans="1:8">
      <c r="A5921" s="294"/>
      <c r="B5921" s="410" t="s">
        <v>683</v>
      </c>
      <c r="C5921" s="247" t="s">
        <v>684</v>
      </c>
      <c r="D5921" s="247" t="s">
        <v>675</v>
      </c>
      <c r="E5921" s="372">
        <v>0.16</v>
      </c>
      <c r="F5921" s="360">
        <f>'UPAD-BAHAN-ALAT'!$I$14</f>
        <v>140000</v>
      </c>
      <c r="G5921" s="248">
        <f>F5921*E5921</f>
        <v>22400</v>
      </c>
    </row>
    <row r="5922" spans="1:8">
      <c r="A5922" s="294"/>
      <c r="B5922" s="410"/>
      <c r="C5922" s="247"/>
      <c r="D5922" s="247"/>
      <c r="E5922" s="1146" t="s">
        <v>685</v>
      </c>
      <c r="F5922" s="1146"/>
      <c r="G5922" s="248">
        <f>SUM(G5918:G5921)</f>
        <v>540900</v>
      </c>
    </row>
    <row r="5923" spans="1:8">
      <c r="A5923" s="294" t="s">
        <v>686</v>
      </c>
      <c r="B5923" s="410" t="s">
        <v>687</v>
      </c>
      <c r="C5923" s="247"/>
      <c r="D5923" s="247"/>
      <c r="E5923" s="372"/>
      <c r="F5923" s="360"/>
      <c r="G5923" s="248"/>
    </row>
    <row r="5924" spans="1:8">
      <c r="A5924" s="294"/>
      <c r="B5924" s="410" t="s">
        <v>1404</v>
      </c>
      <c r="C5924" s="247"/>
      <c r="D5924" s="247" t="s">
        <v>1405</v>
      </c>
      <c r="E5924" s="372">
        <v>1</v>
      </c>
      <c r="F5924" s="360">
        <f>'UPAD-BAHAN-ALAT'!I397</f>
        <v>2550000</v>
      </c>
      <c r="G5924" s="248">
        <f>F5924*E5924</f>
        <v>2550000</v>
      </c>
    </row>
    <row r="5925" spans="1:8">
      <c r="A5925" s="247"/>
      <c r="B5925" s="410" t="s">
        <v>1406</v>
      </c>
      <c r="C5925" s="247"/>
      <c r="D5925" s="247" t="s">
        <v>1011</v>
      </c>
      <c r="E5925" s="372" t="s">
        <v>1407</v>
      </c>
      <c r="F5925" s="360">
        <f>6%*G5924</f>
        <v>153000</v>
      </c>
      <c r="G5925" s="248">
        <f>F5925</f>
        <v>153000</v>
      </c>
    </row>
    <row r="5926" spans="1:8">
      <c r="A5926" s="247"/>
      <c r="B5926" s="295"/>
      <c r="C5926" s="296"/>
      <c r="D5926" s="296"/>
      <c r="E5926" s="1146" t="s">
        <v>702</v>
      </c>
      <c r="F5926" s="1146"/>
      <c r="G5926" s="248">
        <f>SUM(G5924:G5925)</f>
        <v>2703000</v>
      </c>
    </row>
    <row r="5927" spans="1:8" s="265" customFormat="1">
      <c r="A5927" s="294" t="s">
        <v>703</v>
      </c>
      <c r="B5927" s="1147" t="s">
        <v>3910</v>
      </c>
      <c r="C5927" s="1147"/>
      <c r="D5927" s="1147"/>
      <c r="E5927" s="1147"/>
      <c r="F5927" s="1147"/>
      <c r="G5927" s="255">
        <f>G5922+G5926</f>
        <v>3243900</v>
      </c>
    </row>
    <row r="5928" spans="1:8" s="265" customFormat="1">
      <c r="A5928" s="294" t="s">
        <v>706</v>
      </c>
      <c r="B5928" s="1148" t="s">
        <v>876</v>
      </c>
      <c r="C5928" s="1148"/>
      <c r="D5928" s="1148"/>
      <c r="E5928" s="1147" t="s">
        <v>4030</v>
      </c>
      <c r="F5928" s="1147"/>
      <c r="G5928" s="255">
        <f>G5927*0.15</f>
        <v>486585</v>
      </c>
    </row>
    <row r="5929" spans="1:8" s="265" customFormat="1">
      <c r="A5929" s="294" t="s">
        <v>708</v>
      </c>
      <c r="B5929" s="1149" t="s">
        <v>3911</v>
      </c>
      <c r="C5929" s="1149"/>
      <c r="D5929" s="1149"/>
      <c r="E5929" s="1149"/>
      <c r="F5929" s="1149"/>
      <c r="G5929" s="255">
        <f>ROUND(SUM(G5927:G5928),2)</f>
        <v>3730485</v>
      </c>
      <c r="H5929" s="255">
        <f>SUM(G5927:G5928)</f>
        <v>3730485</v>
      </c>
    </row>
    <row r="5931" spans="1:8">
      <c r="A5931" s="286" t="s">
        <v>4365</v>
      </c>
      <c r="B5931" s="265" t="s">
        <v>2737</v>
      </c>
    </row>
    <row r="5932" spans="1:8" s="292" customFormat="1" ht="24.95" customHeight="1">
      <c r="A5932" s="290" t="s">
        <v>1003</v>
      </c>
      <c r="B5932" s="290" t="s">
        <v>1004</v>
      </c>
      <c r="C5932" s="290" t="s">
        <v>1005</v>
      </c>
      <c r="D5932" s="290" t="s">
        <v>1006</v>
      </c>
      <c r="E5932" s="373" t="s">
        <v>1007</v>
      </c>
      <c r="F5932" s="363" t="s">
        <v>2637</v>
      </c>
      <c r="G5932" s="291" t="s">
        <v>2638</v>
      </c>
    </row>
    <row r="5933" spans="1:8">
      <c r="A5933" s="294" t="s">
        <v>671</v>
      </c>
      <c r="B5933" s="410" t="s">
        <v>672</v>
      </c>
      <c r="C5933" s="247"/>
      <c r="D5933" s="247"/>
      <c r="E5933" s="372"/>
      <c r="F5933" s="360"/>
      <c r="G5933" s="248"/>
    </row>
    <row r="5934" spans="1:8">
      <c r="A5934" s="294"/>
      <c r="B5934" s="410" t="s">
        <v>673</v>
      </c>
      <c r="C5934" s="247" t="s">
        <v>674</v>
      </c>
      <c r="D5934" s="247" t="s">
        <v>675</v>
      </c>
      <c r="E5934" s="372">
        <v>1</v>
      </c>
      <c r="F5934" s="360">
        <f>'UPAD-BAHAN-ALAT'!$I$12</f>
        <v>110000</v>
      </c>
      <c r="G5934" s="248">
        <f>F5934*E5934</f>
        <v>110000</v>
      </c>
    </row>
    <row r="5935" spans="1:8">
      <c r="A5935" s="294"/>
      <c r="B5935" s="410" t="s">
        <v>731</v>
      </c>
      <c r="C5935" s="247" t="s">
        <v>678</v>
      </c>
      <c r="D5935" s="247" t="s">
        <v>675</v>
      </c>
      <c r="E5935" s="372">
        <v>1.5</v>
      </c>
      <c r="F5935" s="360">
        <f>'UPAD-BAHAN-ALAT'!$I$13</f>
        <v>140000</v>
      </c>
      <c r="G5935" s="248">
        <f>F5935*E5935</f>
        <v>210000</v>
      </c>
    </row>
    <row r="5936" spans="1:8">
      <c r="A5936" s="294"/>
      <c r="B5936" s="410" t="s">
        <v>751</v>
      </c>
      <c r="C5936" s="247" t="s">
        <v>681</v>
      </c>
      <c r="D5936" s="247" t="s">
        <v>675</v>
      </c>
      <c r="E5936" s="372">
        <v>0.15</v>
      </c>
      <c r="F5936" s="360">
        <f>'UPAD-BAHAN-ALAT'!$I$15</f>
        <v>150000</v>
      </c>
      <c r="G5936" s="248">
        <f>F5936*E5936</f>
        <v>22500</v>
      </c>
    </row>
    <row r="5937" spans="1:8">
      <c r="A5937" s="294"/>
      <c r="B5937" s="410" t="s">
        <v>683</v>
      </c>
      <c r="C5937" s="247" t="s">
        <v>684</v>
      </c>
      <c r="D5937" s="247" t="s">
        <v>675</v>
      </c>
      <c r="E5937" s="372">
        <v>0.16</v>
      </c>
      <c r="F5937" s="360">
        <f>'UPAD-BAHAN-ALAT'!$I$14</f>
        <v>140000</v>
      </c>
      <c r="G5937" s="248">
        <f>F5937*E5937</f>
        <v>22400</v>
      </c>
    </row>
    <row r="5938" spans="1:8">
      <c r="A5938" s="294"/>
      <c r="B5938" s="410"/>
      <c r="C5938" s="247"/>
      <c r="D5938" s="247"/>
      <c r="E5938" s="1146" t="s">
        <v>685</v>
      </c>
      <c r="F5938" s="1146"/>
      <c r="G5938" s="248">
        <f>SUM(G5934:G5937)</f>
        <v>364900</v>
      </c>
    </row>
    <row r="5939" spans="1:8">
      <c r="A5939" s="294" t="s">
        <v>686</v>
      </c>
      <c r="B5939" s="410" t="s">
        <v>687</v>
      </c>
      <c r="C5939" s="247"/>
      <c r="D5939" s="247"/>
      <c r="E5939" s="372"/>
      <c r="F5939" s="360"/>
      <c r="G5939" s="248"/>
    </row>
    <row r="5940" spans="1:8">
      <c r="A5940" s="247"/>
      <c r="B5940" s="410" t="s">
        <v>1408</v>
      </c>
      <c r="C5940" s="247"/>
      <c r="D5940" s="247" t="s">
        <v>1405</v>
      </c>
      <c r="E5940" s="372">
        <v>1</v>
      </c>
      <c r="F5940" s="360">
        <f>'UPAD-BAHAN-ALAT'!I398</f>
        <v>144000</v>
      </c>
      <c r="G5940" s="248">
        <f>F5940*E5940</f>
        <v>144000</v>
      </c>
    </row>
    <row r="5941" spans="1:8">
      <c r="A5941" s="247"/>
      <c r="B5941" s="410" t="s">
        <v>738</v>
      </c>
      <c r="C5941" s="247"/>
      <c r="D5941" s="247" t="s">
        <v>690</v>
      </c>
      <c r="E5941" s="372">
        <v>6</v>
      </c>
      <c r="F5941" s="360">
        <f>'UPAD-BAHAN-ALAT'!$I$77</f>
        <v>1625</v>
      </c>
      <c r="G5941" s="248">
        <f>F5941*E5941</f>
        <v>9750</v>
      </c>
    </row>
    <row r="5942" spans="1:8">
      <c r="A5942" s="247"/>
      <c r="B5942" s="410" t="s">
        <v>739</v>
      </c>
      <c r="C5942" s="247"/>
      <c r="D5942" s="247" t="s">
        <v>881</v>
      </c>
      <c r="E5942" s="372">
        <v>0.01</v>
      </c>
      <c r="F5942" s="360">
        <f>'UPAD-BAHAN-ALAT'!$I$71</f>
        <v>176000</v>
      </c>
      <c r="G5942" s="248">
        <f>F5942*E5942</f>
        <v>1760</v>
      </c>
    </row>
    <row r="5943" spans="1:8">
      <c r="A5943" s="247"/>
      <c r="B5943" s="295"/>
      <c r="C5943" s="296"/>
      <c r="D5943" s="296"/>
      <c r="E5943" s="1146" t="s">
        <v>702</v>
      </c>
      <c r="F5943" s="1146"/>
      <c r="G5943" s="248">
        <f>SUM(G5940:G5942)</f>
        <v>155510</v>
      </c>
    </row>
    <row r="5944" spans="1:8" s="265" customFormat="1">
      <c r="A5944" s="294" t="s">
        <v>703</v>
      </c>
      <c r="B5944" s="1147" t="s">
        <v>3910</v>
      </c>
      <c r="C5944" s="1147"/>
      <c r="D5944" s="1147"/>
      <c r="E5944" s="1147"/>
      <c r="F5944" s="1147"/>
      <c r="G5944" s="255">
        <f>G5938+G5943</f>
        <v>520410</v>
      </c>
    </row>
    <row r="5945" spans="1:8" s="265" customFormat="1">
      <c r="A5945" s="294" t="s">
        <v>706</v>
      </c>
      <c r="B5945" s="1148" t="s">
        <v>876</v>
      </c>
      <c r="C5945" s="1148"/>
      <c r="D5945" s="1148"/>
      <c r="E5945" s="1147" t="s">
        <v>4030</v>
      </c>
      <c r="F5945" s="1147"/>
      <c r="G5945" s="255">
        <f>G5944*0.15</f>
        <v>78061.5</v>
      </c>
    </row>
    <row r="5946" spans="1:8" s="265" customFormat="1">
      <c r="A5946" s="294" t="s">
        <v>708</v>
      </c>
      <c r="B5946" s="1149" t="s">
        <v>3911</v>
      </c>
      <c r="C5946" s="1149"/>
      <c r="D5946" s="1149"/>
      <c r="E5946" s="1149"/>
      <c r="F5946" s="1149"/>
      <c r="G5946" s="255">
        <f>ROUND(SUM(G5944:G5945),2)</f>
        <v>598471.5</v>
      </c>
      <c r="H5946" s="255">
        <f>SUM(G5944:G5945)</f>
        <v>598471.5</v>
      </c>
    </row>
    <row r="5947" spans="1:8">
      <c r="A5947" s="252"/>
      <c r="B5947" s="251"/>
      <c r="C5947" s="252"/>
      <c r="D5947" s="251"/>
      <c r="E5947" s="378"/>
      <c r="F5947" s="364"/>
      <c r="G5947" s="264"/>
      <c r="H5947" s="253"/>
    </row>
    <row r="5948" spans="1:8">
      <c r="A5948" s="286" t="s">
        <v>4364</v>
      </c>
      <c r="B5948" s="265" t="s">
        <v>3647</v>
      </c>
    </row>
    <row r="5949" spans="1:8" s="292" customFormat="1" ht="24.95" customHeight="1">
      <c r="A5949" s="290" t="s">
        <v>1003</v>
      </c>
      <c r="B5949" s="290" t="s">
        <v>1004</v>
      </c>
      <c r="C5949" s="290" t="s">
        <v>1005</v>
      </c>
      <c r="D5949" s="290" t="s">
        <v>1006</v>
      </c>
      <c r="E5949" s="373" t="s">
        <v>1007</v>
      </c>
      <c r="F5949" s="363" t="s">
        <v>2637</v>
      </c>
      <c r="G5949" s="291" t="s">
        <v>2638</v>
      </c>
    </row>
    <row r="5950" spans="1:8">
      <c r="A5950" s="294" t="s">
        <v>671</v>
      </c>
      <c r="B5950" s="410" t="s">
        <v>672</v>
      </c>
      <c r="C5950" s="247"/>
      <c r="D5950" s="247"/>
      <c r="E5950" s="372"/>
      <c r="F5950" s="360"/>
      <c r="G5950" s="248"/>
    </row>
    <row r="5951" spans="1:8">
      <c r="A5951" s="294"/>
      <c r="B5951" s="410" t="s">
        <v>673</v>
      </c>
      <c r="C5951" s="247" t="s">
        <v>674</v>
      </c>
      <c r="D5951" s="247" t="s">
        <v>675</v>
      </c>
      <c r="E5951" s="372">
        <v>1</v>
      </c>
      <c r="F5951" s="360">
        <f>'UPAD-BAHAN-ALAT'!$I$12</f>
        <v>110000</v>
      </c>
      <c r="G5951" s="248">
        <f>F5951*E5951</f>
        <v>110000</v>
      </c>
    </row>
    <row r="5952" spans="1:8">
      <c r="A5952" s="294"/>
      <c r="B5952" s="410" t="s">
        <v>731</v>
      </c>
      <c r="C5952" s="247" t="s">
        <v>678</v>
      </c>
      <c r="D5952" s="247" t="s">
        <v>675</v>
      </c>
      <c r="E5952" s="372">
        <v>1.5</v>
      </c>
      <c r="F5952" s="360">
        <f>'UPAD-BAHAN-ALAT'!$I$13</f>
        <v>140000</v>
      </c>
      <c r="G5952" s="248">
        <f>F5952*E5952</f>
        <v>210000</v>
      </c>
    </row>
    <row r="5953" spans="1:8">
      <c r="A5953" s="294"/>
      <c r="B5953" s="410" t="s">
        <v>751</v>
      </c>
      <c r="C5953" s="247" t="s">
        <v>681</v>
      </c>
      <c r="D5953" s="247" t="s">
        <v>675</v>
      </c>
      <c r="E5953" s="372">
        <v>0.15</v>
      </c>
      <c r="F5953" s="360">
        <f>'UPAD-BAHAN-ALAT'!$I$15</f>
        <v>150000</v>
      </c>
      <c r="G5953" s="248">
        <f>F5953*E5953</f>
        <v>22500</v>
      </c>
    </row>
    <row r="5954" spans="1:8">
      <c r="A5954" s="294"/>
      <c r="B5954" s="410" t="s">
        <v>683</v>
      </c>
      <c r="C5954" s="247" t="s">
        <v>684</v>
      </c>
      <c r="D5954" s="247" t="s">
        <v>675</v>
      </c>
      <c r="E5954" s="372">
        <v>0.16</v>
      </c>
      <c r="F5954" s="360">
        <f>'UPAD-BAHAN-ALAT'!$I$14</f>
        <v>140000</v>
      </c>
      <c r="G5954" s="248">
        <f>F5954*E5954</f>
        <v>22400</v>
      </c>
    </row>
    <row r="5955" spans="1:8">
      <c r="A5955" s="294"/>
      <c r="B5955" s="410"/>
      <c r="C5955" s="247"/>
      <c r="D5955" s="247"/>
      <c r="E5955" s="1146" t="s">
        <v>685</v>
      </c>
      <c r="F5955" s="1146"/>
      <c r="G5955" s="248">
        <f>SUM(G5951:G5954)</f>
        <v>364900</v>
      </c>
    </row>
    <row r="5956" spans="1:8">
      <c r="A5956" s="294" t="s">
        <v>686</v>
      </c>
      <c r="B5956" s="410" t="s">
        <v>687</v>
      </c>
      <c r="C5956" s="247"/>
      <c r="D5956" s="247"/>
      <c r="E5956" s="372"/>
      <c r="F5956" s="360"/>
      <c r="G5956" s="248"/>
    </row>
    <row r="5957" spans="1:8">
      <c r="A5957" s="294"/>
      <c r="B5957" s="410" t="s">
        <v>1408</v>
      </c>
      <c r="C5957" s="247"/>
      <c r="D5957" s="247" t="s">
        <v>1405</v>
      </c>
      <c r="E5957" s="372">
        <v>1</v>
      </c>
      <c r="F5957" s="360">
        <f>'UPAD-BAHAN-ALAT'!I400</f>
        <v>2414000</v>
      </c>
      <c r="G5957" s="248">
        <f>F5957*E5957</f>
        <v>2414000</v>
      </c>
    </row>
    <row r="5958" spans="1:8">
      <c r="A5958" s="247"/>
      <c r="B5958" s="410" t="s">
        <v>738</v>
      </c>
      <c r="C5958" s="247"/>
      <c r="D5958" s="247" t="s">
        <v>690</v>
      </c>
      <c r="E5958" s="372">
        <v>6</v>
      </c>
      <c r="F5958" s="360">
        <f>'UPAD-BAHAN-ALAT'!$I$77</f>
        <v>1625</v>
      </c>
      <c r="G5958" s="248">
        <f>F5958*E5958</f>
        <v>9750</v>
      </c>
    </row>
    <row r="5959" spans="1:8">
      <c r="A5959" s="247"/>
      <c r="B5959" s="410" t="s">
        <v>739</v>
      </c>
      <c r="C5959" s="247"/>
      <c r="D5959" s="247" t="s">
        <v>881</v>
      </c>
      <c r="E5959" s="372">
        <v>0.01</v>
      </c>
      <c r="F5959" s="360">
        <f>'UPAD-BAHAN-ALAT'!$I$71</f>
        <v>176000</v>
      </c>
      <c r="G5959" s="248">
        <f>F5959*E5959</f>
        <v>1760</v>
      </c>
    </row>
    <row r="5960" spans="1:8">
      <c r="A5960" s="247"/>
      <c r="B5960" s="295"/>
      <c r="C5960" s="296"/>
      <c r="D5960" s="296"/>
      <c r="E5960" s="1146" t="s">
        <v>702</v>
      </c>
      <c r="F5960" s="1146"/>
      <c r="G5960" s="248">
        <f>SUM(G5957:G5959)</f>
        <v>2425510</v>
      </c>
    </row>
    <row r="5961" spans="1:8" s="265" customFormat="1">
      <c r="A5961" s="294" t="s">
        <v>703</v>
      </c>
      <c r="B5961" s="1147" t="s">
        <v>3910</v>
      </c>
      <c r="C5961" s="1147"/>
      <c r="D5961" s="1147"/>
      <c r="E5961" s="1147"/>
      <c r="F5961" s="1147"/>
      <c r="G5961" s="255">
        <f>G5955+G5960</f>
        <v>2790410</v>
      </c>
    </row>
    <row r="5962" spans="1:8" s="265" customFormat="1">
      <c r="A5962" s="294" t="s">
        <v>706</v>
      </c>
      <c r="B5962" s="1148" t="s">
        <v>876</v>
      </c>
      <c r="C5962" s="1148"/>
      <c r="D5962" s="1148"/>
      <c r="E5962" s="1147" t="s">
        <v>4030</v>
      </c>
      <c r="F5962" s="1147"/>
      <c r="G5962" s="255">
        <f>G5961*0.15</f>
        <v>418561.5</v>
      </c>
    </row>
    <row r="5963" spans="1:8" s="265" customFormat="1">
      <c r="A5963" s="294" t="s">
        <v>708</v>
      </c>
      <c r="B5963" s="1149" t="s">
        <v>3911</v>
      </c>
      <c r="C5963" s="1149"/>
      <c r="D5963" s="1149"/>
      <c r="E5963" s="1149"/>
      <c r="F5963" s="1149"/>
      <c r="G5963" s="255">
        <f>ROUND(SUM(G5961:G5962),2)</f>
        <v>3208971.5</v>
      </c>
      <c r="H5963" s="255">
        <f>SUM(G5961:G5962)</f>
        <v>3208971.5</v>
      </c>
    </row>
    <row r="5964" spans="1:8">
      <c r="A5964" s="252"/>
      <c r="B5964" s="251"/>
      <c r="C5964" s="252"/>
      <c r="D5964" s="251"/>
      <c r="E5964" s="378"/>
      <c r="F5964" s="364"/>
      <c r="G5964" s="264"/>
      <c r="H5964" s="253"/>
    </row>
    <row r="5965" spans="1:8">
      <c r="A5965" s="286" t="s">
        <v>4363</v>
      </c>
      <c r="B5965" s="265" t="s">
        <v>3616</v>
      </c>
    </row>
    <row r="5966" spans="1:8" s="292" customFormat="1" ht="24.95" customHeight="1">
      <c r="A5966" s="290" t="s">
        <v>1003</v>
      </c>
      <c r="B5966" s="290" t="s">
        <v>1004</v>
      </c>
      <c r="C5966" s="290" t="s">
        <v>1005</v>
      </c>
      <c r="D5966" s="290" t="s">
        <v>1006</v>
      </c>
      <c r="E5966" s="373" t="s">
        <v>1007</v>
      </c>
      <c r="F5966" s="363" t="s">
        <v>2637</v>
      </c>
      <c r="G5966" s="291" t="s">
        <v>2638</v>
      </c>
    </row>
    <row r="5967" spans="1:8">
      <c r="A5967" s="294" t="s">
        <v>671</v>
      </c>
      <c r="B5967" s="410" t="s">
        <v>672</v>
      </c>
      <c r="C5967" s="247"/>
      <c r="D5967" s="247"/>
      <c r="E5967" s="372"/>
      <c r="F5967" s="360"/>
      <c r="G5967" s="248"/>
    </row>
    <row r="5968" spans="1:8">
      <c r="A5968" s="294"/>
      <c r="B5968" s="410" t="s">
        <v>673</v>
      </c>
      <c r="C5968" s="247" t="s">
        <v>674</v>
      </c>
      <c r="D5968" s="247" t="s">
        <v>675</v>
      </c>
      <c r="E5968" s="372">
        <v>1</v>
      </c>
      <c r="F5968" s="360">
        <f>'UPAD-BAHAN-ALAT'!$I$12</f>
        <v>110000</v>
      </c>
      <c r="G5968" s="248">
        <f>F5968*E5968</f>
        <v>110000</v>
      </c>
    </row>
    <row r="5969" spans="1:8">
      <c r="A5969" s="294"/>
      <c r="B5969" s="410" t="s">
        <v>731</v>
      </c>
      <c r="C5969" s="247" t="s">
        <v>678</v>
      </c>
      <c r="D5969" s="247" t="s">
        <v>675</v>
      </c>
      <c r="E5969" s="372">
        <v>1.5</v>
      </c>
      <c r="F5969" s="360">
        <f>'UPAD-BAHAN-ALAT'!$I$13</f>
        <v>140000</v>
      </c>
      <c r="G5969" s="248">
        <f>F5969*E5969</f>
        <v>210000</v>
      </c>
    </row>
    <row r="5970" spans="1:8">
      <c r="A5970" s="294"/>
      <c r="B5970" s="410" t="s">
        <v>751</v>
      </c>
      <c r="C5970" s="247" t="s">
        <v>681</v>
      </c>
      <c r="D5970" s="247" t="s">
        <v>675</v>
      </c>
      <c r="E5970" s="372">
        <v>0.15</v>
      </c>
      <c r="F5970" s="360">
        <f>'UPAD-BAHAN-ALAT'!$I$15</f>
        <v>150000</v>
      </c>
      <c r="G5970" s="248">
        <f>F5970*E5970</f>
        <v>22500</v>
      </c>
    </row>
    <row r="5971" spans="1:8">
      <c r="A5971" s="294"/>
      <c r="B5971" s="410" t="s">
        <v>683</v>
      </c>
      <c r="C5971" s="247" t="s">
        <v>684</v>
      </c>
      <c r="D5971" s="247" t="s">
        <v>675</v>
      </c>
      <c r="E5971" s="372">
        <v>0.16</v>
      </c>
      <c r="F5971" s="360">
        <f>'UPAD-BAHAN-ALAT'!$I$14</f>
        <v>140000</v>
      </c>
      <c r="G5971" s="248">
        <f>F5971*E5971</f>
        <v>22400</v>
      </c>
    </row>
    <row r="5972" spans="1:8">
      <c r="A5972" s="294"/>
      <c r="B5972" s="410"/>
      <c r="C5972" s="247"/>
      <c r="D5972" s="247"/>
      <c r="E5972" s="1146" t="s">
        <v>685</v>
      </c>
      <c r="F5972" s="1146"/>
      <c r="G5972" s="248">
        <f>SUM(G5968:G5971)</f>
        <v>364900</v>
      </c>
    </row>
    <row r="5973" spans="1:8">
      <c r="A5973" s="294" t="s">
        <v>686</v>
      </c>
      <c r="B5973" s="410" t="s">
        <v>687</v>
      </c>
      <c r="C5973" s="247"/>
      <c r="D5973" s="247"/>
      <c r="E5973" s="372"/>
      <c r="F5973" s="360"/>
      <c r="G5973" s="248"/>
    </row>
    <row r="5974" spans="1:8">
      <c r="A5974" s="247"/>
      <c r="B5974" s="410" t="s">
        <v>1408</v>
      </c>
      <c r="C5974" s="247"/>
      <c r="D5974" s="247" t="s">
        <v>1405</v>
      </c>
      <c r="E5974" s="372">
        <v>1</v>
      </c>
      <c r="F5974" s="360">
        <f>'UPAD-BAHAN-ALAT'!$I$399</f>
        <v>175000</v>
      </c>
      <c r="G5974" s="248">
        <f>F5974*E5974</f>
        <v>175000</v>
      </c>
    </row>
    <row r="5975" spans="1:8">
      <c r="A5975" s="247"/>
      <c r="B5975" s="410" t="s">
        <v>738</v>
      </c>
      <c r="C5975" s="247"/>
      <c r="D5975" s="247" t="s">
        <v>690</v>
      </c>
      <c r="E5975" s="372">
        <v>6</v>
      </c>
      <c r="F5975" s="360">
        <f>'UPAD-BAHAN-ALAT'!$I$77</f>
        <v>1625</v>
      </c>
      <c r="G5975" s="248">
        <f>F5975*E5975</f>
        <v>9750</v>
      </c>
    </row>
    <row r="5976" spans="1:8">
      <c r="A5976" s="247"/>
      <c r="B5976" s="410" t="s">
        <v>739</v>
      </c>
      <c r="C5976" s="247"/>
      <c r="D5976" s="247" t="s">
        <v>881</v>
      </c>
      <c r="E5976" s="372">
        <v>0.01</v>
      </c>
      <c r="F5976" s="360">
        <f>'UPAD-BAHAN-ALAT'!$I$71</f>
        <v>176000</v>
      </c>
      <c r="G5976" s="248">
        <f>F5976*E5976</f>
        <v>1760</v>
      </c>
    </row>
    <row r="5977" spans="1:8">
      <c r="A5977" s="247"/>
      <c r="B5977" s="295"/>
      <c r="C5977" s="296"/>
      <c r="D5977" s="296"/>
      <c r="E5977" s="1146" t="s">
        <v>702</v>
      </c>
      <c r="F5977" s="1146"/>
      <c r="G5977" s="248">
        <f>SUM(G5974:G5976)</f>
        <v>186510</v>
      </c>
    </row>
    <row r="5978" spans="1:8" s="265" customFormat="1">
      <c r="A5978" s="294" t="s">
        <v>703</v>
      </c>
      <c r="B5978" s="1147" t="s">
        <v>3910</v>
      </c>
      <c r="C5978" s="1147"/>
      <c r="D5978" s="1147"/>
      <c r="E5978" s="1147"/>
      <c r="F5978" s="1147"/>
      <c r="G5978" s="255">
        <f>G5972+G5977</f>
        <v>551410</v>
      </c>
    </row>
    <row r="5979" spans="1:8" s="265" customFormat="1">
      <c r="A5979" s="294" t="s">
        <v>706</v>
      </c>
      <c r="B5979" s="1148" t="s">
        <v>876</v>
      </c>
      <c r="C5979" s="1148"/>
      <c r="D5979" s="1148"/>
      <c r="E5979" s="1147" t="s">
        <v>4030</v>
      </c>
      <c r="F5979" s="1147"/>
      <c r="G5979" s="255">
        <f>G5978*0.15</f>
        <v>82711.5</v>
      </c>
    </row>
    <row r="5980" spans="1:8" s="265" customFormat="1">
      <c r="A5980" s="294" t="s">
        <v>708</v>
      </c>
      <c r="B5980" s="1149" t="s">
        <v>3911</v>
      </c>
      <c r="C5980" s="1149"/>
      <c r="D5980" s="1149"/>
      <c r="E5980" s="1149"/>
      <c r="F5980" s="1149"/>
      <c r="G5980" s="255">
        <f>ROUND(SUM(G5978:G5979),2)</f>
        <v>634121.5</v>
      </c>
      <c r="H5980" s="255">
        <f>SUM(G5978:G5979)</f>
        <v>634121.5</v>
      </c>
    </row>
    <row r="5981" spans="1:8">
      <c r="A5981" s="268"/>
      <c r="B5981" s="269"/>
      <c r="C5981" s="268"/>
      <c r="D5981" s="268"/>
      <c r="E5981" s="380"/>
      <c r="F5981" s="365"/>
      <c r="G5981" s="270"/>
    </row>
    <row r="5982" spans="1:8">
      <c r="A5982" s="600" t="s">
        <v>4366</v>
      </c>
      <c r="B5982" s="265" t="s">
        <v>2736</v>
      </c>
    </row>
    <row r="5983" spans="1:8" s="292" customFormat="1" ht="24.95" customHeight="1">
      <c r="A5983" s="290" t="s">
        <v>1003</v>
      </c>
      <c r="B5983" s="290" t="s">
        <v>1004</v>
      </c>
      <c r="C5983" s="290" t="s">
        <v>1005</v>
      </c>
      <c r="D5983" s="290" t="s">
        <v>1006</v>
      </c>
      <c r="E5983" s="373" t="s">
        <v>1007</v>
      </c>
      <c r="F5983" s="363" t="s">
        <v>2637</v>
      </c>
      <c r="G5983" s="291" t="s">
        <v>2638</v>
      </c>
    </row>
    <row r="5984" spans="1:8">
      <c r="A5984" s="294" t="s">
        <v>671</v>
      </c>
      <c r="B5984" s="410" t="s">
        <v>672</v>
      </c>
      <c r="C5984" s="247"/>
      <c r="D5984" s="247"/>
      <c r="E5984" s="372"/>
      <c r="F5984" s="360"/>
      <c r="G5984" s="248"/>
    </row>
    <row r="5985" spans="1:8">
      <c r="A5985" s="294"/>
      <c r="B5985" s="410" t="s">
        <v>673</v>
      </c>
      <c r="C5985" s="247" t="s">
        <v>674</v>
      </c>
      <c r="D5985" s="247" t="s">
        <v>675</v>
      </c>
      <c r="E5985" s="372">
        <v>1</v>
      </c>
      <c r="F5985" s="360">
        <f>'UPAD-BAHAN-ALAT'!$I$12</f>
        <v>110000</v>
      </c>
      <c r="G5985" s="248">
        <f>F5985*E5985</f>
        <v>110000</v>
      </c>
    </row>
    <row r="5986" spans="1:8">
      <c r="A5986" s="294"/>
      <c r="B5986" s="410" t="s">
        <v>731</v>
      </c>
      <c r="C5986" s="247" t="s">
        <v>678</v>
      </c>
      <c r="D5986" s="247" t="s">
        <v>675</v>
      </c>
      <c r="E5986" s="372">
        <v>1</v>
      </c>
      <c r="F5986" s="360">
        <f>'UPAD-BAHAN-ALAT'!$I$13</f>
        <v>140000</v>
      </c>
      <c r="G5986" s="248">
        <f>F5986*E5986</f>
        <v>140000</v>
      </c>
    </row>
    <row r="5987" spans="1:8">
      <c r="A5987" s="294"/>
      <c r="B5987" s="410" t="s">
        <v>751</v>
      </c>
      <c r="C5987" s="247" t="s">
        <v>681</v>
      </c>
      <c r="D5987" s="247" t="s">
        <v>675</v>
      </c>
      <c r="E5987" s="372">
        <v>0.1</v>
      </c>
      <c r="F5987" s="360">
        <f>'UPAD-BAHAN-ALAT'!$I$15</f>
        <v>150000</v>
      </c>
      <c r="G5987" s="248">
        <f>F5987*E5987</f>
        <v>15000</v>
      </c>
    </row>
    <row r="5988" spans="1:8">
      <c r="A5988" s="294"/>
      <c r="B5988" s="410" t="s">
        <v>683</v>
      </c>
      <c r="C5988" s="247" t="s">
        <v>684</v>
      </c>
      <c r="D5988" s="247" t="s">
        <v>675</v>
      </c>
      <c r="E5988" s="372">
        <v>0.05</v>
      </c>
      <c r="F5988" s="360">
        <f>'UPAD-BAHAN-ALAT'!$I$14</f>
        <v>140000</v>
      </c>
      <c r="G5988" s="248">
        <f>F5988*E5988</f>
        <v>7000</v>
      </c>
    </row>
    <row r="5989" spans="1:8">
      <c r="A5989" s="294"/>
      <c r="B5989" s="410"/>
      <c r="C5989" s="247"/>
      <c r="D5989" s="247"/>
      <c r="E5989" s="1146" t="s">
        <v>685</v>
      </c>
      <c r="F5989" s="1146"/>
      <c r="G5989" s="248">
        <f>SUM(G5985:G5988)</f>
        <v>272000</v>
      </c>
    </row>
    <row r="5990" spans="1:8">
      <c r="A5990" s="294" t="s">
        <v>686</v>
      </c>
      <c r="B5990" s="410" t="s">
        <v>687</v>
      </c>
      <c r="C5990" s="247"/>
      <c r="D5990" s="247"/>
      <c r="E5990" s="372"/>
      <c r="F5990" s="360"/>
      <c r="G5990" s="248"/>
    </row>
    <row r="5991" spans="1:8">
      <c r="A5991" s="247"/>
      <c r="B5991" s="410" t="s">
        <v>1410</v>
      </c>
      <c r="C5991" s="247"/>
      <c r="D5991" s="247" t="s">
        <v>1405</v>
      </c>
      <c r="E5991" s="372">
        <v>1</v>
      </c>
      <c r="F5991" s="360">
        <f>'UPAD-BAHAN-ALAT'!I413</f>
        <v>1700000</v>
      </c>
      <c r="G5991" s="248">
        <f>F5991*E5991</f>
        <v>1700000</v>
      </c>
    </row>
    <row r="5992" spans="1:8">
      <c r="A5992" s="247"/>
      <c r="B5992" s="410" t="s">
        <v>738</v>
      </c>
      <c r="C5992" s="247"/>
      <c r="D5992" s="247" t="s">
        <v>690</v>
      </c>
      <c r="E5992" s="372">
        <v>6</v>
      </c>
      <c r="F5992" s="360">
        <f>'UPAD-BAHAN-ALAT'!$I$77</f>
        <v>1625</v>
      </c>
      <c r="G5992" s="248">
        <f>F5992*E5992</f>
        <v>9750</v>
      </c>
    </row>
    <row r="5993" spans="1:8">
      <c r="A5993" s="247"/>
      <c r="B5993" s="410" t="s">
        <v>739</v>
      </c>
      <c r="C5993" s="247"/>
      <c r="D5993" s="247" t="s">
        <v>881</v>
      </c>
      <c r="E5993" s="372">
        <v>0.01</v>
      </c>
      <c r="F5993" s="360">
        <f>'UPAD-BAHAN-ALAT'!$I$71</f>
        <v>176000</v>
      </c>
      <c r="G5993" s="248">
        <f>F5993*E5993</f>
        <v>1760</v>
      </c>
    </row>
    <row r="5994" spans="1:8">
      <c r="A5994" s="247"/>
      <c r="B5994" s="410" t="s">
        <v>1406</v>
      </c>
      <c r="C5994" s="247"/>
      <c r="D5994" s="247" t="s">
        <v>1411</v>
      </c>
      <c r="E5994" s="372" t="s">
        <v>3504</v>
      </c>
      <c r="F5994" s="360">
        <f>30%*G5991</f>
        <v>510000</v>
      </c>
      <c r="G5994" s="248">
        <f>F5994</f>
        <v>510000</v>
      </c>
    </row>
    <row r="5995" spans="1:8">
      <c r="A5995" s="247"/>
      <c r="B5995" s="295"/>
      <c r="C5995" s="296"/>
      <c r="D5995" s="296"/>
      <c r="E5995" s="1146" t="s">
        <v>702</v>
      </c>
      <c r="F5995" s="1146"/>
      <c r="G5995" s="248">
        <f>SUM(G5991:G5994)</f>
        <v>2221510</v>
      </c>
    </row>
    <row r="5996" spans="1:8" s="265" customFormat="1">
      <c r="A5996" s="294" t="s">
        <v>703</v>
      </c>
      <c r="B5996" s="1147" t="s">
        <v>3910</v>
      </c>
      <c r="C5996" s="1147"/>
      <c r="D5996" s="1147"/>
      <c r="E5996" s="1147"/>
      <c r="F5996" s="1147"/>
      <c r="G5996" s="255">
        <f>G5989+G5995</f>
        <v>2493510</v>
      </c>
    </row>
    <row r="5997" spans="1:8" s="265" customFormat="1">
      <c r="A5997" s="294" t="s">
        <v>706</v>
      </c>
      <c r="B5997" s="1148" t="s">
        <v>876</v>
      </c>
      <c r="C5997" s="1148"/>
      <c r="D5997" s="1148"/>
      <c r="E5997" s="1147" t="s">
        <v>4030</v>
      </c>
      <c r="F5997" s="1147"/>
      <c r="G5997" s="255">
        <f>G5996*0.15</f>
        <v>374026.5</v>
      </c>
    </row>
    <row r="5998" spans="1:8" s="265" customFormat="1">
      <c r="A5998" s="294" t="s">
        <v>708</v>
      </c>
      <c r="B5998" s="1149" t="s">
        <v>3911</v>
      </c>
      <c r="C5998" s="1149"/>
      <c r="D5998" s="1149"/>
      <c r="E5998" s="1149"/>
      <c r="F5998" s="1149"/>
      <c r="G5998" s="255">
        <f>ROUND(SUM(G5996:G5997),2)</f>
        <v>2867536.5</v>
      </c>
      <c r="H5998" s="255">
        <f>SUM(G5996:G5997)</f>
        <v>2867536.5</v>
      </c>
    </row>
    <row r="5999" spans="1:8">
      <c r="A5999" s="268"/>
      <c r="B5999" s="269"/>
      <c r="C5999" s="268"/>
      <c r="D5999" s="268"/>
      <c r="E5999" s="380"/>
      <c r="F5999" s="365"/>
      <c r="G5999" s="270"/>
    </row>
    <row r="6000" spans="1:8">
      <c r="A6000" s="285" t="s">
        <v>4367</v>
      </c>
      <c r="B6000" s="250" t="s">
        <v>2735</v>
      </c>
      <c r="C6000" s="252"/>
      <c r="D6000" s="252"/>
      <c r="E6000" s="374"/>
      <c r="F6000" s="361"/>
      <c r="G6000" s="253"/>
    </row>
    <row r="6001" spans="1:8" s="292" customFormat="1" ht="24.95" customHeight="1">
      <c r="A6001" s="290" t="s">
        <v>1003</v>
      </c>
      <c r="B6001" s="290" t="s">
        <v>1004</v>
      </c>
      <c r="C6001" s="290" t="s">
        <v>1005</v>
      </c>
      <c r="D6001" s="290" t="s">
        <v>1006</v>
      </c>
      <c r="E6001" s="373" t="s">
        <v>1007</v>
      </c>
      <c r="F6001" s="363" t="s">
        <v>2637</v>
      </c>
      <c r="G6001" s="291" t="s">
        <v>2638</v>
      </c>
    </row>
    <row r="6002" spans="1:8">
      <c r="A6002" s="294" t="s">
        <v>671</v>
      </c>
      <c r="B6002" s="410" t="s">
        <v>672</v>
      </c>
      <c r="C6002" s="247"/>
      <c r="D6002" s="247"/>
      <c r="E6002" s="372"/>
      <c r="F6002" s="360"/>
      <c r="G6002" s="248"/>
    </row>
    <row r="6003" spans="1:8">
      <c r="A6003" s="294"/>
      <c r="B6003" s="410" t="s">
        <v>673</v>
      </c>
      <c r="C6003" s="247" t="s">
        <v>674</v>
      </c>
      <c r="D6003" s="247" t="s">
        <v>675</v>
      </c>
      <c r="E6003" s="372">
        <v>1.2</v>
      </c>
      <c r="F6003" s="360">
        <f>'UPAD-BAHAN-ALAT'!$I$12</f>
        <v>110000</v>
      </c>
      <c r="G6003" s="248">
        <f>F6003*E6003</f>
        <v>132000</v>
      </c>
    </row>
    <row r="6004" spans="1:8">
      <c r="A6004" s="294"/>
      <c r="B6004" s="410" t="s">
        <v>731</v>
      </c>
      <c r="C6004" s="247" t="s">
        <v>678</v>
      </c>
      <c r="D6004" s="247" t="s">
        <v>675</v>
      </c>
      <c r="E6004" s="372">
        <v>1.45</v>
      </c>
      <c r="F6004" s="360">
        <f>'UPAD-BAHAN-ALAT'!$I$13</f>
        <v>140000</v>
      </c>
      <c r="G6004" s="248">
        <f>F6004*E6004</f>
        <v>203000</v>
      </c>
    </row>
    <row r="6005" spans="1:8">
      <c r="A6005" s="294"/>
      <c r="B6005" s="410" t="s">
        <v>751</v>
      </c>
      <c r="C6005" s="247" t="s">
        <v>681</v>
      </c>
      <c r="D6005" s="247" t="s">
        <v>675</v>
      </c>
      <c r="E6005" s="372">
        <v>0.15</v>
      </c>
      <c r="F6005" s="360">
        <f>'UPAD-BAHAN-ALAT'!$I$15</f>
        <v>150000</v>
      </c>
      <c r="G6005" s="248">
        <f>F6005*E6005</f>
        <v>22500</v>
      </c>
    </row>
    <row r="6006" spans="1:8">
      <c r="A6006" s="294"/>
      <c r="B6006" s="410" t="s">
        <v>683</v>
      </c>
      <c r="C6006" s="247" t="s">
        <v>684</v>
      </c>
      <c r="D6006" s="247" t="s">
        <v>675</v>
      </c>
      <c r="E6006" s="372">
        <v>0.06</v>
      </c>
      <c r="F6006" s="360">
        <f>'UPAD-BAHAN-ALAT'!$I$14</f>
        <v>140000</v>
      </c>
      <c r="G6006" s="248">
        <f>F6006*E6006</f>
        <v>8400</v>
      </c>
    </row>
    <row r="6007" spans="1:8">
      <c r="A6007" s="294"/>
      <c r="B6007" s="410"/>
      <c r="C6007" s="247"/>
      <c r="D6007" s="247"/>
      <c r="E6007" s="1146" t="s">
        <v>685</v>
      </c>
      <c r="F6007" s="1146"/>
      <c r="G6007" s="248">
        <f>SUM(G6003:G6006)</f>
        <v>365900</v>
      </c>
    </row>
    <row r="6008" spans="1:8">
      <c r="A6008" s="294" t="s">
        <v>686</v>
      </c>
      <c r="B6008" s="410" t="s">
        <v>687</v>
      </c>
      <c r="C6008" s="247"/>
      <c r="D6008" s="247"/>
      <c r="E6008" s="372"/>
      <c r="F6008" s="360"/>
      <c r="G6008" s="248"/>
    </row>
    <row r="6009" spans="1:8">
      <c r="A6009" s="294"/>
      <c r="B6009" s="410" t="s">
        <v>1413</v>
      </c>
      <c r="C6009" s="247"/>
      <c r="D6009" s="247" t="s">
        <v>1405</v>
      </c>
      <c r="E6009" s="372">
        <v>1</v>
      </c>
      <c r="F6009" s="360">
        <f>'UPAD-BAHAN-ALAT'!I414</f>
        <v>697000</v>
      </c>
      <c r="G6009" s="248">
        <f>F6009*E6009</f>
        <v>697000</v>
      </c>
    </row>
    <row r="6010" spans="1:8">
      <c r="A6010" s="294"/>
      <c r="B6010" s="410" t="s">
        <v>738</v>
      </c>
      <c r="C6010" s="247"/>
      <c r="D6010" s="247" t="s">
        <v>690</v>
      </c>
      <c r="E6010" s="372">
        <v>6</v>
      </c>
      <c r="F6010" s="360">
        <f>'UPAD-BAHAN-ALAT'!$I$77</f>
        <v>1625</v>
      </c>
      <c r="G6010" s="248">
        <f>F6010*E6010</f>
        <v>9750</v>
      </c>
    </row>
    <row r="6011" spans="1:8">
      <c r="A6011" s="294"/>
      <c r="B6011" s="410" t="s">
        <v>739</v>
      </c>
      <c r="C6011" s="247"/>
      <c r="D6011" s="247" t="s">
        <v>881</v>
      </c>
      <c r="E6011" s="372">
        <v>0.01</v>
      </c>
      <c r="F6011" s="360">
        <f>'UPAD-BAHAN-ALAT'!$I$71</f>
        <v>176000</v>
      </c>
      <c r="G6011" s="248">
        <f>F6011*E6011</f>
        <v>1760</v>
      </c>
    </row>
    <row r="6012" spans="1:8">
      <c r="A6012" s="294"/>
      <c r="B6012" s="410" t="s">
        <v>1406</v>
      </c>
      <c r="C6012" s="247"/>
      <c r="D6012" s="247" t="s">
        <v>1411</v>
      </c>
      <c r="E6012" s="372" t="s">
        <v>3617</v>
      </c>
      <c r="F6012" s="360">
        <f>12%*G6009</f>
        <v>83640</v>
      </c>
      <c r="G6012" s="248">
        <f>F6012</f>
        <v>83640</v>
      </c>
    </row>
    <row r="6013" spans="1:8">
      <c r="A6013" s="294"/>
      <c r="B6013" s="295"/>
      <c r="C6013" s="296"/>
      <c r="D6013" s="296"/>
      <c r="E6013" s="1146" t="s">
        <v>702</v>
      </c>
      <c r="F6013" s="1146"/>
      <c r="G6013" s="248">
        <f>SUM(G6009:G6012)</f>
        <v>792150</v>
      </c>
    </row>
    <row r="6014" spans="1:8" s="265" customFormat="1">
      <c r="A6014" s="294" t="s">
        <v>703</v>
      </c>
      <c r="B6014" s="1147" t="s">
        <v>3910</v>
      </c>
      <c r="C6014" s="1147"/>
      <c r="D6014" s="1147"/>
      <c r="E6014" s="1147"/>
      <c r="F6014" s="1147"/>
      <c r="G6014" s="255">
        <f>G6007+G6013</f>
        <v>1158050</v>
      </c>
    </row>
    <row r="6015" spans="1:8" s="265" customFormat="1">
      <c r="A6015" s="294" t="s">
        <v>706</v>
      </c>
      <c r="B6015" s="1148" t="s">
        <v>876</v>
      </c>
      <c r="C6015" s="1148"/>
      <c r="D6015" s="1148"/>
      <c r="E6015" s="1147" t="s">
        <v>4030</v>
      </c>
      <c r="F6015" s="1147"/>
      <c r="G6015" s="255">
        <f>G6014*0.15</f>
        <v>173707.5</v>
      </c>
    </row>
    <row r="6016" spans="1:8" s="265" customFormat="1">
      <c r="A6016" s="294" t="s">
        <v>708</v>
      </c>
      <c r="B6016" s="1149" t="s">
        <v>3911</v>
      </c>
      <c r="C6016" s="1149"/>
      <c r="D6016" s="1149"/>
      <c r="E6016" s="1149"/>
      <c r="F6016" s="1149"/>
      <c r="G6016" s="255">
        <f>ROUND(SUM(G6014:G6015),2)</f>
        <v>1331757.5</v>
      </c>
      <c r="H6016" s="255">
        <f>SUM(G6014:G6015)</f>
        <v>1331757.5</v>
      </c>
    </row>
    <row r="6017" spans="1:8">
      <c r="A6017" s="252"/>
      <c r="B6017" s="251"/>
      <c r="C6017" s="252"/>
      <c r="D6017" s="251"/>
      <c r="E6017" s="378"/>
      <c r="F6017" s="364"/>
      <c r="G6017" s="264"/>
      <c r="H6017" s="253"/>
    </row>
    <row r="6018" spans="1:8">
      <c r="A6018" s="285" t="s">
        <v>4368</v>
      </c>
      <c r="B6018" s="655" t="s">
        <v>3586</v>
      </c>
      <c r="C6018" s="252"/>
      <c r="D6018" s="252"/>
      <c r="E6018" s="374"/>
      <c r="F6018" s="361"/>
      <c r="G6018" s="253"/>
    </row>
    <row r="6019" spans="1:8" s="292" customFormat="1" ht="24.95" customHeight="1">
      <c r="A6019" s="290" t="s">
        <v>1003</v>
      </c>
      <c r="B6019" s="290" t="s">
        <v>1004</v>
      </c>
      <c r="C6019" s="290" t="s">
        <v>1005</v>
      </c>
      <c r="D6019" s="290" t="s">
        <v>1006</v>
      </c>
      <c r="E6019" s="373" t="s">
        <v>1007</v>
      </c>
      <c r="F6019" s="363" t="s">
        <v>2637</v>
      </c>
      <c r="G6019" s="291" t="s">
        <v>2638</v>
      </c>
    </row>
    <row r="6020" spans="1:8">
      <c r="A6020" s="294" t="s">
        <v>671</v>
      </c>
      <c r="B6020" s="410" t="s">
        <v>672</v>
      </c>
      <c r="C6020" s="247"/>
      <c r="D6020" s="247"/>
      <c r="E6020" s="372"/>
      <c r="F6020" s="360"/>
      <c r="G6020" s="248"/>
    </row>
    <row r="6021" spans="1:8">
      <c r="A6021" s="294"/>
      <c r="B6021" s="410" t="s">
        <v>673</v>
      </c>
      <c r="C6021" s="247" t="s">
        <v>674</v>
      </c>
      <c r="D6021" s="247" t="s">
        <v>675</v>
      </c>
      <c r="E6021" s="372">
        <v>1.2</v>
      </c>
      <c r="F6021" s="360">
        <f>'UPAD-BAHAN-ALAT'!$I$12</f>
        <v>110000</v>
      </c>
      <c r="G6021" s="248">
        <f>F6021*E6021</f>
        <v>132000</v>
      </c>
    </row>
    <row r="6022" spans="1:8">
      <c r="A6022" s="294"/>
      <c r="B6022" s="410" t="s">
        <v>731</v>
      </c>
      <c r="C6022" s="247" t="s">
        <v>678</v>
      </c>
      <c r="D6022" s="247" t="s">
        <v>675</v>
      </c>
      <c r="E6022" s="372">
        <v>1.45</v>
      </c>
      <c r="F6022" s="360">
        <f>'UPAD-BAHAN-ALAT'!$I$13</f>
        <v>140000</v>
      </c>
      <c r="G6022" s="248">
        <f>F6022*E6022</f>
        <v>203000</v>
      </c>
    </row>
    <row r="6023" spans="1:8">
      <c r="A6023" s="294"/>
      <c r="B6023" s="410" t="s">
        <v>751</v>
      </c>
      <c r="C6023" s="247" t="s">
        <v>681</v>
      </c>
      <c r="D6023" s="247" t="s">
        <v>675</v>
      </c>
      <c r="E6023" s="372">
        <v>0.15</v>
      </c>
      <c r="F6023" s="360">
        <f>'UPAD-BAHAN-ALAT'!$I$15</f>
        <v>150000</v>
      </c>
      <c r="G6023" s="248">
        <f>F6023*E6023</f>
        <v>22500</v>
      </c>
    </row>
    <row r="6024" spans="1:8">
      <c r="A6024" s="294"/>
      <c r="B6024" s="410" t="s">
        <v>683</v>
      </c>
      <c r="C6024" s="247" t="s">
        <v>684</v>
      </c>
      <c r="D6024" s="247" t="s">
        <v>675</v>
      </c>
      <c r="E6024" s="372">
        <v>0.06</v>
      </c>
      <c r="F6024" s="360">
        <f>'UPAD-BAHAN-ALAT'!$I$14</f>
        <v>140000</v>
      </c>
      <c r="G6024" s="248">
        <f>F6024*E6024</f>
        <v>8400</v>
      </c>
    </row>
    <row r="6025" spans="1:8">
      <c r="A6025" s="294"/>
      <c r="B6025" s="410"/>
      <c r="C6025" s="247"/>
      <c r="D6025" s="247"/>
      <c r="E6025" s="1146" t="s">
        <v>685</v>
      </c>
      <c r="F6025" s="1146"/>
      <c r="G6025" s="248">
        <f>SUM(G6021:G6024)</f>
        <v>365900</v>
      </c>
    </row>
    <row r="6026" spans="1:8">
      <c r="A6026" s="294" t="s">
        <v>686</v>
      </c>
      <c r="B6026" s="410" t="s">
        <v>687</v>
      </c>
      <c r="C6026" s="247"/>
      <c r="D6026" s="247"/>
      <c r="E6026" s="372"/>
      <c r="F6026" s="360"/>
      <c r="G6026" s="248"/>
    </row>
    <row r="6027" spans="1:8">
      <c r="A6027" s="294"/>
      <c r="B6027" s="410" t="s">
        <v>1413</v>
      </c>
      <c r="C6027" s="247"/>
      <c r="D6027" s="247" t="s">
        <v>1405</v>
      </c>
      <c r="E6027" s="372">
        <v>1</v>
      </c>
      <c r="F6027" s="360">
        <f>'UPAD-BAHAN-ALAT'!I415</f>
        <v>950000</v>
      </c>
      <c r="G6027" s="248">
        <f>F6027*E6027</f>
        <v>950000</v>
      </c>
    </row>
    <row r="6028" spans="1:8">
      <c r="A6028" s="247"/>
      <c r="B6028" s="410" t="s">
        <v>738</v>
      </c>
      <c r="C6028" s="247"/>
      <c r="D6028" s="247" t="s">
        <v>690</v>
      </c>
      <c r="E6028" s="372">
        <v>6</v>
      </c>
      <c r="F6028" s="360">
        <f>'UPAD-BAHAN-ALAT'!$I$77</f>
        <v>1625</v>
      </c>
      <c r="G6028" s="248">
        <f>F6028*E6028</f>
        <v>9750</v>
      </c>
    </row>
    <row r="6029" spans="1:8">
      <c r="A6029" s="247"/>
      <c r="B6029" s="410" t="s">
        <v>739</v>
      </c>
      <c r="C6029" s="247"/>
      <c r="D6029" s="247" t="s">
        <v>881</v>
      </c>
      <c r="E6029" s="372">
        <v>0.01</v>
      </c>
      <c r="F6029" s="360">
        <f>'UPAD-BAHAN-ALAT'!$I$71</f>
        <v>176000</v>
      </c>
      <c r="G6029" s="248">
        <f>F6029*E6029</f>
        <v>1760</v>
      </c>
    </row>
    <row r="6030" spans="1:8">
      <c r="A6030" s="247"/>
      <c r="B6030" s="410" t="s">
        <v>1406</v>
      </c>
      <c r="C6030" s="247"/>
      <c r="D6030" s="247" t="s">
        <v>1411</v>
      </c>
      <c r="E6030" s="372" t="s">
        <v>3617</v>
      </c>
      <c r="F6030" s="360">
        <f>12%*G6027</f>
        <v>114000</v>
      </c>
      <c r="G6030" s="248">
        <f>F6030</f>
        <v>114000</v>
      </c>
    </row>
    <row r="6031" spans="1:8">
      <c r="A6031" s="247"/>
      <c r="B6031" s="295"/>
      <c r="C6031" s="296"/>
      <c r="D6031" s="296"/>
      <c r="E6031" s="1146" t="s">
        <v>702</v>
      </c>
      <c r="F6031" s="1146"/>
      <c r="G6031" s="248">
        <f>SUM(G6027:G6030)</f>
        <v>1075510</v>
      </c>
    </row>
    <row r="6032" spans="1:8" s="265" customFormat="1">
      <c r="A6032" s="294" t="s">
        <v>703</v>
      </c>
      <c r="B6032" s="1147" t="s">
        <v>3910</v>
      </c>
      <c r="C6032" s="1147"/>
      <c r="D6032" s="1147"/>
      <c r="E6032" s="1147"/>
      <c r="F6032" s="1147"/>
      <c r="G6032" s="255">
        <f>G6025+G6031</f>
        <v>1441410</v>
      </c>
    </row>
    <row r="6033" spans="1:8" s="265" customFormat="1">
      <c r="A6033" s="294" t="s">
        <v>706</v>
      </c>
      <c r="B6033" s="1148" t="s">
        <v>876</v>
      </c>
      <c r="C6033" s="1148"/>
      <c r="D6033" s="1148"/>
      <c r="E6033" s="1147" t="s">
        <v>4030</v>
      </c>
      <c r="F6033" s="1147"/>
      <c r="G6033" s="255">
        <f>G6032*0.15</f>
        <v>216211.5</v>
      </c>
    </row>
    <row r="6034" spans="1:8" s="265" customFormat="1">
      <c r="A6034" s="294" t="s">
        <v>708</v>
      </c>
      <c r="B6034" s="1149" t="s">
        <v>3911</v>
      </c>
      <c r="C6034" s="1149"/>
      <c r="D6034" s="1149"/>
      <c r="E6034" s="1149"/>
      <c r="F6034" s="1149"/>
      <c r="G6034" s="255">
        <f>ROUND(SUM(G6032:G6033),2)</f>
        <v>1657621.5</v>
      </c>
      <c r="H6034" s="255">
        <f>SUM(G6032:G6033)</f>
        <v>1657621.5</v>
      </c>
    </row>
    <row r="6035" spans="1:8">
      <c r="A6035" s="252"/>
      <c r="B6035" s="251"/>
      <c r="C6035" s="252"/>
      <c r="D6035" s="251"/>
      <c r="E6035" s="378"/>
      <c r="F6035" s="364"/>
      <c r="G6035" s="264"/>
      <c r="H6035" s="253"/>
    </row>
    <row r="6036" spans="1:8">
      <c r="A6036" s="600" t="s">
        <v>4369</v>
      </c>
      <c r="B6036" s="265" t="s">
        <v>2734</v>
      </c>
    </row>
    <row r="6037" spans="1:8" s="292" customFormat="1" ht="24.95" customHeight="1">
      <c r="A6037" s="290" t="s">
        <v>1003</v>
      </c>
      <c r="B6037" s="290" t="s">
        <v>1004</v>
      </c>
      <c r="C6037" s="290" t="s">
        <v>1005</v>
      </c>
      <c r="D6037" s="290" t="s">
        <v>1006</v>
      </c>
      <c r="E6037" s="373" t="s">
        <v>1007</v>
      </c>
      <c r="F6037" s="363" t="s">
        <v>2637</v>
      </c>
      <c r="G6037" s="291" t="s">
        <v>2638</v>
      </c>
    </row>
    <row r="6038" spans="1:8">
      <c r="A6038" s="294" t="s">
        <v>671</v>
      </c>
      <c r="B6038" s="410" t="s">
        <v>672</v>
      </c>
      <c r="C6038" s="247"/>
      <c r="D6038" s="247"/>
      <c r="E6038" s="372"/>
      <c r="F6038" s="360"/>
      <c r="G6038" s="248"/>
    </row>
    <row r="6039" spans="1:8">
      <c r="A6039" s="294"/>
      <c r="B6039" s="410" t="s">
        <v>673</v>
      </c>
      <c r="C6039" s="247" t="s">
        <v>674</v>
      </c>
      <c r="D6039" s="247" t="s">
        <v>675</v>
      </c>
      <c r="E6039" s="372">
        <v>7.4999999999999997E-2</v>
      </c>
      <c r="F6039" s="360">
        <f>'UPAD-BAHAN-ALAT'!$I$12</f>
        <v>110000</v>
      </c>
      <c r="G6039" s="248">
        <f>F6039*E6039</f>
        <v>8250</v>
      </c>
    </row>
    <row r="6040" spans="1:8">
      <c r="A6040" s="294"/>
      <c r="B6040" s="410" t="s">
        <v>731</v>
      </c>
      <c r="C6040" s="247" t="s">
        <v>678</v>
      </c>
      <c r="D6040" s="247" t="s">
        <v>675</v>
      </c>
      <c r="E6040" s="372">
        <v>0.75</v>
      </c>
      <c r="F6040" s="360">
        <f>'UPAD-BAHAN-ALAT'!$I$13</f>
        <v>140000</v>
      </c>
      <c r="G6040" s="248">
        <f>F6040*E6040</f>
        <v>105000</v>
      </c>
    </row>
    <row r="6041" spans="1:8">
      <c r="A6041" s="294"/>
      <c r="B6041" s="410" t="s">
        <v>751</v>
      </c>
      <c r="C6041" s="247" t="s">
        <v>681</v>
      </c>
      <c r="D6041" s="247" t="s">
        <v>675</v>
      </c>
      <c r="E6041" s="372">
        <v>7.4999999999999997E-2</v>
      </c>
      <c r="F6041" s="360">
        <f>'UPAD-BAHAN-ALAT'!$I$15</f>
        <v>150000</v>
      </c>
      <c r="G6041" s="248">
        <f>F6041*E6041</f>
        <v>11250</v>
      </c>
    </row>
    <row r="6042" spans="1:8">
      <c r="A6042" s="294"/>
      <c r="B6042" s="410" t="s">
        <v>683</v>
      </c>
      <c r="C6042" s="247" t="s">
        <v>684</v>
      </c>
      <c r="D6042" s="247" t="s">
        <v>675</v>
      </c>
      <c r="E6042" s="372">
        <v>3.0000000000000001E-3</v>
      </c>
      <c r="F6042" s="360">
        <f>'UPAD-BAHAN-ALAT'!$I$14</f>
        <v>140000</v>
      </c>
      <c r="G6042" s="248">
        <f>F6042*E6042</f>
        <v>420</v>
      </c>
    </row>
    <row r="6043" spans="1:8">
      <c r="A6043" s="294"/>
      <c r="B6043" s="410"/>
      <c r="C6043" s="247"/>
      <c r="D6043" s="247"/>
      <c r="E6043" s="1146" t="s">
        <v>685</v>
      </c>
      <c r="F6043" s="1146"/>
      <c r="G6043" s="248">
        <f>SUM(G6039:G6042)</f>
        <v>124920</v>
      </c>
    </row>
    <row r="6044" spans="1:8">
      <c r="A6044" s="294" t="s">
        <v>686</v>
      </c>
      <c r="B6044" s="410" t="s">
        <v>687</v>
      </c>
      <c r="C6044" s="247"/>
      <c r="D6044" s="247"/>
      <c r="E6044" s="372"/>
      <c r="F6044" s="360"/>
      <c r="G6044" s="248"/>
    </row>
    <row r="6045" spans="1:8">
      <c r="A6045" s="294"/>
      <c r="B6045" s="410" t="s">
        <v>1414</v>
      </c>
      <c r="C6045" s="247"/>
      <c r="D6045" s="247" t="s">
        <v>1405</v>
      </c>
      <c r="E6045" s="372">
        <v>1</v>
      </c>
      <c r="F6045" s="360">
        <f>'UPAD-BAHAN-ALAT'!I417</f>
        <v>5000000</v>
      </c>
      <c r="G6045" s="248">
        <f>F6045*E6045</f>
        <v>5000000</v>
      </c>
    </row>
    <row r="6046" spans="1:8">
      <c r="A6046" s="247"/>
      <c r="B6046" s="410" t="s">
        <v>1406</v>
      </c>
      <c r="C6046" s="247"/>
      <c r="D6046" s="247" t="s">
        <v>1411</v>
      </c>
      <c r="E6046" s="372" t="s">
        <v>3633</v>
      </c>
      <c r="F6046" s="360">
        <f>G6045*20%</f>
        <v>1000000</v>
      </c>
      <c r="G6046" s="248">
        <f>F6046</f>
        <v>1000000</v>
      </c>
    </row>
    <row r="6047" spans="1:8">
      <c r="A6047" s="247"/>
      <c r="B6047" s="410"/>
      <c r="C6047" s="247"/>
      <c r="D6047" s="247"/>
      <c r="E6047" s="1155" t="s">
        <v>702</v>
      </c>
      <c r="F6047" s="1155"/>
      <c r="G6047" s="248">
        <f>SUM(G6045:G6046)</f>
        <v>6000000</v>
      </c>
    </row>
    <row r="6048" spans="1:8" s="265" customFormat="1">
      <c r="A6048" s="294" t="s">
        <v>703</v>
      </c>
      <c r="B6048" s="1151" t="s">
        <v>3910</v>
      </c>
      <c r="C6048" s="1151"/>
      <c r="D6048" s="1151"/>
      <c r="E6048" s="1151"/>
      <c r="F6048" s="1151"/>
      <c r="G6048" s="255">
        <f>G6043+G6047</f>
        <v>6124920</v>
      </c>
    </row>
    <row r="6049" spans="1:8" s="265" customFormat="1">
      <c r="A6049" s="294" t="s">
        <v>706</v>
      </c>
      <c r="B6049" s="1148" t="s">
        <v>876</v>
      </c>
      <c r="C6049" s="1148"/>
      <c r="D6049" s="1148"/>
      <c r="E6049" s="1147" t="s">
        <v>4030</v>
      </c>
      <c r="F6049" s="1147"/>
      <c r="G6049" s="255">
        <f>G6048*0.15</f>
        <v>918738</v>
      </c>
    </row>
    <row r="6050" spans="1:8" s="265" customFormat="1">
      <c r="A6050" s="294" t="s">
        <v>708</v>
      </c>
      <c r="B6050" s="1149" t="s">
        <v>3911</v>
      </c>
      <c r="C6050" s="1149"/>
      <c r="D6050" s="1149"/>
      <c r="E6050" s="1149"/>
      <c r="F6050" s="1149"/>
      <c r="G6050" s="255">
        <f>ROUND(SUM(G6048:G6049),2)</f>
        <v>7043658</v>
      </c>
      <c r="H6050" s="255">
        <f>SUM(G6048:G6049)</f>
        <v>7043658</v>
      </c>
    </row>
    <row r="6051" spans="1:8">
      <c r="A6051" s="268"/>
      <c r="B6051" s="269"/>
      <c r="C6051" s="268"/>
      <c r="D6051" s="268"/>
      <c r="E6051" s="380"/>
      <c r="F6051" s="365"/>
      <c r="G6051" s="270"/>
    </row>
    <row r="6052" spans="1:8">
      <c r="A6052" s="285" t="s">
        <v>4370</v>
      </c>
      <c r="B6052" s="250" t="s">
        <v>3619</v>
      </c>
      <c r="C6052" s="252"/>
      <c r="D6052" s="252"/>
      <c r="E6052" s="374"/>
      <c r="F6052" s="361"/>
      <c r="G6052" s="253"/>
    </row>
    <row r="6053" spans="1:8" s="292" customFormat="1" ht="24.95" customHeight="1">
      <c r="A6053" s="290" t="s">
        <v>1003</v>
      </c>
      <c r="B6053" s="290" t="s">
        <v>1004</v>
      </c>
      <c r="C6053" s="290" t="s">
        <v>1005</v>
      </c>
      <c r="D6053" s="290" t="s">
        <v>1006</v>
      </c>
      <c r="E6053" s="373" t="s">
        <v>1007</v>
      </c>
      <c r="F6053" s="363" t="s">
        <v>2637</v>
      </c>
      <c r="G6053" s="291" t="s">
        <v>2638</v>
      </c>
    </row>
    <row r="6054" spans="1:8">
      <c r="A6054" s="294" t="s">
        <v>671</v>
      </c>
      <c r="B6054" s="410" t="s">
        <v>672</v>
      </c>
      <c r="C6054" s="247"/>
      <c r="D6054" s="247"/>
      <c r="E6054" s="372"/>
      <c r="F6054" s="360"/>
      <c r="G6054" s="248"/>
    </row>
    <row r="6055" spans="1:8">
      <c r="A6055" s="294"/>
      <c r="B6055" s="410" t="s">
        <v>673</v>
      </c>
      <c r="C6055" s="247" t="s">
        <v>674</v>
      </c>
      <c r="D6055" s="247" t="s">
        <v>675</v>
      </c>
      <c r="E6055" s="372">
        <v>0.18</v>
      </c>
      <c r="F6055" s="360">
        <f>'UPAD-BAHAN-ALAT'!$I$12</f>
        <v>110000</v>
      </c>
      <c r="G6055" s="248">
        <f>F6055*E6055</f>
        <v>19800</v>
      </c>
    </row>
    <row r="6056" spans="1:8">
      <c r="A6056" s="294"/>
      <c r="B6056" s="410" t="s">
        <v>731</v>
      </c>
      <c r="C6056" s="247" t="s">
        <v>678</v>
      </c>
      <c r="D6056" s="247" t="s">
        <v>675</v>
      </c>
      <c r="E6056" s="372">
        <v>5.3999999999999999E-2</v>
      </c>
      <c r="F6056" s="360">
        <f>'UPAD-BAHAN-ALAT'!$I$13</f>
        <v>140000</v>
      </c>
      <c r="G6056" s="248">
        <f>F6056*E6056</f>
        <v>7560</v>
      </c>
    </row>
    <row r="6057" spans="1:8">
      <c r="A6057" s="294"/>
      <c r="B6057" s="410" t="s">
        <v>751</v>
      </c>
      <c r="C6057" s="247" t="s">
        <v>681</v>
      </c>
      <c r="D6057" s="247" t="s">
        <v>675</v>
      </c>
      <c r="E6057" s="372">
        <v>5.0000000000000001E-3</v>
      </c>
      <c r="F6057" s="360">
        <f>'UPAD-BAHAN-ALAT'!$I$15</f>
        <v>150000</v>
      </c>
      <c r="G6057" s="248">
        <f>F6057*E6057</f>
        <v>750</v>
      </c>
    </row>
    <row r="6058" spans="1:8">
      <c r="A6058" s="294"/>
      <c r="B6058" s="410" t="s">
        <v>683</v>
      </c>
      <c r="C6058" s="247" t="s">
        <v>684</v>
      </c>
      <c r="D6058" s="247" t="s">
        <v>675</v>
      </c>
      <c r="E6058" s="372">
        <v>1.0999999999999999E-2</v>
      </c>
      <c r="F6058" s="360">
        <f>'UPAD-BAHAN-ALAT'!$I$14</f>
        <v>140000</v>
      </c>
      <c r="G6058" s="248">
        <f>F6058*E6058</f>
        <v>1540</v>
      </c>
    </row>
    <row r="6059" spans="1:8">
      <c r="A6059" s="294"/>
      <c r="B6059" s="410"/>
      <c r="C6059" s="247"/>
      <c r="D6059" s="247"/>
      <c r="E6059" s="1146" t="s">
        <v>685</v>
      </c>
      <c r="F6059" s="1146"/>
      <c r="G6059" s="248">
        <f>SUM(G6055:G6058)</f>
        <v>29650</v>
      </c>
    </row>
    <row r="6060" spans="1:8">
      <c r="A6060" s="294" t="s">
        <v>686</v>
      </c>
      <c r="B6060" s="410" t="s">
        <v>687</v>
      </c>
      <c r="C6060" s="247"/>
      <c r="D6060" s="247"/>
      <c r="E6060" s="372"/>
      <c r="F6060" s="360"/>
      <c r="G6060" s="248"/>
    </row>
    <row r="6061" spans="1:8">
      <c r="A6061" s="294"/>
      <c r="B6061" s="410" t="s">
        <v>1417</v>
      </c>
      <c r="C6061" s="247"/>
      <c r="D6061" s="247" t="s">
        <v>1405</v>
      </c>
      <c r="E6061" s="372">
        <v>1</v>
      </c>
      <c r="F6061" s="360">
        <f>'UPAD-BAHAN-ALAT'!I390</f>
        <v>410000</v>
      </c>
      <c r="G6061" s="248">
        <f>F6061*E6061</f>
        <v>410000</v>
      </c>
    </row>
    <row r="6062" spans="1:8">
      <c r="A6062" s="294"/>
      <c r="B6062" s="410" t="s">
        <v>1406</v>
      </c>
      <c r="C6062" s="247"/>
      <c r="D6062" s="247" t="s">
        <v>1011</v>
      </c>
      <c r="E6062" s="372" t="s">
        <v>3618</v>
      </c>
      <c r="F6062" s="360">
        <f>12%*G6061</f>
        <v>49200</v>
      </c>
      <c r="G6062" s="248">
        <f>F6062</f>
        <v>49200</v>
      </c>
    </row>
    <row r="6063" spans="1:8">
      <c r="A6063" s="294"/>
      <c r="B6063" s="295"/>
      <c r="C6063" s="296"/>
      <c r="D6063" s="296"/>
      <c r="E6063" s="1146" t="s">
        <v>702</v>
      </c>
      <c r="F6063" s="1146"/>
      <c r="G6063" s="248">
        <f>SUM(G6061:G6062)</f>
        <v>459200</v>
      </c>
    </row>
    <row r="6064" spans="1:8" s="265" customFormat="1">
      <c r="A6064" s="294" t="s">
        <v>703</v>
      </c>
      <c r="B6064" s="1147" t="s">
        <v>3910</v>
      </c>
      <c r="C6064" s="1147"/>
      <c r="D6064" s="1147"/>
      <c r="E6064" s="1147"/>
      <c r="F6064" s="1147"/>
      <c r="G6064" s="255">
        <f>G6059+G6063</f>
        <v>488850</v>
      </c>
    </row>
    <row r="6065" spans="1:8" s="265" customFormat="1">
      <c r="A6065" s="294" t="s">
        <v>706</v>
      </c>
      <c r="B6065" s="1148" t="s">
        <v>876</v>
      </c>
      <c r="C6065" s="1148"/>
      <c r="D6065" s="1148"/>
      <c r="E6065" s="1147" t="s">
        <v>4030</v>
      </c>
      <c r="F6065" s="1147"/>
      <c r="G6065" s="255">
        <f>G6064*0.15</f>
        <v>73327.5</v>
      </c>
    </row>
    <row r="6066" spans="1:8" s="265" customFormat="1">
      <c r="A6066" s="294" t="s">
        <v>708</v>
      </c>
      <c r="B6066" s="1149" t="s">
        <v>3911</v>
      </c>
      <c r="C6066" s="1149"/>
      <c r="D6066" s="1149"/>
      <c r="E6066" s="1149"/>
      <c r="F6066" s="1149"/>
      <c r="G6066" s="255">
        <f>ROUND(SUM(G6064:G6065),2)</f>
        <v>562177.5</v>
      </c>
      <c r="H6066" s="255">
        <f>SUM(G6064:G6065)</f>
        <v>562177.5</v>
      </c>
    </row>
    <row r="6068" spans="1:8">
      <c r="A6068" s="286" t="s">
        <v>4371</v>
      </c>
      <c r="B6068" s="265" t="s">
        <v>2733</v>
      </c>
    </row>
    <row r="6069" spans="1:8" s="292" customFormat="1" ht="24.95" customHeight="1">
      <c r="A6069" s="290" t="s">
        <v>1003</v>
      </c>
      <c r="B6069" s="290" t="s">
        <v>1004</v>
      </c>
      <c r="C6069" s="290" t="s">
        <v>1005</v>
      </c>
      <c r="D6069" s="290" t="s">
        <v>1006</v>
      </c>
      <c r="E6069" s="373" t="s">
        <v>1007</v>
      </c>
      <c r="F6069" s="363" t="s">
        <v>2637</v>
      </c>
      <c r="G6069" s="291" t="s">
        <v>2638</v>
      </c>
    </row>
    <row r="6070" spans="1:8">
      <c r="A6070" s="294" t="s">
        <v>671</v>
      </c>
      <c r="B6070" s="410" t="s">
        <v>672</v>
      </c>
      <c r="C6070" s="247"/>
      <c r="D6070" s="247"/>
      <c r="E6070" s="372"/>
      <c r="F6070" s="360"/>
      <c r="G6070" s="248"/>
    </row>
    <row r="6071" spans="1:8">
      <c r="A6071" s="294"/>
      <c r="B6071" s="410" t="s">
        <v>673</v>
      </c>
      <c r="C6071" s="247" t="s">
        <v>674</v>
      </c>
      <c r="D6071" s="247" t="s">
        <v>675</v>
      </c>
      <c r="E6071" s="372">
        <v>6</v>
      </c>
      <c r="F6071" s="360">
        <f>'UPAD-BAHAN-ALAT'!$I$12</f>
        <v>110000</v>
      </c>
      <c r="G6071" s="248">
        <f>F6071*E6071</f>
        <v>660000</v>
      </c>
    </row>
    <row r="6072" spans="1:8">
      <c r="A6072" s="294"/>
      <c r="B6072" s="410" t="s">
        <v>731</v>
      </c>
      <c r="C6072" s="247" t="s">
        <v>678</v>
      </c>
      <c r="D6072" s="247" t="s">
        <v>675</v>
      </c>
      <c r="E6072" s="372">
        <v>3</v>
      </c>
      <c r="F6072" s="360">
        <f>'UPAD-BAHAN-ALAT'!$I$13</f>
        <v>140000</v>
      </c>
      <c r="G6072" s="248">
        <f>F6072*E6072</f>
        <v>420000</v>
      </c>
    </row>
    <row r="6073" spans="1:8">
      <c r="A6073" s="294"/>
      <c r="B6073" s="410" t="s">
        <v>751</v>
      </c>
      <c r="C6073" s="247" t="s">
        <v>681</v>
      </c>
      <c r="D6073" s="247" t="s">
        <v>675</v>
      </c>
      <c r="E6073" s="372">
        <v>0.3</v>
      </c>
      <c r="F6073" s="360">
        <f>'UPAD-BAHAN-ALAT'!$I$15</f>
        <v>150000</v>
      </c>
      <c r="G6073" s="248">
        <f>F6073*E6073</f>
        <v>45000</v>
      </c>
    </row>
    <row r="6074" spans="1:8">
      <c r="A6074" s="294"/>
      <c r="B6074" s="410" t="s">
        <v>683</v>
      </c>
      <c r="C6074" s="247" t="s">
        <v>684</v>
      </c>
      <c r="D6074" s="247" t="s">
        <v>675</v>
      </c>
      <c r="E6074" s="372">
        <v>0.03</v>
      </c>
      <c r="F6074" s="360">
        <f>'UPAD-BAHAN-ALAT'!$I$14</f>
        <v>140000</v>
      </c>
      <c r="G6074" s="248">
        <f>F6074*E6074</f>
        <v>4200</v>
      </c>
    </row>
    <row r="6075" spans="1:8">
      <c r="A6075" s="294"/>
      <c r="B6075" s="410"/>
      <c r="C6075" s="247"/>
      <c r="D6075" s="247"/>
      <c r="E6075" s="1146" t="s">
        <v>685</v>
      </c>
      <c r="F6075" s="1146"/>
      <c r="G6075" s="248">
        <f>SUM(G6071:G6074)</f>
        <v>1129200</v>
      </c>
    </row>
    <row r="6076" spans="1:8">
      <c r="A6076" s="294" t="s">
        <v>686</v>
      </c>
      <c r="B6076" s="410" t="s">
        <v>687</v>
      </c>
      <c r="C6076" s="247"/>
      <c r="D6076" s="247"/>
      <c r="E6076" s="372"/>
      <c r="F6076" s="360"/>
      <c r="G6076" s="248"/>
    </row>
    <row r="6077" spans="1:8">
      <c r="A6077" s="294"/>
      <c r="B6077" s="410" t="s">
        <v>742</v>
      </c>
      <c r="C6077" s="247"/>
      <c r="D6077" s="247" t="s">
        <v>881</v>
      </c>
      <c r="E6077" s="372">
        <v>150</v>
      </c>
      <c r="F6077" s="360">
        <f>'UPAD-BAHAN-ALAT'!I61</f>
        <v>700</v>
      </c>
      <c r="G6077" s="248">
        <f>F6077*E6077</f>
        <v>105000</v>
      </c>
    </row>
    <row r="6078" spans="1:8">
      <c r="A6078" s="247"/>
      <c r="B6078" s="410" t="s">
        <v>1420</v>
      </c>
      <c r="C6078" s="247"/>
      <c r="D6078" s="247" t="s">
        <v>690</v>
      </c>
      <c r="E6078" s="372">
        <v>120</v>
      </c>
      <c r="F6078" s="360">
        <f>'UPAD-BAHAN-ALAT'!$I$77</f>
        <v>1625</v>
      </c>
      <c r="G6078" s="248">
        <f>F6078*E6078</f>
        <v>195000</v>
      </c>
    </row>
    <row r="6079" spans="1:8">
      <c r="A6079" s="247"/>
      <c r="B6079" s="410" t="s">
        <v>739</v>
      </c>
      <c r="C6079" s="247"/>
      <c r="D6079" s="247" t="s">
        <v>881</v>
      </c>
      <c r="E6079" s="372">
        <v>0.3</v>
      </c>
      <c r="F6079" s="360">
        <f>'UPAD-BAHAN-ALAT'!$I$71</f>
        <v>176000</v>
      </c>
      <c r="G6079" s="248">
        <f>F6079*E6079</f>
        <v>52800</v>
      </c>
    </row>
    <row r="6080" spans="1:8">
      <c r="A6080" s="247"/>
      <c r="B6080" s="410" t="s">
        <v>3620</v>
      </c>
      <c r="C6080" s="247"/>
      <c r="D6080" s="247" t="s">
        <v>1423</v>
      </c>
      <c r="E6080" s="372">
        <v>63</v>
      </c>
      <c r="F6080" s="360">
        <f>'UPAD-BAHAN-ALAT'!I249</f>
        <v>2250</v>
      </c>
      <c r="G6080" s="248">
        <f>F6080*E6080</f>
        <v>141750</v>
      </c>
    </row>
    <row r="6081" spans="1:8">
      <c r="A6081" s="247"/>
      <c r="B6081" s="410" t="s">
        <v>1100</v>
      </c>
      <c r="C6081" s="247"/>
      <c r="D6081" s="247" t="s">
        <v>690</v>
      </c>
      <c r="E6081" s="372">
        <v>6</v>
      </c>
      <c r="F6081" s="360">
        <f>'UPAD-BAHAN-ALAT'!I74/40</f>
        <v>3437.5</v>
      </c>
      <c r="G6081" s="248">
        <f>F6081*E6081</f>
        <v>20625</v>
      </c>
    </row>
    <row r="6082" spans="1:8">
      <c r="A6082" s="247"/>
      <c r="B6082" s="410"/>
      <c r="C6082" s="247"/>
      <c r="D6082" s="247"/>
      <c r="E6082" s="1155" t="s">
        <v>702</v>
      </c>
      <c r="F6082" s="1155"/>
      <c r="G6082" s="248">
        <f>SUM(G6077:G6081)</f>
        <v>515175</v>
      </c>
    </row>
    <row r="6083" spans="1:8" s="265" customFormat="1">
      <c r="A6083" s="294" t="s">
        <v>703</v>
      </c>
      <c r="B6083" s="1151" t="s">
        <v>3910</v>
      </c>
      <c r="C6083" s="1151"/>
      <c r="D6083" s="1151"/>
      <c r="E6083" s="1151"/>
      <c r="F6083" s="1151"/>
      <c r="G6083" s="255">
        <f>G6075+G6082</f>
        <v>1644375</v>
      </c>
    </row>
    <row r="6084" spans="1:8" s="265" customFormat="1">
      <c r="A6084" s="294" t="s">
        <v>706</v>
      </c>
      <c r="B6084" s="1148" t="s">
        <v>876</v>
      </c>
      <c r="C6084" s="1148"/>
      <c r="D6084" s="1148"/>
      <c r="E6084" s="1147" t="s">
        <v>4030</v>
      </c>
      <c r="F6084" s="1147"/>
      <c r="G6084" s="255">
        <f>G6083*0.15</f>
        <v>246656.25</v>
      </c>
    </row>
    <row r="6085" spans="1:8" s="265" customFormat="1">
      <c r="A6085" s="294" t="s">
        <v>708</v>
      </c>
      <c r="B6085" s="1149" t="s">
        <v>3911</v>
      </c>
      <c r="C6085" s="1149"/>
      <c r="D6085" s="1149"/>
      <c r="E6085" s="1149"/>
      <c r="F6085" s="1149"/>
      <c r="G6085" s="255">
        <f>ROUND(SUM(G6083:G6084),2)</f>
        <v>1891031.25</v>
      </c>
      <c r="H6085" s="255">
        <f>SUM(G6083:G6084)</f>
        <v>1891031.25</v>
      </c>
    </row>
    <row r="6086" spans="1:8">
      <c r="A6086" s="268"/>
      <c r="B6086" s="269"/>
      <c r="C6086" s="268"/>
      <c r="D6086" s="268"/>
      <c r="E6086" s="380"/>
      <c r="F6086" s="365"/>
      <c r="G6086" s="270"/>
    </row>
    <row r="6087" spans="1:8">
      <c r="A6087" s="286" t="s">
        <v>4372</v>
      </c>
      <c r="B6087" s="265" t="s">
        <v>2732</v>
      </c>
    </row>
    <row r="6088" spans="1:8" s="292" customFormat="1" ht="24.95" customHeight="1">
      <c r="A6088" s="290" t="s">
        <v>1003</v>
      </c>
      <c r="B6088" s="290" t="s">
        <v>1004</v>
      </c>
      <c r="C6088" s="290" t="s">
        <v>1005</v>
      </c>
      <c r="D6088" s="290" t="s">
        <v>1006</v>
      </c>
      <c r="E6088" s="373" t="s">
        <v>1007</v>
      </c>
      <c r="F6088" s="363" t="s">
        <v>2637</v>
      </c>
      <c r="G6088" s="291" t="s">
        <v>2638</v>
      </c>
    </row>
    <row r="6089" spans="1:8">
      <c r="A6089" s="294" t="s">
        <v>671</v>
      </c>
      <c r="B6089" s="410" t="s">
        <v>672</v>
      </c>
      <c r="C6089" s="247"/>
      <c r="D6089" s="247"/>
      <c r="E6089" s="372"/>
      <c r="F6089" s="360"/>
      <c r="G6089" s="248"/>
    </row>
    <row r="6090" spans="1:8">
      <c r="A6090" s="294"/>
      <c r="B6090" s="410" t="s">
        <v>673</v>
      </c>
      <c r="C6090" s="247" t="s">
        <v>674</v>
      </c>
      <c r="D6090" s="247" t="s">
        <v>675</v>
      </c>
      <c r="E6090" s="372">
        <v>0.18</v>
      </c>
      <c r="F6090" s="360">
        <f>'UPAD-BAHAN-ALAT'!$I$12</f>
        <v>110000</v>
      </c>
      <c r="G6090" s="248">
        <f>F6090*E6090</f>
        <v>19800</v>
      </c>
    </row>
    <row r="6091" spans="1:8">
      <c r="A6091" s="294"/>
      <c r="B6091" s="410" t="s">
        <v>731</v>
      </c>
      <c r="C6091" s="247" t="s">
        <v>678</v>
      </c>
      <c r="D6091" s="247" t="s">
        <v>675</v>
      </c>
      <c r="E6091" s="372">
        <v>5.3999999999999999E-2</v>
      </c>
      <c r="F6091" s="360">
        <f>'UPAD-BAHAN-ALAT'!$I$13</f>
        <v>140000</v>
      </c>
      <c r="G6091" s="248">
        <f>F6091*E6091</f>
        <v>7560</v>
      </c>
    </row>
    <row r="6092" spans="1:8">
      <c r="A6092" s="294"/>
      <c r="B6092" s="410" t="s">
        <v>751</v>
      </c>
      <c r="C6092" s="247" t="s">
        <v>681</v>
      </c>
      <c r="D6092" s="247" t="s">
        <v>675</v>
      </c>
      <c r="E6092" s="372">
        <v>5.0000000000000001E-3</v>
      </c>
      <c r="F6092" s="360">
        <f>'UPAD-BAHAN-ALAT'!$I$15</f>
        <v>150000</v>
      </c>
      <c r="G6092" s="248">
        <f>F6092*E6092</f>
        <v>750</v>
      </c>
    </row>
    <row r="6093" spans="1:8">
      <c r="A6093" s="294"/>
      <c r="B6093" s="410" t="s">
        <v>683</v>
      </c>
      <c r="C6093" s="247" t="s">
        <v>684</v>
      </c>
      <c r="D6093" s="247" t="s">
        <v>675</v>
      </c>
      <c r="E6093" s="372">
        <v>1.0999999999999999E-2</v>
      </c>
      <c r="F6093" s="360">
        <f>'UPAD-BAHAN-ALAT'!$I$14</f>
        <v>140000</v>
      </c>
      <c r="G6093" s="248">
        <f>F6093*E6093</f>
        <v>1540</v>
      </c>
    </row>
    <row r="6094" spans="1:8">
      <c r="A6094" s="294"/>
      <c r="B6094" s="410"/>
      <c r="C6094" s="247"/>
      <c r="D6094" s="247"/>
      <c r="E6094" s="1146" t="s">
        <v>685</v>
      </c>
      <c r="F6094" s="1146"/>
      <c r="G6094" s="248">
        <f>SUM(G6090:G6093)</f>
        <v>29650</v>
      </c>
    </row>
    <row r="6095" spans="1:8">
      <c r="A6095" s="294" t="s">
        <v>686</v>
      </c>
      <c r="B6095" s="410" t="s">
        <v>687</v>
      </c>
      <c r="C6095" s="247"/>
      <c r="D6095" s="247"/>
      <c r="E6095" s="372"/>
      <c r="F6095" s="360"/>
      <c r="G6095" s="248"/>
    </row>
    <row r="6096" spans="1:8">
      <c r="A6096" s="294"/>
      <c r="B6096" s="410" t="s">
        <v>4020</v>
      </c>
      <c r="C6096" s="247"/>
      <c r="D6096" s="247" t="s">
        <v>1405</v>
      </c>
      <c r="E6096" s="372">
        <v>1</v>
      </c>
      <c r="F6096" s="360">
        <f>'UPAD-BAHAN-ALAT'!$I$390</f>
        <v>410000</v>
      </c>
      <c r="G6096" s="248">
        <f>F6096*E6096</f>
        <v>410000</v>
      </c>
    </row>
    <row r="6097" spans="1:8">
      <c r="A6097" s="294"/>
      <c r="B6097" s="410" t="s">
        <v>1406</v>
      </c>
      <c r="C6097" s="247"/>
      <c r="D6097" s="247" t="s">
        <v>1011</v>
      </c>
      <c r="E6097" s="372" t="s">
        <v>3618</v>
      </c>
      <c r="F6097" s="360">
        <f>12%*G6096</f>
        <v>49200</v>
      </c>
      <c r="G6097" s="248">
        <f>F6097</f>
        <v>49200</v>
      </c>
    </row>
    <row r="6098" spans="1:8">
      <c r="A6098" s="247"/>
      <c r="B6098" s="295"/>
      <c r="C6098" s="296"/>
      <c r="D6098" s="296"/>
      <c r="E6098" s="1146" t="s">
        <v>702</v>
      </c>
      <c r="F6098" s="1146"/>
      <c r="G6098" s="248">
        <f>SUM(G6096:G6097)</f>
        <v>459200</v>
      </c>
    </row>
    <row r="6099" spans="1:8" s="265" customFormat="1">
      <c r="A6099" s="294" t="s">
        <v>703</v>
      </c>
      <c r="B6099" s="1147" t="s">
        <v>3910</v>
      </c>
      <c r="C6099" s="1147"/>
      <c r="D6099" s="1147"/>
      <c r="E6099" s="1147"/>
      <c r="F6099" s="1147"/>
      <c r="G6099" s="255">
        <f>G6094+G6098</f>
        <v>488850</v>
      </c>
    </row>
    <row r="6100" spans="1:8" s="265" customFormat="1">
      <c r="A6100" s="294" t="s">
        <v>706</v>
      </c>
      <c r="B6100" s="1148" t="s">
        <v>876</v>
      </c>
      <c r="C6100" s="1148"/>
      <c r="D6100" s="1148"/>
      <c r="E6100" s="1147" t="s">
        <v>4030</v>
      </c>
      <c r="F6100" s="1147"/>
      <c r="G6100" s="255">
        <f>G6099*0.15</f>
        <v>73327.5</v>
      </c>
    </row>
    <row r="6101" spans="1:8" s="265" customFormat="1">
      <c r="A6101" s="294" t="s">
        <v>708</v>
      </c>
      <c r="B6101" s="1149" t="s">
        <v>3911</v>
      </c>
      <c r="C6101" s="1149"/>
      <c r="D6101" s="1149"/>
      <c r="E6101" s="1149"/>
      <c r="F6101" s="1149"/>
      <c r="G6101" s="255">
        <f>ROUND(SUM(G6099:G6100),2)</f>
        <v>562177.5</v>
      </c>
    </row>
    <row r="6102" spans="1:8">
      <c r="A6102" s="268"/>
      <c r="B6102" s="269"/>
      <c r="C6102" s="268"/>
      <c r="D6102" s="268"/>
      <c r="E6102" s="380"/>
      <c r="F6102" s="365"/>
      <c r="G6102" s="270"/>
    </row>
    <row r="6103" spans="1:8">
      <c r="A6103" s="285" t="s">
        <v>4373</v>
      </c>
      <c r="B6103" s="250" t="s">
        <v>2731</v>
      </c>
      <c r="C6103" s="252"/>
      <c r="D6103" s="252"/>
      <c r="E6103" s="374"/>
      <c r="F6103" s="361"/>
      <c r="G6103" s="253"/>
    </row>
    <row r="6104" spans="1:8" s="292" customFormat="1" ht="24.95" customHeight="1">
      <c r="A6104" s="290" t="s">
        <v>1003</v>
      </c>
      <c r="B6104" s="290" t="s">
        <v>1004</v>
      </c>
      <c r="C6104" s="290" t="s">
        <v>1005</v>
      </c>
      <c r="D6104" s="290" t="s">
        <v>1006</v>
      </c>
      <c r="E6104" s="373" t="s">
        <v>1007</v>
      </c>
      <c r="F6104" s="363" t="s">
        <v>2637</v>
      </c>
      <c r="G6104" s="291" t="s">
        <v>2638</v>
      </c>
    </row>
    <row r="6105" spans="1:8">
      <c r="A6105" s="294" t="s">
        <v>671</v>
      </c>
      <c r="B6105" s="410" t="s">
        <v>672</v>
      </c>
      <c r="C6105" s="247"/>
      <c r="D6105" s="247"/>
      <c r="E6105" s="372"/>
      <c r="F6105" s="360"/>
      <c r="G6105" s="248"/>
    </row>
    <row r="6106" spans="1:8">
      <c r="A6106" s="294"/>
      <c r="B6106" s="410" t="s">
        <v>673</v>
      </c>
      <c r="C6106" s="247" t="s">
        <v>674</v>
      </c>
      <c r="D6106" s="247" t="s">
        <v>675</v>
      </c>
      <c r="E6106" s="372">
        <v>3.5</v>
      </c>
      <c r="F6106" s="360">
        <f>'UPAD-BAHAN-ALAT'!$I$12</f>
        <v>110000</v>
      </c>
      <c r="G6106" s="248">
        <f>F6106*E6106</f>
        <v>385000</v>
      </c>
    </row>
    <row r="6107" spans="1:8">
      <c r="A6107" s="294"/>
      <c r="B6107" s="410" t="s">
        <v>731</v>
      </c>
      <c r="C6107" s="247" t="s">
        <v>678</v>
      </c>
      <c r="D6107" s="247" t="s">
        <v>675</v>
      </c>
      <c r="E6107" s="372">
        <v>4.5</v>
      </c>
      <c r="F6107" s="360">
        <f>'UPAD-BAHAN-ALAT'!$I$13</f>
        <v>140000</v>
      </c>
      <c r="G6107" s="248">
        <f>F6107*E6107</f>
        <v>630000</v>
      </c>
    </row>
    <row r="6108" spans="1:8">
      <c r="A6108" s="294"/>
      <c r="B6108" s="410" t="s">
        <v>751</v>
      </c>
      <c r="C6108" s="247" t="s">
        <v>681</v>
      </c>
      <c r="D6108" s="247" t="s">
        <v>675</v>
      </c>
      <c r="E6108" s="372">
        <v>0.05</v>
      </c>
      <c r="F6108" s="360">
        <f>'UPAD-BAHAN-ALAT'!$I$15</f>
        <v>150000</v>
      </c>
      <c r="G6108" s="248">
        <f>F6108*E6108</f>
        <v>7500</v>
      </c>
    </row>
    <row r="6109" spans="1:8">
      <c r="A6109" s="294"/>
      <c r="B6109" s="410" t="s">
        <v>683</v>
      </c>
      <c r="C6109" s="247" t="s">
        <v>684</v>
      </c>
      <c r="D6109" s="247" t="s">
        <v>675</v>
      </c>
      <c r="E6109" s="372">
        <v>1.7999999999999999E-2</v>
      </c>
      <c r="F6109" s="360">
        <f>'UPAD-BAHAN-ALAT'!$I$14</f>
        <v>140000</v>
      </c>
      <c r="G6109" s="248">
        <f>F6109*E6109</f>
        <v>2520</v>
      </c>
    </row>
    <row r="6110" spans="1:8">
      <c r="A6110" s="294"/>
      <c r="B6110" s="410"/>
      <c r="C6110" s="247"/>
      <c r="D6110" s="247"/>
      <c r="E6110" s="1146" t="s">
        <v>685</v>
      </c>
      <c r="F6110" s="1146"/>
      <c r="G6110" s="248">
        <f>SUM(G6106:G6109)</f>
        <v>1025020</v>
      </c>
    </row>
    <row r="6111" spans="1:8">
      <c r="A6111" s="294" t="s">
        <v>686</v>
      </c>
      <c r="B6111" s="410" t="s">
        <v>687</v>
      </c>
      <c r="C6111" s="247"/>
      <c r="D6111" s="247"/>
      <c r="E6111" s="372"/>
      <c r="F6111" s="360"/>
      <c r="G6111" s="248"/>
    </row>
    <row r="6112" spans="1:8">
      <c r="A6112" s="294"/>
      <c r="B6112" s="410" t="s">
        <v>3621</v>
      </c>
      <c r="C6112" s="247"/>
      <c r="D6112" s="247" t="s">
        <v>881</v>
      </c>
      <c r="E6112" s="372">
        <v>0.9</v>
      </c>
      <c r="F6112" s="360">
        <f>H712</f>
        <v>1417037.3204903777</v>
      </c>
      <c r="G6112" s="248">
        <f>F6112*E6112</f>
        <v>1275333.58844134</v>
      </c>
      <c r="H6112" s="249" t="s">
        <v>3505</v>
      </c>
    </row>
    <row r="6113" spans="1:8">
      <c r="A6113" s="294"/>
      <c r="B6113" s="410" t="s">
        <v>1428</v>
      </c>
      <c r="C6113" s="247"/>
      <c r="D6113" s="247" t="s">
        <v>690</v>
      </c>
      <c r="E6113" s="372">
        <v>180</v>
      </c>
      <c r="F6113" s="360">
        <f>'UPAD-BAHAN-ALAT'!I112</f>
        <v>13200</v>
      </c>
      <c r="G6113" s="248">
        <f>F6113*E6113</f>
        <v>2376000</v>
      </c>
    </row>
    <row r="6114" spans="1:8">
      <c r="A6114" s="294"/>
      <c r="B6114" s="410" t="s">
        <v>1430</v>
      </c>
      <c r="C6114" s="247"/>
      <c r="D6114" s="247" t="s">
        <v>1264</v>
      </c>
      <c r="E6114" s="372">
        <v>8</v>
      </c>
      <c r="F6114" s="360">
        <f>H1185</f>
        <v>499841.75</v>
      </c>
      <c r="G6114" s="248">
        <f>F6114*E6114</f>
        <v>3998734</v>
      </c>
      <c r="H6114" s="408">
        <f>8*429188.63</f>
        <v>3433509.04</v>
      </c>
    </row>
    <row r="6115" spans="1:8">
      <c r="A6115" s="294"/>
      <c r="B6115" s="410" t="s">
        <v>1431</v>
      </c>
      <c r="C6115" s="247"/>
      <c r="D6115" s="247" t="s">
        <v>743</v>
      </c>
      <c r="E6115" s="372">
        <v>500</v>
      </c>
      <c r="F6115" s="360">
        <f>F6080</f>
        <v>2250</v>
      </c>
      <c r="G6115" s="248">
        <f>F6115*E6115</f>
        <v>1125000</v>
      </c>
    </row>
    <row r="6116" spans="1:8">
      <c r="A6116" s="294"/>
      <c r="B6116" s="410" t="s">
        <v>1406</v>
      </c>
      <c r="C6116" s="247"/>
      <c r="D6116" s="247" t="s">
        <v>1411</v>
      </c>
      <c r="E6116" s="372" t="s">
        <v>3622</v>
      </c>
      <c r="F6116" s="360">
        <f>10%*SUM($G$6112:$G$6115)</f>
        <v>877506.75884413405</v>
      </c>
      <c r="G6116" s="248">
        <f>F6116</f>
        <v>877506.75884413405</v>
      </c>
      <c r="H6116" s="259">
        <f>G6112+G6113+G6114+G6115</f>
        <v>8775067.5884413403</v>
      </c>
    </row>
    <row r="6117" spans="1:8">
      <c r="A6117" s="247"/>
      <c r="B6117" s="295"/>
      <c r="C6117" s="296"/>
      <c r="D6117" s="296"/>
      <c r="E6117" s="1146" t="s">
        <v>702</v>
      </c>
      <c r="F6117" s="1146"/>
      <c r="G6117" s="248">
        <f>SUM(G6112:G6116)</f>
        <v>9652574.3472854737</v>
      </c>
    </row>
    <row r="6118" spans="1:8" s="265" customFormat="1">
      <c r="A6118" s="294" t="s">
        <v>703</v>
      </c>
      <c r="B6118" s="1147" t="s">
        <v>3910</v>
      </c>
      <c r="C6118" s="1147"/>
      <c r="D6118" s="1147"/>
      <c r="E6118" s="1147"/>
      <c r="F6118" s="1147"/>
      <c r="G6118" s="255">
        <f>G6110+G6117</f>
        <v>10677594.347285474</v>
      </c>
    </row>
    <row r="6119" spans="1:8" s="265" customFormat="1">
      <c r="A6119" s="294" t="s">
        <v>706</v>
      </c>
      <c r="B6119" s="1148" t="s">
        <v>876</v>
      </c>
      <c r="C6119" s="1148"/>
      <c r="D6119" s="1148"/>
      <c r="E6119" s="1147" t="s">
        <v>4030</v>
      </c>
      <c r="F6119" s="1147"/>
      <c r="G6119" s="255">
        <f>G6118*0.15</f>
        <v>1601639.152092821</v>
      </c>
    </row>
    <row r="6120" spans="1:8" s="265" customFormat="1">
      <c r="A6120" s="294" t="s">
        <v>708</v>
      </c>
      <c r="B6120" s="1149" t="s">
        <v>3911</v>
      </c>
      <c r="C6120" s="1149"/>
      <c r="D6120" s="1149"/>
      <c r="E6120" s="1149"/>
      <c r="F6120" s="1149"/>
      <c r="G6120" s="255">
        <f>ROUND(SUM(G6118:G6119),2)</f>
        <v>12279233.5</v>
      </c>
      <c r="H6120" s="255">
        <f>8846501.25+1326975.19</f>
        <v>10173476.439999999</v>
      </c>
    </row>
    <row r="6122" spans="1:8">
      <c r="A6122" s="600" t="s">
        <v>4374</v>
      </c>
      <c r="B6122" s="265" t="s">
        <v>2730</v>
      </c>
    </row>
    <row r="6123" spans="1:8" s="292" customFormat="1" ht="24.95" customHeight="1">
      <c r="A6123" s="290" t="s">
        <v>1003</v>
      </c>
      <c r="B6123" s="290" t="s">
        <v>1004</v>
      </c>
      <c r="C6123" s="290" t="s">
        <v>1005</v>
      </c>
      <c r="D6123" s="290" t="s">
        <v>1006</v>
      </c>
      <c r="E6123" s="373" t="s">
        <v>1007</v>
      </c>
      <c r="F6123" s="363" t="s">
        <v>2637</v>
      </c>
      <c r="G6123" s="291" t="s">
        <v>2638</v>
      </c>
    </row>
    <row r="6124" spans="1:8">
      <c r="A6124" s="294" t="s">
        <v>671</v>
      </c>
      <c r="B6124" s="410" t="s">
        <v>672</v>
      </c>
      <c r="C6124" s="247"/>
      <c r="D6124" s="247"/>
      <c r="E6124" s="372"/>
      <c r="F6124" s="360"/>
      <c r="G6124" s="248"/>
    </row>
    <row r="6125" spans="1:8">
      <c r="A6125" s="294"/>
      <c r="B6125" s="410" t="s">
        <v>673</v>
      </c>
      <c r="C6125" s="247" t="s">
        <v>674</v>
      </c>
      <c r="D6125" s="247" t="s">
        <v>675</v>
      </c>
      <c r="E6125" s="372">
        <v>0.03</v>
      </c>
      <c r="F6125" s="360">
        <f>'UPAD-BAHAN-ALAT'!$I$12</f>
        <v>110000</v>
      </c>
      <c r="G6125" s="248">
        <f>F6125*E6125</f>
        <v>3300</v>
      </c>
    </row>
    <row r="6126" spans="1:8">
      <c r="A6126" s="294"/>
      <c r="B6126" s="410" t="s">
        <v>731</v>
      </c>
      <c r="C6126" s="247" t="s">
        <v>678</v>
      </c>
      <c r="D6126" s="247" t="s">
        <v>675</v>
      </c>
      <c r="E6126" s="372">
        <v>0.3</v>
      </c>
      <c r="F6126" s="360">
        <f>'UPAD-BAHAN-ALAT'!$I$13</f>
        <v>140000</v>
      </c>
      <c r="G6126" s="248">
        <f>F6126*E6126</f>
        <v>42000</v>
      </c>
    </row>
    <row r="6127" spans="1:8">
      <c r="A6127" s="294"/>
      <c r="B6127" s="410" t="s">
        <v>751</v>
      </c>
      <c r="C6127" s="247" t="s">
        <v>681</v>
      </c>
      <c r="D6127" s="247" t="s">
        <v>675</v>
      </c>
      <c r="E6127" s="372">
        <v>0.03</v>
      </c>
      <c r="F6127" s="360">
        <f>'UPAD-BAHAN-ALAT'!$I$15</f>
        <v>150000</v>
      </c>
      <c r="G6127" s="248">
        <f>F6127*E6127</f>
        <v>4500</v>
      </c>
    </row>
    <row r="6128" spans="1:8">
      <c r="A6128" s="294"/>
      <c r="B6128" s="410" t="s">
        <v>683</v>
      </c>
      <c r="C6128" s="247" t="s">
        <v>684</v>
      </c>
      <c r="D6128" s="247" t="s">
        <v>675</v>
      </c>
      <c r="E6128" s="372">
        <v>1.4999999999999999E-2</v>
      </c>
      <c r="F6128" s="360">
        <f>'UPAD-BAHAN-ALAT'!$I$14</f>
        <v>140000</v>
      </c>
      <c r="G6128" s="248">
        <f>F6128*E6128</f>
        <v>2100</v>
      </c>
    </row>
    <row r="6129" spans="1:8">
      <c r="A6129" s="294"/>
      <c r="B6129" s="410"/>
      <c r="C6129" s="247"/>
      <c r="D6129" s="247"/>
      <c r="E6129" s="1146" t="s">
        <v>685</v>
      </c>
      <c r="F6129" s="1146"/>
      <c r="G6129" s="248">
        <f>SUM(G6125:G6128)</f>
        <v>51900</v>
      </c>
    </row>
    <row r="6130" spans="1:8">
      <c r="A6130" s="294" t="s">
        <v>686</v>
      </c>
      <c r="B6130" s="410" t="s">
        <v>687</v>
      </c>
      <c r="C6130" s="247"/>
      <c r="D6130" s="247"/>
      <c r="E6130" s="372"/>
      <c r="F6130" s="360"/>
      <c r="G6130" s="248"/>
    </row>
    <row r="6131" spans="1:8">
      <c r="A6131" s="247"/>
      <c r="B6131" s="410" t="s">
        <v>1433</v>
      </c>
      <c r="C6131" s="247"/>
      <c r="D6131" s="247" t="s">
        <v>1405</v>
      </c>
      <c r="E6131" s="372">
        <v>1</v>
      </c>
      <c r="F6131" s="360">
        <f>'UPAD-BAHAN-ALAT'!I391</f>
        <v>790000</v>
      </c>
      <c r="G6131" s="248">
        <f>F6131*E6131</f>
        <v>790000</v>
      </c>
    </row>
    <row r="6132" spans="1:8">
      <c r="A6132" s="247"/>
      <c r="B6132" s="297" t="s">
        <v>1434</v>
      </c>
      <c r="C6132" s="247"/>
      <c r="D6132" s="247" t="s">
        <v>743</v>
      </c>
      <c r="E6132" s="372">
        <v>1</v>
      </c>
      <c r="F6132" s="360">
        <f>'UPAD-BAHAN-ALAT'!I394</f>
        <v>30000</v>
      </c>
      <c r="G6132" s="248">
        <f>F6132*E6132</f>
        <v>30000</v>
      </c>
    </row>
    <row r="6133" spans="1:8">
      <c r="A6133" s="247"/>
      <c r="B6133" s="410"/>
      <c r="C6133" s="247"/>
      <c r="D6133" s="247"/>
      <c r="E6133" s="1155" t="s">
        <v>702</v>
      </c>
      <c r="F6133" s="1155"/>
      <c r="G6133" s="248">
        <f>SUM(G6131:G6132)</f>
        <v>820000</v>
      </c>
    </row>
    <row r="6134" spans="1:8" s="265" customFormat="1">
      <c r="A6134" s="294" t="s">
        <v>703</v>
      </c>
      <c r="B6134" s="1151" t="s">
        <v>3910</v>
      </c>
      <c r="C6134" s="1151"/>
      <c r="D6134" s="1151"/>
      <c r="E6134" s="1151"/>
      <c r="F6134" s="1151"/>
      <c r="G6134" s="255">
        <f>G6129+G6133</f>
        <v>871900</v>
      </c>
    </row>
    <row r="6135" spans="1:8" s="265" customFormat="1">
      <c r="A6135" s="294" t="s">
        <v>706</v>
      </c>
      <c r="B6135" s="1148" t="s">
        <v>876</v>
      </c>
      <c r="C6135" s="1148"/>
      <c r="D6135" s="1148"/>
      <c r="E6135" s="1147" t="s">
        <v>4030</v>
      </c>
      <c r="F6135" s="1147"/>
      <c r="G6135" s="255">
        <f>G6134*0.15</f>
        <v>130785</v>
      </c>
    </row>
    <row r="6136" spans="1:8" s="265" customFormat="1">
      <c r="A6136" s="294" t="s">
        <v>708</v>
      </c>
      <c r="B6136" s="1149" t="s">
        <v>3911</v>
      </c>
      <c r="C6136" s="1149"/>
      <c r="D6136" s="1149"/>
      <c r="E6136" s="1149"/>
      <c r="F6136" s="1149"/>
      <c r="G6136" s="255">
        <f>ROUND(SUM(G6134:G6135),2)</f>
        <v>1002685</v>
      </c>
      <c r="H6136" s="255">
        <f>SUM(G6134:G6135)</f>
        <v>1002685</v>
      </c>
    </row>
    <row r="6137" spans="1:8">
      <c r="A6137" s="268"/>
      <c r="B6137" s="269"/>
      <c r="C6137" s="268"/>
      <c r="D6137" s="268"/>
      <c r="E6137" s="380"/>
      <c r="F6137" s="365"/>
      <c r="G6137" s="270"/>
    </row>
    <row r="6138" spans="1:8">
      <c r="A6138" s="285" t="s">
        <v>4375</v>
      </c>
      <c r="B6138" s="250" t="s">
        <v>2729</v>
      </c>
      <c r="C6138" s="252"/>
      <c r="D6138" s="252"/>
      <c r="E6138" s="374"/>
      <c r="F6138" s="361"/>
      <c r="G6138" s="253"/>
    </row>
    <row r="6139" spans="1:8" s="292" customFormat="1" ht="24.95" customHeight="1">
      <c r="A6139" s="290" t="s">
        <v>1003</v>
      </c>
      <c r="B6139" s="290" t="s">
        <v>1004</v>
      </c>
      <c r="C6139" s="290" t="s">
        <v>1005</v>
      </c>
      <c r="D6139" s="290" t="s">
        <v>1006</v>
      </c>
      <c r="E6139" s="373" t="s">
        <v>1007</v>
      </c>
      <c r="F6139" s="363" t="s">
        <v>2637</v>
      </c>
      <c r="G6139" s="291" t="s">
        <v>2638</v>
      </c>
    </row>
    <row r="6140" spans="1:8">
      <c r="A6140" s="294" t="s">
        <v>671</v>
      </c>
      <c r="B6140" s="410" t="s">
        <v>672</v>
      </c>
      <c r="C6140" s="247"/>
      <c r="D6140" s="247"/>
      <c r="E6140" s="372"/>
      <c r="F6140" s="360"/>
      <c r="G6140" s="248"/>
    </row>
    <row r="6141" spans="1:8">
      <c r="A6141" s="294"/>
      <c r="B6141" s="410" t="s">
        <v>673</v>
      </c>
      <c r="C6141" s="247" t="s">
        <v>674</v>
      </c>
      <c r="D6141" s="247" t="s">
        <v>675</v>
      </c>
      <c r="E6141" s="372">
        <v>0.05</v>
      </c>
      <c r="F6141" s="360">
        <f>'UPAD-BAHAN-ALAT'!$I$12</f>
        <v>110000</v>
      </c>
      <c r="G6141" s="248">
        <f>F6141*E6141</f>
        <v>5500</v>
      </c>
    </row>
    <row r="6142" spans="1:8">
      <c r="A6142" s="294"/>
      <c r="B6142" s="410" t="s">
        <v>731</v>
      </c>
      <c r="C6142" s="247" t="s">
        <v>678</v>
      </c>
      <c r="D6142" s="247" t="s">
        <v>675</v>
      </c>
      <c r="E6142" s="372">
        <v>0.5</v>
      </c>
      <c r="F6142" s="360">
        <f>'UPAD-BAHAN-ALAT'!$I$13</f>
        <v>140000</v>
      </c>
      <c r="G6142" s="248">
        <f>F6142*E6142</f>
        <v>70000</v>
      </c>
    </row>
    <row r="6143" spans="1:8">
      <c r="A6143" s="294"/>
      <c r="B6143" s="410" t="s">
        <v>751</v>
      </c>
      <c r="C6143" s="247" t="s">
        <v>681</v>
      </c>
      <c r="D6143" s="247" t="s">
        <v>675</v>
      </c>
      <c r="E6143" s="372">
        <v>0.05</v>
      </c>
      <c r="F6143" s="360">
        <f>'UPAD-BAHAN-ALAT'!$I$15</f>
        <v>150000</v>
      </c>
      <c r="G6143" s="248">
        <f>F6143*E6143</f>
        <v>7500</v>
      </c>
    </row>
    <row r="6144" spans="1:8">
      <c r="A6144" s="294"/>
      <c r="B6144" s="410" t="s">
        <v>683</v>
      </c>
      <c r="C6144" s="247" t="s">
        <v>684</v>
      </c>
      <c r="D6144" s="247" t="s">
        <v>675</v>
      </c>
      <c r="E6144" s="372">
        <v>2.5000000000000001E-2</v>
      </c>
      <c r="F6144" s="360">
        <f>'UPAD-BAHAN-ALAT'!$I$14</f>
        <v>140000</v>
      </c>
      <c r="G6144" s="248">
        <f>F6144*E6144</f>
        <v>3500</v>
      </c>
    </row>
    <row r="6145" spans="1:8">
      <c r="A6145" s="294"/>
      <c r="B6145" s="410"/>
      <c r="C6145" s="247"/>
      <c r="D6145" s="247"/>
      <c r="E6145" s="1146" t="s">
        <v>685</v>
      </c>
      <c r="F6145" s="1146"/>
      <c r="G6145" s="248">
        <f>SUM(G6141:G6144)</f>
        <v>86500</v>
      </c>
    </row>
    <row r="6146" spans="1:8">
      <c r="A6146" s="294" t="s">
        <v>686</v>
      </c>
      <c r="B6146" s="410" t="s">
        <v>687</v>
      </c>
      <c r="C6146" s="247"/>
      <c r="D6146" s="247"/>
      <c r="E6146" s="372"/>
      <c r="F6146" s="360"/>
      <c r="G6146" s="248"/>
    </row>
    <row r="6147" spans="1:8">
      <c r="A6147" s="294"/>
      <c r="B6147" s="410" t="s">
        <v>1433</v>
      </c>
      <c r="C6147" s="247"/>
      <c r="D6147" s="247" t="s">
        <v>1405</v>
      </c>
      <c r="E6147" s="372">
        <v>1</v>
      </c>
      <c r="F6147" s="360">
        <f>'UPAD-BAHAN-ALAT'!I391</f>
        <v>790000</v>
      </c>
      <c r="G6147" s="248">
        <f>F6147*E6147</f>
        <v>790000</v>
      </c>
    </row>
    <row r="6148" spans="1:8">
      <c r="A6148" s="294"/>
      <c r="B6148" s="297" t="s">
        <v>1434</v>
      </c>
      <c r="C6148" s="247"/>
      <c r="D6148" s="247" t="s">
        <v>743</v>
      </c>
      <c r="E6148" s="372">
        <v>1</v>
      </c>
      <c r="F6148" s="360">
        <f>'UPAD-BAHAN-ALAT'!I394</f>
        <v>30000</v>
      </c>
      <c r="G6148" s="248">
        <f>F6148*E6148</f>
        <v>30000</v>
      </c>
    </row>
    <row r="6149" spans="1:8">
      <c r="A6149" s="294"/>
      <c r="B6149" s="410" t="s">
        <v>689</v>
      </c>
      <c r="C6149" s="247"/>
      <c r="D6149" s="247" t="s">
        <v>690</v>
      </c>
      <c r="E6149" s="372">
        <v>20</v>
      </c>
      <c r="F6149" s="360">
        <f>'UPAD-BAHAN-ALAT'!$I$77</f>
        <v>1625</v>
      </c>
      <c r="G6149" s="248">
        <f>F6149*E6149</f>
        <v>32500</v>
      </c>
    </row>
    <row r="6150" spans="1:8">
      <c r="A6150" s="294"/>
      <c r="B6150" s="410" t="s">
        <v>739</v>
      </c>
      <c r="C6150" s="247"/>
      <c r="D6150" s="247" t="s">
        <v>881</v>
      </c>
      <c r="E6150" s="372">
        <v>0.05</v>
      </c>
      <c r="F6150" s="360">
        <f>'UPAD-BAHAN-ALAT'!$I$71</f>
        <v>176000</v>
      </c>
      <c r="G6150" s="248">
        <f>F6150*E6150</f>
        <v>8800</v>
      </c>
    </row>
    <row r="6151" spans="1:8">
      <c r="A6151" s="247"/>
      <c r="B6151" s="295"/>
      <c r="C6151" s="296"/>
      <c r="D6151" s="296"/>
      <c r="E6151" s="1146" t="s">
        <v>702</v>
      </c>
      <c r="F6151" s="1146"/>
      <c r="G6151" s="248">
        <f>SUM(G6147:G6150)</f>
        <v>861300</v>
      </c>
    </row>
    <row r="6152" spans="1:8" s="265" customFormat="1">
      <c r="A6152" s="294" t="s">
        <v>703</v>
      </c>
      <c r="B6152" s="1147" t="s">
        <v>3910</v>
      </c>
      <c r="C6152" s="1147"/>
      <c r="D6152" s="1147"/>
      <c r="E6152" s="1147"/>
      <c r="F6152" s="1147"/>
      <c r="G6152" s="255">
        <f>G6145+G6151</f>
        <v>947800</v>
      </c>
    </row>
    <row r="6153" spans="1:8" s="265" customFormat="1">
      <c r="A6153" s="294" t="s">
        <v>706</v>
      </c>
      <c r="B6153" s="1148" t="s">
        <v>876</v>
      </c>
      <c r="C6153" s="1148"/>
      <c r="D6153" s="1148"/>
      <c r="E6153" s="1147" t="s">
        <v>4030</v>
      </c>
      <c r="F6153" s="1147"/>
      <c r="G6153" s="255">
        <f>G6152*0.15</f>
        <v>142170</v>
      </c>
    </row>
    <row r="6154" spans="1:8" s="265" customFormat="1">
      <c r="A6154" s="294" t="s">
        <v>708</v>
      </c>
      <c r="B6154" s="1149" t="s">
        <v>3911</v>
      </c>
      <c r="C6154" s="1149"/>
      <c r="D6154" s="1149"/>
      <c r="E6154" s="1149"/>
      <c r="F6154" s="1149"/>
      <c r="G6154" s="255">
        <f>ROUND(SUM(G6152:G6153),2)</f>
        <v>1089970</v>
      </c>
      <c r="H6154" s="255">
        <f>SUM(G6152:G6153)</f>
        <v>1089970</v>
      </c>
    </row>
    <row r="6156" spans="1:8">
      <c r="A6156" s="286" t="s">
        <v>4376</v>
      </c>
      <c r="B6156" s="265" t="s">
        <v>2728</v>
      </c>
    </row>
    <row r="6157" spans="1:8" s="292" customFormat="1" ht="24.95" customHeight="1">
      <c r="A6157" s="290" t="s">
        <v>1003</v>
      </c>
      <c r="B6157" s="290" t="s">
        <v>1004</v>
      </c>
      <c r="C6157" s="290" t="s">
        <v>1005</v>
      </c>
      <c r="D6157" s="290" t="s">
        <v>1006</v>
      </c>
      <c r="E6157" s="373" t="s">
        <v>1007</v>
      </c>
      <c r="F6157" s="363" t="s">
        <v>2637</v>
      </c>
      <c r="G6157" s="291" t="s">
        <v>2638</v>
      </c>
    </row>
    <row r="6158" spans="1:8">
      <c r="A6158" s="294" t="s">
        <v>671</v>
      </c>
      <c r="B6158" s="410" t="s">
        <v>672</v>
      </c>
      <c r="C6158" s="247"/>
      <c r="D6158" s="247"/>
      <c r="E6158" s="372"/>
      <c r="F6158" s="360"/>
      <c r="G6158" s="248"/>
    </row>
    <row r="6159" spans="1:8">
      <c r="A6159" s="294"/>
      <c r="B6159" s="410" t="s">
        <v>673</v>
      </c>
      <c r="C6159" s="247" t="s">
        <v>674</v>
      </c>
      <c r="D6159" s="247" t="s">
        <v>675</v>
      </c>
      <c r="E6159" s="372">
        <v>0.01</v>
      </c>
      <c r="F6159" s="360">
        <f>'UPAD-BAHAN-ALAT'!$I$12</f>
        <v>110000</v>
      </c>
      <c r="G6159" s="248">
        <f>F6159*E6159</f>
        <v>1100</v>
      </c>
    </row>
    <row r="6160" spans="1:8">
      <c r="A6160" s="294"/>
      <c r="B6160" s="410" t="s">
        <v>731</v>
      </c>
      <c r="C6160" s="247" t="s">
        <v>678</v>
      </c>
      <c r="D6160" s="247" t="s">
        <v>675</v>
      </c>
      <c r="E6160" s="372">
        <v>0.1</v>
      </c>
      <c r="F6160" s="360">
        <f>'UPAD-BAHAN-ALAT'!$I$13</f>
        <v>140000</v>
      </c>
      <c r="G6160" s="248">
        <f>F6160*E6160</f>
        <v>14000</v>
      </c>
    </row>
    <row r="6161" spans="1:8">
      <c r="A6161" s="294"/>
      <c r="B6161" s="410" t="s">
        <v>751</v>
      </c>
      <c r="C6161" s="247" t="s">
        <v>681</v>
      </c>
      <c r="D6161" s="247" t="s">
        <v>675</v>
      </c>
      <c r="E6161" s="372">
        <v>0.01</v>
      </c>
      <c r="F6161" s="360">
        <f>'UPAD-BAHAN-ALAT'!$I$15</f>
        <v>150000</v>
      </c>
      <c r="G6161" s="248">
        <f>F6161*E6161</f>
        <v>1500</v>
      </c>
    </row>
    <row r="6162" spans="1:8">
      <c r="A6162" s="294"/>
      <c r="B6162" s="410" t="s">
        <v>683</v>
      </c>
      <c r="C6162" s="247" t="s">
        <v>684</v>
      </c>
      <c r="D6162" s="247" t="s">
        <v>675</v>
      </c>
      <c r="E6162" s="372">
        <v>5.0000000000000001E-3</v>
      </c>
      <c r="F6162" s="360">
        <f>'UPAD-BAHAN-ALAT'!$I$14</f>
        <v>140000</v>
      </c>
      <c r="G6162" s="248">
        <f>F6162*E6162</f>
        <v>700</v>
      </c>
    </row>
    <row r="6163" spans="1:8">
      <c r="A6163" s="294"/>
      <c r="B6163" s="410"/>
      <c r="C6163" s="247"/>
      <c r="D6163" s="247"/>
      <c r="E6163" s="1146" t="s">
        <v>685</v>
      </c>
      <c r="F6163" s="1146"/>
      <c r="G6163" s="248">
        <f>SUM(G6159:G6162)</f>
        <v>17300</v>
      </c>
    </row>
    <row r="6164" spans="1:8">
      <c r="A6164" s="294" t="s">
        <v>686</v>
      </c>
      <c r="B6164" s="410" t="s">
        <v>687</v>
      </c>
      <c r="C6164" s="247"/>
      <c r="D6164" s="247"/>
      <c r="E6164" s="372"/>
      <c r="F6164" s="360"/>
      <c r="G6164" s="248"/>
    </row>
    <row r="6165" spans="1:8">
      <c r="A6165" s="247"/>
      <c r="B6165" s="297" t="s">
        <v>1435</v>
      </c>
      <c r="C6165" s="247"/>
      <c r="D6165" s="247" t="s">
        <v>1405</v>
      </c>
      <c r="E6165" s="372">
        <v>1</v>
      </c>
      <c r="F6165" s="360">
        <f>'UPAD-BAHAN-ALAT'!I393</f>
        <v>28900</v>
      </c>
      <c r="G6165" s="248">
        <f>F6165*E6165</f>
        <v>28900</v>
      </c>
    </row>
    <row r="6166" spans="1:8">
      <c r="A6166" s="247"/>
      <c r="B6166" s="295"/>
      <c r="C6166" s="296"/>
      <c r="D6166" s="296"/>
      <c r="E6166" s="1146" t="s">
        <v>702</v>
      </c>
      <c r="F6166" s="1146"/>
      <c r="G6166" s="248">
        <f>SUM(G6165)</f>
        <v>28900</v>
      </c>
    </row>
    <row r="6167" spans="1:8" s="265" customFormat="1">
      <c r="A6167" s="294" t="s">
        <v>703</v>
      </c>
      <c r="B6167" s="1147" t="s">
        <v>3910</v>
      </c>
      <c r="C6167" s="1147"/>
      <c r="D6167" s="1147"/>
      <c r="E6167" s="1147"/>
      <c r="F6167" s="1147"/>
      <c r="G6167" s="255">
        <f>G6163+G6166</f>
        <v>46200</v>
      </c>
    </row>
    <row r="6168" spans="1:8" s="265" customFormat="1">
      <c r="A6168" s="294" t="s">
        <v>706</v>
      </c>
      <c r="B6168" s="1148" t="s">
        <v>876</v>
      </c>
      <c r="C6168" s="1148"/>
      <c r="D6168" s="1148"/>
      <c r="E6168" s="1147" t="s">
        <v>4030</v>
      </c>
      <c r="F6168" s="1147"/>
      <c r="G6168" s="255">
        <f>G6167*0.15</f>
        <v>6930</v>
      </c>
    </row>
    <row r="6169" spans="1:8" s="265" customFormat="1">
      <c r="A6169" s="294" t="s">
        <v>708</v>
      </c>
      <c r="B6169" s="1149" t="s">
        <v>3911</v>
      </c>
      <c r="C6169" s="1149"/>
      <c r="D6169" s="1149"/>
      <c r="E6169" s="1149"/>
      <c r="F6169" s="1149"/>
      <c r="G6169" s="255">
        <f>ROUND(SUM(G6167:G6168),2)</f>
        <v>53130</v>
      </c>
      <c r="H6169" s="255">
        <f>SUM(G6167:G6168)</f>
        <v>53130</v>
      </c>
    </row>
    <row r="6170" spans="1:8">
      <c r="A6170" s="268"/>
      <c r="B6170" s="269"/>
      <c r="C6170" s="268"/>
      <c r="D6170" s="268"/>
      <c r="E6170" s="380"/>
      <c r="F6170" s="365"/>
      <c r="G6170" s="270"/>
    </row>
    <row r="6171" spans="1:8">
      <c r="A6171" s="285" t="s">
        <v>4377</v>
      </c>
      <c r="B6171" s="250" t="s">
        <v>4662</v>
      </c>
      <c r="C6171" s="252"/>
      <c r="D6171" s="252"/>
      <c r="E6171" s="374"/>
      <c r="F6171" s="361"/>
      <c r="G6171" s="253"/>
    </row>
    <row r="6172" spans="1:8" s="292" customFormat="1" ht="24.95" customHeight="1">
      <c r="A6172" s="290" t="s">
        <v>1003</v>
      </c>
      <c r="B6172" s="290" t="s">
        <v>1004</v>
      </c>
      <c r="C6172" s="290" t="s">
        <v>1005</v>
      </c>
      <c r="D6172" s="290" t="s">
        <v>1006</v>
      </c>
      <c r="E6172" s="373" t="s">
        <v>1007</v>
      </c>
      <c r="F6172" s="363" t="s">
        <v>2637</v>
      </c>
      <c r="G6172" s="291" t="s">
        <v>2638</v>
      </c>
    </row>
    <row r="6173" spans="1:8">
      <c r="A6173" s="294" t="s">
        <v>671</v>
      </c>
      <c r="B6173" s="410" t="s">
        <v>1332</v>
      </c>
      <c r="C6173" s="247"/>
      <c r="D6173" s="247"/>
      <c r="E6173" s="372"/>
      <c r="F6173" s="360"/>
      <c r="G6173" s="248"/>
    </row>
    <row r="6174" spans="1:8">
      <c r="A6174" s="294"/>
      <c r="B6174" s="410" t="s">
        <v>673</v>
      </c>
      <c r="C6174" s="247" t="s">
        <v>674</v>
      </c>
      <c r="D6174" s="247" t="s">
        <v>675</v>
      </c>
      <c r="E6174" s="372">
        <v>0.01</v>
      </c>
      <c r="F6174" s="360">
        <f>'UPAD-BAHAN-ALAT'!$I$12</f>
        <v>110000</v>
      </c>
      <c r="G6174" s="248">
        <f>F6174*E6174</f>
        <v>1100</v>
      </c>
    </row>
    <row r="6175" spans="1:8">
      <c r="A6175" s="294"/>
      <c r="B6175" s="410" t="s">
        <v>731</v>
      </c>
      <c r="C6175" s="247" t="s">
        <v>678</v>
      </c>
      <c r="D6175" s="247" t="s">
        <v>675</v>
      </c>
      <c r="E6175" s="372">
        <v>0.4</v>
      </c>
      <c r="F6175" s="360">
        <f>'UPAD-BAHAN-ALAT'!$I$13</f>
        <v>140000</v>
      </c>
      <c r="G6175" s="248">
        <f>F6175*E6175</f>
        <v>56000</v>
      </c>
    </row>
    <row r="6176" spans="1:8">
      <c r="A6176" s="294"/>
      <c r="B6176" s="410" t="s">
        <v>751</v>
      </c>
      <c r="C6176" s="247" t="s">
        <v>681</v>
      </c>
      <c r="D6176" s="247" t="s">
        <v>675</v>
      </c>
      <c r="E6176" s="372">
        <v>0.04</v>
      </c>
      <c r="F6176" s="360">
        <f>'UPAD-BAHAN-ALAT'!$I$15</f>
        <v>150000</v>
      </c>
      <c r="G6176" s="248">
        <f>F6176*E6176</f>
        <v>6000</v>
      </c>
    </row>
    <row r="6177" spans="1:8">
      <c r="A6177" s="294"/>
      <c r="B6177" s="410" t="s">
        <v>683</v>
      </c>
      <c r="C6177" s="247" t="s">
        <v>684</v>
      </c>
      <c r="D6177" s="247" t="s">
        <v>675</v>
      </c>
      <c r="E6177" s="372">
        <v>5.0000000000000001E-3</v>
      </c>
      <c r="F6177" s="360">
        <f>'UPAD-BAHAN-ALAT'!$I$14</f>
        <v>140000</v>
      </c>
      <c r="G6177" s="248">
        <f>F6177*E6177</f>
        <v>700</v>
      </c>
    </row>
    <row r="6178" spans="1:8">
      <c r="A6178" s="294"/>
      <c r="B6178" s="410"/>
      <c r="C6178" s="247"/>
      <c r="D6178" s="247"/>
      <c r="E6178" s="1146" t="s">
        <v>685</v>
      </c>
      <c r="F6178" s="1146"/>
      <c r="G6178" s="248">
        <f>SUM(G6174:G6177)</f>
        <v>63800</v>
      </c>
    </row>
    <row r="6179" spans="1:8">
      <c r="A6179" s="294" t="s">
        <v>686</v>
      </c>
      <c r="B6179" s="410" t="s">
        <v>687</v>
      </c>
      <c r="C6179" s="247"/>
      <c r="D6179" s="247"/>
      <c r="E6179" s="372"/>
      <c r="F6179" s="360"/>
      <c r="G6179" s="248"/>
    </row>
    <row r="6180" spans="1:8">
      <c r="A6180" s="294"/>
      <c r="B6180" s="410" t="s">
        <v>1455</v>
      </c>
      <c r="C6180" s="247"/>
      <c r="D6180" s="247" t="s">
        <v>866</v>
      </c>
      <c r="E6180" s="372">
        <v>1</v>
      </c>
      <c r="F6180" s="360">
        <f>'UPAD-BAHAN-ALAT'!I401</f>
        <v>14000</v>
      </c>
      <c r="G6180" s="248">
        <f>F6180*E6180</f>
        <v>14000</v>
      </c>
    </row>
    <row r="6181" spans="1:8">
      <c r="A6181" s="247"/>
      <c r="B6181" s="410" t="s">
        <v>1456</v>
      </c>
      <c r="C6181" s="247"/>
      <c r="D6181" s="247" t="s">
        <v>866</v>
      </c>
      <c r="E6181" s="372">
        <v>2.5000000000000001E-2</v>
      </c>
      <c r="F6181" s="360">
        <f>'UPAD-BAHAN-ALAT'!$I$416</f>
        <v>4000</v>
      </c>
      <c r="G6181" s="248">
        <f>F6181*E6181</f>
        <v>100</v>
      </c>
    </row>
    <row r="6182" spans="1:8">
      <c r="A6182" s="247"/>
      <c r="B6182" s="295"/>
      <c r="C6182" s="296"/>
      <c r="D6182" s="296"/>
      <c r="E6182" s="1146" t="s">
        <v>702</v>
      </c>
      <c r="F6182" s="1146"/>
      <c r="G6182" s="248">
        <f>SUM(G6180:G6181)</f>
        <v>14100</v>
      </c>
    </row>
    <row r="6183" spans="1:8" s="265" customFormat="1">
      <c r="A6183" s="294" t="s">
        <v>703</v>
      </c>
      <c r="B6183" s="1147" t="s">
        <v>3910</v>
      </c>
      <c r="C6183" s="1147"/>
      <c r="D6183" s="1147"/>
      <c r="E6183" s="1147"/>
      <c r="F6183" s="1147"/>
      <c r="G6183" s="255">
        <f>G6178+G6182</f>
        <v>77900</v>
      </c>
    </row>
    <row r="6184" spans="1:8" s="265" customFormat="1">
      <c r="A6184" s="294" t="s">
        <v>706</v>
      </c>
      <c r="B6184" s="1148" t="s">
        <v>876</v>
      </c>
      <c r="C6184" s="1148"/>
      <c r="D6184" s="1148"/>
      <c r="E6184" s="1147" t="s">
        <v>4030</v>
      </c>
      <c r="F6184" s="1147"/>
      <c r="G6184" s="255">
        <f>G6183*0.15</f>
        <v>11685</v>
      </c>
    </row>
    <row r="6185" spans="1:8" s="265" customFormat="1">
      <c r="A6185" s="294" t="s">
        <v>708</v>
      </c>
      <c r="B6185" s="1149" t="s">
        <v>3911</v>
      </c>
      <c r="C6185" s="1149"/>
      <c r="D6185" s="1149"/>
      <c r="E6185" s="1149"/>
      <c r="F6185" s="1149"/>
      <c r="G6185" s="255">
        <f>ROUND(SUM(G6183:G6184),2)</f>
        <v>89585</v>
      </c>
      <c r="H6185" s="255">
        <f>SUM(G6183:G6184)</f>
        <v>89585</v>
      </c>
    </row>
    <row r="6186" spans="1:8">
      <c r="A6186" s="252"/>
      <c r="B6186" s="251"/>
      <c r="C6186" s="252"/>
      <c r="D6186" s="251"/>
      <c r="E6186" s="378"/>
      <c r="F6186" s="364"/>
      <c r="G6186" s="264"/>
      <c r="H6186" s="253"/>
    </row>
    <row r="6187" spans="1:8">
      <c r="A6187" s="285" t="s">
        <v>4640</v>
      </c>
      <c r="B6187" s="655" t="s">
        <v>4663</v>
      </c>
      <c r="C6187" s="252"/>
      <c r="D6187" s="252"/>
      <c r="E6187" s="374"/>
      <c r="F6187" s="361"/>
      <c r="G6187" s="253"/>
    </row>
    <row r="6188" spans="1:8" s="292" customFormat="1" ht="24.95" customHeight="1">
      <c r="A6188" s="290" t="s">
        <v>1003</v>
      </c>
      <c r="B6188" s="290" t="s">
        <v>1004</v>
      </c>
      <c r="C6188" s="290" t="s">
        <v>1005</v>
      </c>
      <c r="D6188" s="290" t="s">
        <v>1006</v>
      </c>
      <c r="E6188" s="373" t="s">
        <v>1007</v>
      </c>
      <c r="F6188" s="363" t="s">
        <v>2637</v>
      </c>
      <c r="G6188" s="291" t="s">
        <v>2638</v>
      </c>
    </row>
    <row r="6189" spans="1:8">
      <c r="A6189" s="294" t="s">
        <v>671</v>
      </c>
      <c r="B6189" s="410" t="s">
        <v>1332</v>
      </c>
      <c r="C6189" s="247"/>
      <c r="D6189" s="247"/>
      <c r="E6189" s="372"/>
      <c r="F6189" s="360"/>
      <c r="G6189" s="248"/>
    </row>
    <row r="6190" spans="1:8">
      <c r="A6190" s="294"/>
      <c r="B6190" s="410" t="s">
        <v>673</v>
      </c>
      <c r="C6190" s="247" t="s">
        <v>674</v>
      </c>
      <c r="D6190" s="247" t="s">
        <v>675</v>
      </c>
      <c r="E6190" s="372">
        <v>0.01</v>
      </c>
      <c r="F6190" s="360">
        <f>'UPAD-BAHAN-ALAT'!$I$12</f>
        <v>110000</v>
      </c>
      <c r="G6190" s="248">
        <f>F6190*E6190</f>
        <v>1100</v>
      </c>
    </row>
    <row r="6191" spans="1:8">
      <c r="A6191" s="294"/>
      <c r="B6191" s="410" t="s">
        <v>731</v>
      </c>
      <c r="C6191" s="247" t="s">
        <v>678</v>
      </c>
      <c r="D6191" s="247" t="s">
        <v>675</v>
      </c>
      <c r="E6191" s="372">
        <v>0.4</v>
      </c>
      <c r="F6191" s="360">
        <f>'UPAD-BAHAN-ALAT'!$I$13</f>
        <v>140000</v>
      </c>
      <c r="G6191" s="248">
        <f>F6191*E6191</f>
        <v>56000</v>
      </c>
    </row>
    <row r="6192" spans="1:8">
      <c r="A6192" s="294"/>
      <c r="B6192" s="410" t="s">
        <v>751</v>
      </c>
      <c r="C6192" s="247" t="s">
        <v>681</v>
      </c>
      <c r="D6192" s="247" t="s">
        <v>675</v>
      </c>
      <c r="E6192" s="372">
        <v>0.04</v>
      </c>
      <c r="F6192" s="360">
        <f>'UPAD-BAHAN-ALAT'!$I$15</f>
        <v>150000</v>
      </c>
      <c r="G6192" s="248">
        <f>F6192*E6192</f>
        <v>6000</v>
      </c>
    </row>
    <row r="6193" spans="1:8">
      <c r="A6193" s="294"/>
      <c r="B6193" s="410" t="s">
        <v>683</v>
      </c>
      <c r="C6193" s="247" t="s">
        <v>684</v>
      </c>
      <c r="D6193" s="247" t="s">
        <v>675</v>
      </c>
      <c r="E6193" s="372">
        <v>5.0000000000000001E-3</v>
      </c>
      <c r="F6193" s="360">
        <f>'UPAD-BAHAN-ALAT'!$I$14</f>
        <v>140000</v>
      </c>
      <c r="G6193" s="248">
        <f>F6193*E6193</f>
        <v>700</v>
      </c>
    </row>
    <row r="6194" spans="1:8">
      <c r="A6194" s="294"/>
      <c r="B6194" s="410"/>
      <c r="C6194" s="247"/>
      <c r="D6194" s="247"/>
      <c r="E6194" s="1146" t="s">
        <v>685</v>
      </c>
      <c r="F6194" s="1146"/>
      <c r="G6194" s="248">
        <f>SUM(G6190:G6193)</f>
        <v>63800</v>
      </c>
    </row>
    <row r="6195" spans="1:8">
      <c r="A6195" s="294" t="s">
        <v>686</v>
      </c>
      <c r="B6195" s="410" t="s">
        <v>687</v>
      </c>
      <c r="C6195" s="247"/>
      <c r="D6195" s="247"/>
      <c r="E6195" s="372"/>
      <c r="F6195" s="360"/>
      <c r="G6195" s="248"/>
    </row>
    <row r="6196" spans="1:8">
      <c r="A6196" s="247"/>
      <c r="B6196" s="410" t="s">
        <v>3587</v>
      </c>
      <c r="C6196" s="247"/>
      <c r="D6196" s="247" t="s">
        <v>1423</v>
      </c>
      <c r="E6196" s="372">
        <v>1</v>
      </c>
      <c r="F6196" s="360">
        <f>'UPAD-BAHAN-ALAT'!I407</f>
        <v>23000</v>
      </c>
      <c r="G6196" s="248">
        <f>F6196*E6196</f>
        <v>23000</v>
      </c>
    </row>
    <row r="6197" spans="1:8">
      <c r="A6197" s="247"/>
      <c r="B6197" s="410" t="s">
        <v>1456</v>
      </c>
      <c r="C6197" s="247"/>
      <c r="D6197" s="247" t="s">
        <v>866</v>
      </c>
      <c r="E6197" s="372">
        <v>2.5000000000000001E-2</v>
      </c>
      <c r="F6197" s="360">
        <f>'UPAD-BAHAN-ALAT'!$I$416</f>
        <v>4000</v>
      </c>
      <c r="G6197" s="248">
        <f>F6197*E6197</f>
        <v>100</v>
      </c>
    </row>
    <row r="6198" spans="1:8">
      <c r="A6198" s="247"/>
      <c r="B6198" s="295"/>
      <c r="C6198" s="296"/>
      <c r="D6198" s="296"/>
      <c r="E6198" s="1146" t="s">
        <v>702</v>
      </c>
      <c r="F6198" s="1146"/>
      <c r="G6198" s="248">
        <f>SUM(G6196:G6197)</f>
        <v>23100</v>
      </c>
    </row>
    <row r="6199" spans="1:8" s="265" customFormat="1">
      <c r="A6199" s="294" t="s">
        <v>703</v>
      </c>
      <c r="B6199" s="1147" t="s">
        <v>3910</v>
      </c>
      <c r="C6199" s="1147"/>
      <c r="D6199" s="1147"/>
      <c r="E6199" s="1147"/>
      <c r="F6199" s="1147"/>
      <c r="G6199" s="255">
        <f>G6194+G6198</f>
        <v>86900</v>
      </c>
    </row>
    <row r="6200" spans="1:8" s="265" customFormat="1">
      <c r="A6200" s="294" t="s">
        <v>706</v>
      </c>
      <c r="B6200" s="1148" t="s">
        <v>876</v>
      </c>
      <c r="C6200" s="1148"/>
      <c r="D6200" s="1148"/>
      <c r="E6200" s="1147" t="s">
        <v>4030</v>
      </c>
      <c r="F6200" s="1147"/>
      <c r="G6200" s="255">
        <f>G6199*0.15</f>
        <v>13035</v>
      </c>
    </row>
    <row r="6201" spans="1:8" s="265" customFormat="1">
      <c r="A6201" s="294" t="s">
        <v>708</v>
      </c>
      <c r="B6201" s="1149" t="s">
        <v>3911</v>
      </c>
      <c r="C6201" s="1149"/>
      <c r="D6201" s="1149"/>
      <c r="E6201" s="1149"/>
      <c r="F6201" s="1149"/>
      <c r="G6201" s="255">
        <f>ROUND(SUM(G6199:G6200),2)</f>
        <v>99935</v>
      </c>
      <c r="H6201" s="255">
        <f>SUM(G6199:G6200)</f>
        <v>99935</v>
      </c>
    </row>
    <row r="6203" spans="1:8">
      <c r="A6203" s="285" t="s">
        <v>4645</v>
      </c>
      <c r="B6203" s="655" t="s">
        <v>4664</v>
      </c>
      <c r="C6203" s="252"/>
      <c r="D6203" s="252"/>
      <c r="E6203" s="374"/>
      <c r="F6203" s="361"/>
      <c r="G6203" s="253"/>
    </row>
    <row r="6204" spans="1:8" ht="24.95" customHeight="1">
      <c r="A6204" s="290" t="s">
        <v>1003</v>
      </c>
      <c r="B6204" s="290" t="s">
        <v>1004</v>
      </c>
      <c r="C6204" s="290" t="s">
        <v>1005</v>
      </c>
      <c r="D6204" s="290" t="s">
        <v>1006</v>
      </c>
      <c r="E6204" s="373" t="s">
        <v>1007</v>
      </c>
      <c r="F6204" s="363" t="s">
        <v>2637</v>
      </c>
      <c r="G6204" s="291" t="s">
        <v>2638</v>
      </c>
    </row>
    <row r="6205" spans="1:8">
      <c r="A6205" s="294" t="s">
        <v>671</v>
      </c>
      <c r="B6205" s="410" t="s">
        <v>1332</v>
      </c>
      <c r="C6205" s="247"/>
      <c r="D6205" s="247"/>
      <c r="E6205" s="372"/>
      <c r="F6205" s="360"/>
      <c r="G6205" s="248"/>
    </row>
    <row r="6206" spans="1:8">
      <c r="A6206" s="294"/>
      <c r="B6206" s="410" t="s">
        <v>673</v>
      </c>
      <c r="C6206" s="247" t="s">
        <v>674</v>
      </c>
      <c r="D6206" s="247" t="s">
        <v>675</v>
      </c>
      <c r="E6206" s="372">
        <v>0.01</v>
      </c>
      <c r="F6206" s="360">
        <f>'UPAD-BAHAN-ALAT'!$I$12</f>
        <v>110000</v>
      </c>
      <c r="G6206" s="248">
        <f>F6206*E6206</f>
        <v>1100</v>
      </c>
    </row>
    <row r="6207" spans="1:8">
      <c r="A6207" s="294"/>
      <c r="B6207" s="410" t="s">
        <v>731</v>
      </c>
      <c r="C6207" s="247" t="s">
        <v>678</v>
      </c>
      <c r="D6207" s="247" t="s">
        <v>675</v>
      </c>
      <c r="E6207" s="372">
        <v>0.4</v>
      </c>
      <c r="F6207" s="360">
        <f>'UPAD-BAHAN-ALAT'!$I$13</f>
        <v>140000</v>
      </c>
      <c r="G6207" s="248">
        <f>F6207*E6207</f>
        <v>56000</v>
      </c>
    </row>
    <row r="6208" spans="1:8">
      <c r="A6208" s="294"/>
      <c r="B6208" s="410" t="s">
        <v>751</v>
      </c>
      <c r="C6208" s="247" t="s">
        <v>681</v>
      </c>
      <c r="D6208" s="247" t="s">
        <v>675</v>
      </c>
      <c r="E6208" s="372">
        <v>0.04</v>
      </c>
      <c r="F6208" s="360">
        <f>'UPAD-BAHAN-ALAT'!$I$15</f>
        <v>150000</v>
      </c>
      <c r="G6208" s="248">
        <f>F6208*E6208</f>
        <v>6000</v>
      </c>
    </row>
    <row r="6209" spans="1:7">
      <c r="A6209" s="294"/>
      <c r="B6209" s="410" t="s">
        <v>683</v>
      </c>
      <c r="C6209" s="247" t="s">
        <v>684</v>
      </c>
      <c r="D6209" s="247" t="s">
        <v>675</v>
      </c>
      <c r="E6209" s="372">
        <v>5.0000000000000001E-3</v>
      </c>
      <c r="F6209" s="360">
        <f>'UPAD-BAHAN-ALAT'!$I$14</f>
        <v>140000</v>
      </c>
      <c r="G6209" s="248">
        <f>F6209*E6209</f>
        <v>700</v>
      </c>
    </row>
    <row r="6210" spans="1:7">
      <c r="A6210" s="294"/>
      <c r="B6210" s="410"/>
      <c r="C6210" s="247"/>
      <c r="D6210" s="247"/>
      <c r="E6210" s="1146" t="s">
        <v>685</v>
      </c>
      <c r="F6210" s="1146"/>
      <c r="G6210" s="248">
        <f>SUM(G6206:G6209)</f>
        <v>63800</v>
      </c>
    </row>
    <row r="6211" spans="1:7">
      <c r="A6211" s="294" t="s">
        <v>686</v>
      </c>
      <c r="B6211" s="410" t="s">
        <v>687</v>
      </c>
      <c r="C6211" s="247"/>
      <c r="D6211" s="247"/>
      <c r="E6211" s="372"/>
      <c r="F6211" s="360"/>
      <c r="G6211" s="248"/>
    </row>
    <row r="6212" spans="1:7">
      <c r="A6212" s="247"/>
      <c r="B6212" s="410" t="s">
        <v>4641</v>
      </c>
      <c r="C6212" s="247"/>
      <c r="D6212" s="247" t="s">
        <v>1423</v>
      </c>
      <c r="E6212" s="372">
        <v>1</v>
      </c>
      <c r="F6212" s="360">
        <f>'UPAD-BAHAN-ALAT'!$I$408</f>
        <v>650000</v>
      </c>
      <c r="G6212" s="248">
        <f>F6212*E6212</f>
        <v>650000</v>
      </c>
    </row>
    <row r="6213" spans="1:7">
      <c r="A6213" s="247"/>
      <c r="B6213" s="410" t="s">
        <v>1456</v>
      </c>
      <c r="C6213" s="247"/>
      <c r="D6213" s="247" t="s">
        <v>866</v>
      </c>
      <c r="E6213" s="372">
        <v>2.5000000000000001E-2</v>
      </c>
      <c r="F6213" s="360">
        <f>'UPAD-BAHAN-ALAT'!$I$416</f>
        <v>4000</v>
      </c>
      <c r="G6213" s="248">
        <f>F6213*E6213</f>
        <v>100</v>
      </c>
    </row>
    <row r="6214" spans="1:7">
      <c r="A6214" s="247"/>
      <c r="B6214" s="295"/>
      <c r="C6214" s="296"/>
      <c r="D6214" s="296"/>
      <c r="E6214" s="1146" t="s">
        <v>702</v>
      </c>
      <c r="F6214" s="1146"/>
      <c r="G6214" s="248">
        <f>SUM(G6212:G6213)</f>
        <v>650100</v>
      </c>
    </row>
    <row r="6215" spans="1:7">
      <c r="A6215" s="294" t="s">
        <v>703</v>
      </c>
      <c r="B6215" s="1147" t="s">
        <v>3910</v>
      </c>
      <c r="C6215" s="1147"/>
      <c r="D6215" s="1147"/>
      <c r="E6215" s="1147"/>
      <c r="F6215" s="1147"/>
      <c r="G6215" s="255">
        <f>G6210+G6214</f>
        <v>713900</v>
      </c>
    </row>
    <row r="6216" spans="1:7">
      <c r="A6216" s="294" t="s">
        <v>706</v>
      </c>
      <c r="B6216" s="1148" t="s">
        <v>876</v>
      </c>
      <c r="C6216" s="1148"/>
      <c r="D6216" s="1148"/>
      <c r="E6216" s="1147" t="s">
        <v>4030</v>
      </c>
      <c r="F6216" s="1147"/>
      <c r="G6216" s="255">
        <f>G6215*0.15</f>
        <v>107085</v>
      </c>
    </row>
    <row r="6217" spans="1:7">
      <c r="A6217" s="294" t="s">
        <v>708</v>
      </c>
      <c r="B6217" s="1149" t="s">
        <v>3911</v>
      </c>
      <c r="C6217" s="1149"/>
      <c r="D6217" s="1149"/>
      <c r="E6217" s="1149"/>
      <c r="F6217" s="1149"/>
      <c r="G6217" s="255">
        <f>ROUND(SUM(G6215:G6216),2)</f>
        <v>820985</v>
      </c>
    </row>
    <row r="6219" spans="1:7">
      <c r="A6219" s="285" t="s">
        <v>4646</v>
      </c>
      <c r="B6219" s="655" t="s">
        <v>4665</v>
      </c>
      <c r="C6219" s="252"/>
      <c r="D6219" s="252"/>
      <c r="E6219" s="374"/>
      <c r="F6219" s="361"/>
      <c r="G6219" s="253"/>
    </row>
    <row r="6220" spans="1:7" ht="24.95" customHeight="1">
      <c r="A6220" s="290" t="s">
        <v>1003</v>
      </c>
      <c r="B6220" s="290" t="s">
        <v>1004</v>
      </c>
      <c r="C6220" s="290" t="s">
        <v>1005</v>
      </c>
      <c r="D6220" s="290" t="s">
        <v>1006</v>
      </c>
      <c r="E6220" s="373" t="s">
        <v>1007</v>
      </c>
      <c r="F6220" s="363" t="s">
        <v>2637</v>
      </c>
      <c r="G6220" s="291" t="s">
        <v>2638</v>
      </c>
    </row>
    <row r="6221" spans="1:7">
      <c r="A6221" s="294" t="s">
        <v>671</v>
      </c>
      <c r="B6221" s="410" t="s">
        <v>1332</v>
      </c>
      <c r="C6221" s="247"/>
      <c r="D6221" s="247"/>
      <c r="E6221" s="372"/>
      <c r="F6221" s="360"/>
      <c r="G6221" s="248"/>
    </row>
    <row r="6222" spans="1:7">
      <c r="A6222" s="294"/>
      <c r="B6222" s="410" t="s">
        <v>673</v>
      </c>
      <c r="C6222" s="247" t="s">
        <v>674</v>
      </c>
      <c r="D6222" s="247" t="s">
        <v>675</v>
      </c>
      <c r="E6222" s="372">
        <v>0.01</v>
      </c>
      <c r="F6222" s="360">
        <f>'UPAD-BAHAN-ALAT'!$I$12</f>
        <v>110000</v>
      </c>
      <c r="G6222" s="248">
        <f>F6222*E6222</f>
        <v>1100</v>
      </c>
    </row>
    <row r="6223" spans="1:7">
      <c r="A6223" s="294"/>
      <c r="B6223" s="410" t="s">
        <v>731</v>
      </c>
      <c r="C6223" s="247" t="s">
        <v>678</v>
      </c>
      <c r="D6223" s="247" t="s">
        <v>675</v>
      </c>
      <c r="E6223" s="372">
        <v>0.4</v>
      </c>
      <c r="F6223" s="360">
        <f>'UPAD-BAHAN-ALAT'!$I$13</f>
        <v>140000</v>
      </c>
      <c r="G6223" s="248">
        <f>F6223*E6223</f>
        <v>56000</v>
      </c>
    </row>
    <row r="6224" spans="1:7">
      <c r="A6224" s="294"/>
      <c r="B6224" s="410" t="s">
        <v>751</v>
      </c>
      <c r="C6224" s="247" t="s">
        <v>681</v>
      </c>
      <c r="D6224" s="247" t="s">
        <v>675</v>
      </c>
      <c r="E6224" s="372">
        <v>0.04</v>
      </c>
      <c r="F6224" s="360">
        <f>'UPAD-BAHAN-ALAT'!$I$15</f>
        <v>150000</v>
      </c>
      <c r="G6224" s="248">
        <f>F6224*E6224</f>
        <v>6000</v>
      </c>
    </row>
    <row r="6225" spans="1:7">
      <c r="A6225" s="294"/>
      <c r="B6225" s="410" t="s">
        <v>683</v>
      </c>
      <c r="C6225" s="247" t="s">
        <v>684</v>
      </c>
      <c r="D6225" s="247" t="s">
        <v>675</v>
      </c>
      <c r="E6225" s="372">
        <v>5.0000000000000001E-3</v>
      </c>
      <c r="F6225" s="360">
        <f>'UPAD-BAHAN-ALAT'!$I$14</f>
        <v>140000</v>
      </c>
      <c r="G6225" s="248">
        <f>F6225*E6225</f>
        <v>700</v>
      </c>
    </row>
    <row r="6226" spans="1:7">
      <c r="A6226" s="294"/>
      <c r="B6226" s="410"/>
      <c r="C6226" s="247"/>
      <c r="D6226" s="247"/>
      <c r="E6226" s="1146" t="s">
        <v>685</v>
      </c>
      <c r="F6226" s="1146"/>
      <c r="G6226" s="248">
        <f>SUM(G6222:G6225)</f>
        <v>63800</v>
      </c>
    </row>
    <row r="6227" spans="1:7">
      <c r="A6227" s="294" t="s">
        <v>686</v>
      </c>
      <c r="B6227" s="410" t="s">
        <v>687</v>
      </c>
      <c r="C6227" s="247"/>
      <c r="D6227" s="247"/>
      <c r="E6227" s="372"/>
      <c r="F6227" s="360"/>
      <c r="G6227" s="248"/>
    </row>
    <row r="6228" spans="1:7">
      <c r="A6228" s="247"/>
      <c r="B6228" s="410" t="s">
        <v>4644</v>
      </c>
      <c r="C6228" s="247"/>
      <c r="D6228" s="247" t="s">
        <v>1423</v>
      </c>
      <c r="E6228" s="372">
        <v>1</v>
      </c>
      <c r="F6228" s="360">
        <f>'UPAD-BAHAN-ALAT'!$I$409</f>
        <v>265000</v>
      </c>
      <c r="G6228" s="248">
        <f>F6228*E6228</f>
        <v>265000</v>
      </c>
    </row>
    <row r="6229" spans="1:7">
      <c r="A6229" s="247"/>
      <c r="B6229" s="410" t="s">
        <v>1456</v>
      </c>
      <c r="C6229" s="247"/>
      <c r="D6229" s="247" t="s">
        <v>866</v>
      </c>
      <c r="E6229" s="372">
        <v>2.5000000000000001E-2</v>
      </c>
      <c r="F6229" s="360">
        <f>'UPAD-BAHAN-ALAT'!$I$416</f>
        <v>4000</v>
      </c>
      <c r="G6229" s="248">
        <f>F6229*E6229</f>
        <v>100</v>
      </c>
    </row>
    <row r="6230" spans="1:7">
      <c r="A6230" s="247"/>
      <c r="B6230" s="295"/>
      <c r="C6230" s="296"/>
      <c r="D6230" s="296"/>
      <c r="E6230" s="1146" t="s">
        <v>702</v>
      </c>
      <c r="F6230" s="1146"/>
      <c r="G6230" s="248">
        <f>SUM(G6228:G6229)</f>
        <v>265100</v>
      </c>
    </row>
    <row r="6231" spans="1:7">
      <c r="A6231" s="294" t="s">
        <v>703</v>
      </c>
      <c r="B6231" s="1147" t="s">
        <v>3910</v>
      </c>
      <c r="C6231" s="1147"/>
      <c r="D6231" s="1147"/>
      <c r="E6231" s="1147"/>
      <c r="F6231" s="1147"/>
      <c r="G6231" s="255">
        <f>G6226+G6230</f>
        <v>328900</v>
      </c>
    </row>
    <row r="6232" spans="1:7">
      <c r="A6232" s="294" t="s">
        <v>706</v>
      </c>
      <c r="B6232" s="1148" t="s">
        <v>876</v>
      </c>
      <c r="C6232" s="1148"/>
      <c r="D6232" s="1148"/>
      <c r="E6232" s="1147" t="s">
        <v>4030</v>
      </c>
      <c r="F6232" s="1147"/>
      <c r="G6232" s="255">
        <f>G6231*0.15</f>
        <v>49335</v>
      </c>
    </row>
    <row r="6233" spans="1:7">
      <c r="A6233" s="294" t="s">
        <v>708</v>
      </c>
      <c r="B6233" s="1149" t="s">
        <v>3911</v>
      </c>
      <c r="C6233" s="1149"/>
      <c r="D6233" s="1149"/>
      <c r="E6233" s="1149"/>
      <c r="F6233" s="1149"/>
      <c r="G6233" s="255">
        <f>ROUND(SUM(G6231:G6232),2)</f>
        <v>378235</v>
      </c>
    </row>
    <row r="6235" spans="1:7">
      <c r="A6235" s="286" t="s">
        <v>4378</v>
      </c>
      <c r="B6235" s="265" t="s">
        <v>2727</v>
      </c>
    </row>
    <row r="6236" spans="1:7" ht="24.95" customHeight="1">
      <c r="A6236" s="290" t="s">
        <v>1003</v>
      </c>
      <c r="B6236" s="290" t="s">
        <v>1004</v>
      </c>
      <c r="C6236" s="290" t="s">
        <v>1005</v>
      </c>
      <c r="D6236" s="290" t="s">
        <v>1006</v>
      </c>
      <c r="E6236" s="373" t="s">
        <v>1007</v>
      </c>
      <c r="F6236" s="363" t="s">
        <v>2637</v>
      </c>
      <c r="G6236" s="291" t="s">
        <v>2638</v>
      </c>
    </row>
    <row r="6237" spans="1:7">
      <c r="A6237" s="294" t="s">
        <v>671</v>
      </c>
      <c r="B6237" s="410" t="s">
        <v>672</v>
      </c>
      <c r="C6237" s="247"/>
      <c r="D6237" s="247"/>
      <c r="E6237" s="372"/>
      <c r="F6237" s="360"/>
      <c r="G6237" s="248"/>
    </row>
    <row r="6238" spans="1:7">
      <c r="A6238" s="294"/>
      <c r="B6238" s="410" t="s">
        <v>673</v>
      </c>
      <c r="C6238" s="247" t="s">
        <v>674</v>
      </c>
      <c r="D6238" s="247" t="s">
        <v>675</v>
      </c>
      <c r="E6238" s="372">
        <v>5.3999999999999999E-2</v>
      </c>
      <c r="F6238" s="360">
        <f>'UPAD-BAHAN-ALAT'!$I$12</f>
        <v>110000</v>
      </c>
      <c r="G6238" s="248">
        <f>F6238*E6238</f>
        <v>5940</v>
      </c>
    </row>
    <row r="6239" spans="1:7">
      <c r="A6239" s="294"/>
      <c r="B6239" s="410" t="s">
        <v>731</v>
      </c>
      <c r="C6239" s="247" t="s">
        <v>678</v>
      </c>
      <c r="D6239" s="247" t="s">
        <v>675</v>
      </c>
      <c r="E6239" s="372">
        <v>0.09</v>
      </c>
      <c r="F6239" s="360">
        <f>'UPAD-BAHAN-ALAT'!$I$13</f>
        <v>140000</v>
      </c>
      <c r="G6239" s="248">
        <f>F6239*E6239</f>
        <v>12600</v>
      </c>
    </row>
    <row r="6240" spans="1:7">
      <c r="A6240" s="294"/>
      <c r="B6240" s="410" t="s">
        <v>751</v>
      </c>
      <c r="C6240" s="247" t="s">
        <v>681</v>
      </c>
      <c r="D6240" s="247" t="s">
        <v>675</v>
      </c>
      <c r="E6240" s="372">
        <v>8.9999999999999993E-3</v>
      </c>
      <c r="F6240" s="360">
        <f>'UPAD-BAHAN-ALAT'!$I$15</f>
        <v>150000</v>
      </c>
      <c r="G6240" s="248">
        <f>F6240*E6240</f>
        <v>1350</v>
      </c>
    </row>
    <row r="6241" spans="1:7">
      <c r="A6241" s="294"/>
      <c r="B6241" s="410" t="s">
        <v>683</v>
      </c>
      <c r="C6241" s="247" t="s">
        <v>684</v>
      </c>
      <c r="D6241" s="247" t="s">
        <v>675</v>
      </c>
      <c r="E6241" s="372">
        <v>2.7E-2</v>
      </c>
      <c r="F6241" s="360">
        <f>'UPAD-BAHAN-ALAT'!$I$14</f>
        <v>140000</v>
      </c>
      <c r="G6241" s="248">
        <f>F6241*E6241</f>
        <v>3780</v>
      </c>
    </row>
    <row r="6242" spans="1:7">
      <c r="A6242" s="294"/>
      <c r="B6242" s="410"/>
      <c r="C6242" s="247"/>
      <c r="D6242" s="247"/>
      <c r="E6242" s="1146" t="s">
        <v>685</v>
      </c>
      <c r="F6242" s="1146"/>
      <c r="G6242" s="248">
        <f>SUM(G6238:G6241)</f>
        <v>23670</v>
      </c>
    </row>
    <row r="6243" spans="1:7">
      <c r="A6243" s="294" t="s">
        <v>686</v>
      </c>
      <c r="B6243" s="410" t="s">
        <v>687</v>
      </c>
      <c r="C6243" s="247"/>
      <c r="D6243" s="247"/>
      <c r="E6243" s="372"/>
      <c r="F6243" s="360"/>
      <c r="G6243" s="248"/>
    </row>
    <row r="6244" spans="1:7">
      <c r="A6244" s="294"/>
      <c r="B6244" s="410" t="s">
        <v>1451</v>
      </c>
      <c r="C6244" s="247"/>
      <c r="D6244" s="247" t="s">
        <v>1452</v>
      </c>
      <c r="E6244" s="372">
        <v>1.2</v>
      </c>
      <c r="F6244" s="360">
        <f>'UPAD-BAHAN-ALAT'!$I$547</f>
        <v>30000</v>
      </c>
      <c r="G6244" s="248">
        <f>F6244*E6244</f>
        <v>36000</v>
      </c>
    </row>
    <row r="6245" spans="1:7">
      <c r="A6245" s="294"/>
      <c r="B6245" s="410" t="s">
        <v>1406</v>
      </c>
      <c r="C6245" s="247"/>
      <c r="D6245" s="247" t="s">
        <v>1011</v>
      </c>
      <c r="E6245" s="372" t="s">
        <v>1453</v>
      </c>
      <c r="F6245" s="360">
        <f>35%*G6244</f>
        <v>12600</v>
      </c>
      <c r="G6245" s="248">
        <f>F6245</f>
        <v>12600</v>
      </c>
    </row>
    <row r="6246" spans="1:7">
      <c r="A6246" s="247"/>
      <c r="B6246" s="295"/>
      <c r="C6246" s="296"/>
      <c r="D6246" s="296"/>
      <c r="E6246" s="1146" t="s">
        <v>702</v>
      </c>
      <c r="F6246" s="1146"/>
      <c r="G6246" s="248">
        <f>SUM(G6244:G6245)</f>
        <v>48600</v>
      </c>
    </row>
    <row r="6247" spans="1:7">
      <c r="A6247" s="294" t="s">
        <v>703</v>
      </c>
      <c r="B6247" s="1147" t="s">
        <v>3910</v>
      </c>
      <c r="C6247" s="1147"/>
      <c r="D6247" s="1147"/>
      <c r="E6247" s="1147"/>
      <c r="F6247" s="1147"/>
      <c r="G6247" s="255">
        <f>G6242+G6246</f>
        <v>72270</v>
      </c>
    </row>
    <row r="6248" spans="1:7">
      <c r="A6248" s="294" t="s">
        <v>706</v>
      </c>
      <c r="B6248" s="1148" t="s">
        <v>876</v>
      </c>
      <c r="C6248" s="1148"/>
      <c r="D6248" s="1148"/>
      <c r="E6248" s="1147" t="s">
        <v>4030</v>
      </c>
      <c r="F6248" s="1147"/>
      <c r="G6248" s="255">
        <f>G6247*0.15</f>
        <v>10840.5</v>
      </c>
    </row>
    <row r="6249" spans="1:7">
      <c r="A6249" s="294" t="s">
        <v>708</v>
      </c>
      <c r="B6249" s="1149" t="s">
        <v>3911</v>
      </c>
      <c r="C6249" s="1149"/>
      <c r="D6249" s="1149"/>
      <c r="E6249" s="1149"/>
      <c r="F6249" s="1149"/>
      <c r="G6249" s="255">
        <f>ROUND(SUM(G6247:G6248),2)</f>
        <v>83110.5</v>
      </c>
    </row>
    <row r="6251" spans="1:7">
      <c r="A6251" s="286" t="s">
        <v>4379</v>
      </c>
      <c r="B6251" s="265" t="s">
        <v>2726</v>
      </c>
    </row>
    <row r="6252" spans="1:7" s="292" customFormat="1" ht="24.95" customHeight="1">
      <c r="A6252" s="290" t="s">
        <v>1003</v>
      </c>
      <c r="B6252" s="290" t="s">
        <v>1004</v>
      </c>
      <c r="C6252" s="290" t="s">
        <v>1005</v>
      </c>
      <c r="D6252" s="290" t="s">
        <v>1006</v>
      </c>
      <c r="E6252" s="373" t="s">
        <v>1007</v>
      </c>
      <c r="F6252" s="363" t="s">
        <v>2637</v>
      </c>
      <c r="G6252" s="291" t="s">
        <v>2638</v>
      </c>
    </row>
    <row r="6253" spans="1:7">
      <c r="A6253" s="294" t="s">
        <v>671</v>
      </c>
      <c r="B6253" s="410" t="s">
        <v>672</v>
      </c>
      <c r="C6253" s="247"/>
      <c r="D6253" s="247"/>
      <c r="E6253" s="372"/>
      <c r="F6253" s="360"/>
      <c r="G6253" s="248"/>
    </row>
    <row r="6254" spans="1:7">
      <c r="A6254" s="294"/>
      <c r="B6254" s="410" t="s">
        <v>673</v>
      </c>
      <c r="C6254" s="247" t="s">
        <v>674</v>
      </c>
      <c r="D6254" s="247" t="s">
        <v>675</v>
      </c>
      <c r="E6254" s="372">
        <v>5.3999999999999999E-2</v>
      </c>
      <c r="F6254" s="360">
        <f>'UPAD-BAHAN-ALAT'!$I$12</f>
        <v>110000</v>
      </c>
      <c r="G6254" s="248">
        <f>F6254*E6254</f>
        <v>5940</v>
      </c>
    </row>
    <row r="6255" spans="1:7">
      <c r="A6255" s="294"/>
      <c r="B6255" s="410" t="s">
        <v>731</v>
      </c>
      <c r="C6255" s="247" t="s">
        <v>678</v>
      </c>
      <c r="D6255" s="247" t="s">
        <v>675</v>
      </c>
      <c r="E6255" s="372">
        <v>0.09</v>
      </c>
      <c r="F6255" s="360">
        <f>'UPAD-BAHAN-ALAT'!$I$13</f>
        <v>140000</v>
      </c>
      <c r="G6255" s="248">
        <f>F6255*E6255</f>
        <v>12600</v>
      </c>
    </row>
    <row r="6256" spans="1:7">
      <c r="A6256" s="294"/>
      <c r="B6256" s="410" t="s">
        <v>751</v>
      </c>
      <c r="C6256" s="247" t="s">
        <v>681</v>
      </c>
      <c r="D6256" s="247" t="s">
        <v>675</v>
      </c>
      <c r="E6256" s="372">
        <v>8.9999999999999993E-3</v>
      </c>
      <c r="F6256" s="360">
        <f>'UPAD-BAHAN-ALAT'!$I$15</f>
        <v>150000</v>
      </c>
      <c r="G6256" s="248">
        <f>F6256*E6256</f>
        <v>1350</v>
      </c>
    </row>
    <row r="6257" spans="1:8">
      <c r="A6257" s="294"/>
      <c r="B6257" s="410" t="s">
        <v>683</v>
      </c>
      <c r="C6257" s="247" t="s">
        <v>684</v>
      </c>
      <c r="D6257" s="247" t="s">
        <v>675</v>
      </c>
      <c r="E6257" s="372">
        <v>2.7E-2</v>
      </c>
      <c r="F6257" s="360">
        <f>'UPAD-BAHAN-ALAT'!$I$14</f>
        <v>140000</v>
      </c>
      <c r="G6257" s="248">
        <f>F6257*E6257</f>
        <v>3780</v>
      </c>
    </row>
    <row r="6258" spans="1:8">
      <c r="A6258" s="294"/>
      <c r="B6258" s="410"/>
      <c r="C6258" s="247"/>
      <c r="D6258" s="247"/>
      <c r="E6258" s="1146" t="s">
        <v>685</v>
      </c>
      <c r="F6258" s="1146"/>
      <c r="G6258" s="248">
        <f>SUM(G6254:G6257)</f>
        <v>23670</v>
      </c>
    </row>
    <row r="6259" spans="1:8">
      <c r="A6259" s="294" t="s">
        <v>686</v>
      </c>
      <c r="B6259" s="410" t="s">
        <v>687</v>
      </c>
      <c r="C6259" s="247"/>
      <c r="D6259" s="247"/>
      <c r="E6259" s="372"/>
      <c r="F6259" s="360"/>
      <c r="G6259" s="248"/>
    </row>
    <row r="6260" spans="1:8">
      <c r="A6260" s="294"/>
      <c r="B6260" s="410" t="s">
        <v>1457</v>
      </c>
      <c r="C6260" s="247"/>
      <c r="D6260" s="247" t="s">
        <v>1452</v>
      </c>
      <c r="E6260" s="372">
        <v>1.2</v>
      </c>
      <c r="F6260" s="360">
        <f>'UPAD-BAHAN-ALAT'!$I$548</f>
        <v>40000</v>
      </c>
      <c r="G6260" s="248">
        <f>F6260*E6260</f>
        <v>48000</v>
      </c>
    </row>
    <row r="6261" spans="1:8">
      <c r="A6261" s="247"/>
      <c r="B6261" s="410" t="s">
        <v>1406</v>
      </c>
      <c r="C6261" s="247"/>
      <c r="D6261" s="247" t="s">
        <v>1411</v>
      </c>
      <c r="E6261" s="372" t="s">
        <v>1453</v>
      </c>
      <c r="F6261" s="360">
        <f>35%*G6260</f>
        <v>16800</v>
      </c>
      <c r="G6261" s="248">
        <f>F6261</f>
        <v>16800</v>
      </c>
    </row>
    <row r="6262" spans="1:8">
      <c r="A6262" s="247"/>
      <c r="B6262" s="410"/>
      <c r="C6262" s="247"/>
      <c r="D6262" s="247"/>
      <c r="E6262" s="1155" t="s">
        <v>702</v>
      </c>
      <c r="F6262" s="1155"/>
      <c r="G6262" s="248">
        <f>SUM(G6260:G6261)</f>
        <v>64800</v>
      </c>
    </row>
    <row r="6263" spans="1:8" s="265" customFormat="1">
      <c r="A6263" s="294" t="s">
        <v>703</v>
      </c>
      <c r="B6263" s="1151" t="s">
        <v>3910</v>
      </c>
      <c r="C6263" s="1151"/>
      <c r="D6263" s="1151"/>
      <c r="E6263" s="1151"/>
      <c r="F6263" s="1151"/>
      <c r="G6263" s="255">
        <f>G6258+G6262</f>
        <v>88470</v>
      </c>
    </row>
    <row r="6264" spans="1:8" s="265" customFormat="1">
      <c r="A6264" s="294" t="s">
        <v>706</v>
      </c>
      <c r="B6264" s="1148" t="s">
        <v>876</v>
      </c>
      <c r="C6264" s="1148"/>
      <c r="D6264" s="1148"/>
      <c r="E6264" s="1147" t="s">
        <v>4030</v>
      </c>
      <c r="F6264" s="1147"/>
      <c r="G6264" s="255">
        <f>G6263*0.15</f>
        <v>13270.5</v>
      </c>
    </row>
    <row r="6265" spans="1:8" s="265" customFormat="1">
      <c r="A6265" s="294" t="s">
        <v>708</v>
      </c>
      <c r="B6265" s="1149" t="s">
        <v>3911</v>
      </c>
      <c r="C6265" s="1149"/>
      <c r="D6265" s="1149"/>
      <c r="E6265" s="1149"/>
      <c r="F6265" s="1149"/>
      <c r="G6265" s="255">
        <f>ROUND(SUM(G6263:G6264),2)</f>
        <v>101740.5</v>
      </c>
      <c r="H6265" s="255">
        <f>SUM(G6263:G6264)</f>
        <v>101740.5</v>
      </c>
    </row>
    <row r="6266" spans="1:8">
      <c r="A6266" s="268"/>
      <c r="B6266" s="269"/>
      <c r="C6266" s="268"/>
      <c r="D6266" s="268"/>
      <c r="E6266" s="380"/>
      <c r="F6266" s="365"/>
      <c r="G6266" s="270"/>
    </row>
    <row r="6267" spans="1:8">
      <c r="A6267" s="285" t="s">
        <v>4380</v>
      </c>
      <c r="B6267" s="250" t="s">
        <v>2725</v>
      </c>
      <c r="C6267" s="252"/>
      <c r="D6267" s="252"/>
      <c r="E6267" s="374"/>
      <c r="F6267" s="361"/>
      <c r="G6267" s="253"/>
    </row>
    <row r="6268" spans="1:8" s="292" customFormat="1" ht="24.95" customHeight="1">
      <c r="A6268" s="290" t="s">
        <v>1003</v>
      </c>
      <c r="B6268" s="290" t="s">
        <v>1004</v>
      </c>
      <c r="C6268" s="290" t="s">
        <v>1005</v>
      </c>
      <c r="D6268" s="290" t="s">
        <v>1006</v>
      </c>
      <c r="E6268" s="373" t="s">
        <v>1007</v>
      </c>
      <c r="F6268" s="363" t="s">
        <v>2637</v>
      </c>
      <c r="G6268" s="291" t="s">
        <v>2638</v>
      </c>
    </row>
    <row r="6269" spans="1:8">
      <c r="A6269" s="294" t="s">
        <v>671</v>
      </c>
      <c r="B6269" s="410" t="s">
        <v>672</v>
      </c>
      <c r="C6269" s="247"/>
      <c r="D6269" s="247"/>
      <c r="E6269" s="372"/>
      <c r="F6269" s="360"/>
      <c r="G6269" s="248"/>
    </row>
    <row r="6270" spans="1:8">
      <c r="A6270" s="294"/>
      <c r="B6270" s="410" t="s">
        <v>673</v>
      </c>
      <c r="C6270" s="247" t="s">
        <v>674</v>
      </c>
      <c r="D6270" s="247" t="s">
        <v>675</v>
      </c>
      <c r="E6270" s="372">
        <v>5.3999999999999999E-2</v>
      </c>
      <c r="F6270" s="360">
        <f>'UPAD-BAHAN-ALAT'!$I$12</f>
        <v>110000</v>
      </c>
      <c r="G6270" s="248">
        <f>F6270*E6270</f>
        <v>5940</v>
      </c>
    </row>
    <row r="6271" spans="1:8">
      <c r="A6271" s="294"/>
      <c r="B6271" s="410" t="s">
        <v>731</v>
      </c>
      <c r="C6271" s="247" t="s">
        <v>678</v>
      </c>
      <c r="D6271" s="247" t="s">
        <v>675</v>
      </c>
      <c r="E6271" s="372">
        <v>0.09</v>
      </c>
      <c r="F6271" s="360">
        <f>'UPAD-BAHAN-ALAT'!$I$13</f>
        <v>140000</v>
      </c>
      <c r="G6271" s="248">
        <f>F6271*E6271</f>
        <v>12600</v>
      </c>
    </row>
    <row r="6272" spans="1:8">
      <c r="A6272" s="294"/>
      <c r="B6272" s="410" t="s">
        <v>751</v>
      </c>
      <c r="C6272" s="247" t="s">
        <v>681</v>
      </c>
      <c r="D6272" s="247" t="s">
        <v>675</v>
      </c>
      <c r="E6272" s="372">
        <v>8.9999999999999993E-3</v>
      </c>
      <c r="F6272" s="360">
        <f>'UPAD-BAHAN-ALAT'!$I$15</f>
        <v>150000</v>
      </c>
      <c r="G6272" s="248">
        <f>F6272*E6272</f>
        <v>1350</v>
      </c>
    </row>
    <row r="6273" spans="1:8">
      <c r="A6273" s="294"/>
      <c r="B6273" s="410" t="s">
        <v>683</v>
      </c>
      <c r="C6273" s="247" t="s">
        <v>684</v>
      </c>
      <c r="D6273" s="247" t="s">
        <v>675</v>
      </c>
      <c r="E6273" s="372">
        <v>2.7E-2</v>
      </c>
      <c r="F6273" s="360">
        <f>'UPAD-BAHAN-ALAT'!$I$14</f>
        <v>140000</v>
      </c>
      <c r="G6273" s="248">
        <f>F6273*E6273</f>
        <v>3780</v>
      </c>
    </row>
    <row r="6274" spans="1:8">
      <c r="A6274" s="294"/>
      <c r="B6274" s="410"/>
      <c r="C6274" s="247"/>
      <c r="D6274" s="247"/>
      <c r="E6274" s="1146" t="s">
        <v>685</v>
      </c>
      <c r="F6274" s="1146"/>
      <c r="G6274" s="248">
        <f>SUM(G6270:G6273)</f>
        <v>23670</v>
      </c>
    </row>
    <row r="6275" spans="1:8">
      <c r="A6275" s="294" t="s">
        <v>686</v>
      </c>
      <c r="B6275" s="410" t="s">
        <v>687</v>
      </c>
      <c r="C6275" s="247"/>
      <c r="D6275" s="247"/>
      <c r="E6275" s="372"/>
      <c r="F6275" s="360"/>
      <c r="G6275" s="248"/>
    </row>
    <row r="6276" spans="1:8">
      <c r="A6276" s="294"/>
      <c r="B6276" s="410" t="s">
        <v>1459</v>
      </c>
      <c r="C6276" s="247"/>
      <c r="D6276" s="247" t="s">
        <v>1452</v>
      </c>
      <c r="E6276" s="372">
        <v>1.2</v>
      </c>
      <c r="F6276" s="360">
        <f>'UPAD-BAHAN-ALAT'!$I$549</f>
        <v>50000</v>
      </c>
      <c r="G6276" s="248">
        <f>F6276*E6276</f>
        <v>60000</v>
      </c>
    </row>
    <row r="6277" spans="1:8">
      <c r="A6277" s="294"/>
      <c r="B6277" s="410" t="s">
        <v>1406</v>
      </c>
      <c r="C6277" s="247"/>
      <c r="D6277" s="247" t="s">
        <v>1411</v>
      </c>
      <c r="E6277" s="372" t="s">
        <v>1453</v>
      </c>
      <c r="F6277" s="360">
        <f>35%*G6276</f>
        <v>21000</v>
      </c>
      <c r="G6277" s="248">
        <f>F6277</f>
        <v>21000</v>
      </c>
    </row>
    <row r="6278" spans="1:8">
      <c r="A6278" s="247"/>
      <c r="B6278" s="295"/>
      <c r="C6278" s="296"/>
      <c r="D6278" s="296"/>
      <c r="E6278" s="1146" t="s">
        <v>702</v>
      </c>
      <c r="F6278" s="1146"/>
      <c r="G6278" s="248">
        <f>SUM(G6276:G6277)</f>
        <v>81000</v>
      </c>
    </row>
    <row r="6279" spans="1:8" s="265" customFormat="1">
      <c r="A6279" s="294" t="s">
        <v>703</v>
      </c>
      <c r="B6279" s="1147" t="s">
        <v>3910</v>
      </c>
      <c r="C6279" s="1147"/>
      <c r="D6279" s="1147"/>
      <c r="E6279" s="1147"/>
      <c r="F6279" s="1147"/>
      <c r="G6279" s="255">
        <f>G6274+G6278</f>
        <v>104670</v>
      </c>
    </row>
    <row r="6280" spans="1:8" s="265" customFormat="1">
      <c r="A6280" s="294" t="s">
        <v>706</v>
      </c>
      <c r="B6280" s="1148" t="s">
        <v>876</v>
      </c>
      <c r="C6280" s="1148"/>
      <c r="D6280" s="1148"/>
      <c r="E6280" s="1147" t="s">
        <v>4030</v>
      </c>
      <c r="F6280" s="1147"/>
      <c r="G6280" s="255">
        <f>G6279*0.15</f>
        <v>15700.5</v>
      </c>
    </row>
    <row r="6281" spans="1:8" s="265" customFormat="1">
      <c r="A6281" s="294" t="s">
        <v>708</v>
      </c>
      <c r="B6281" s="1149" t="s">
        <v>3911</v>
      </c>
      <c r="C6281" s="1149"/>
      <c r="D6281" s="1149"/>
      <c r="E6281" s="1149"/>
      <c r="F6281" s="1149"/>
      <c r="G6281" s="255">
        <f>ROUND(SUM(G6279:G6280),2)</f>
        <v>120370.5</v>
      </c>
      <c r="H6281" s="255">
        <f>SUM(G6279:G6280)</f>
        <v>120370.5</v>
      </c>
    </row>
    <row r="6283" spans="1:8">
      <c r="A6283" s="286" t="s">
        <v>4381</v>
      </c>
      <c r="B6283" s="265" t="s">
        <v>2724</v>
      </c>
    </row>
    <row r="6284" spans="1:8" s="292" customFormat="1" ht="24.95" customHeight="1">
      <c r="A6284" s="290" t="s">
        <v>1003</v>
      </c>
      <c r="B6284" s="290" t="s">
        <v>1004</v>
      </c>
      <c r="C6284" s="290" t="s">
        <v>1005</v>
      </c>
      <c r="D6284" s="290" t="s">
        <v>1006</v>
      </c>
      <c r="E6284" s="373" t="s">
        <v>1007</v>
      </c>
      <c r="F6284" s="363" t="s">
        <v>2637</v>
      </c>
      <c r="G6284" s="291" t="s">
        <v>2638</v>
      </c>
    </row>
    <row r="6285" spans="1:8">
      <c r="A6285" s="294" t="s">
        <v>671</v>
      </c>
      <c r="B6285" s="410" t="s">
        <v>672</v>
      </c>
      <c r="C6285" s="247"/>
      <c r="D6285" s="247"/>
      <c r="E6285" s="372"/>
      <c r="F6285" s="360"/>
      <c r="G6285" s="248"/>
    </row>
    <row r="6286" spans="1:8">
      <c r="A6286" s="294"/>
      <c r="B6286" s="410" t="s">
        <v>673</v>
      </c>
      <c r="C6286" s="247" t="s">
        <v>674</v>
      </c>
      <c r="D6286" s="247" t="s">
        <v>675</v>
      </c>
      <c r="E6286" s="372">
        <v>0.108</v>
      </c>
      <c r="F6286" s="360">
        <f>'UPAD-BAHAN-ALAT'!$I$12</f>
        <v>110000</v>
      </c>
      <c r="G6286" s="248">
        <f>F6286*E6286</f>
        <v>11880</v>
      </c>
    </row>
    <row r="6287" spans="1:8">
      <c r="A6287" s="294"/>
      <c r="B6287" s="410" t="s">
        <v>731</v>
      </c>
      <c r="C6287" s="247" t="s">
        <v>678</v>
      </c>
      <c r="D6287" s="247" t="s">
        <v>675</v>
      </c>
      <c r="E6287" s="372">
        <v>0.18</v>
      </c>
      <c r="F6287" s="360">
        <f>'UPAD-BAHAN-ALAT'!$I$13</f>
        <v>140000</v>
      </c>
      <c r="G6287" s="248">
        <f>F6287*E6287</f>
        <v>25200</v>
      </c>
    </row>
    <row r="6288" spans="1:8">
      <c r="A6288" s="294"/>
      <c r="B6288" s="410" t="s">
        <v>751</v>
      </c>
      <c r="C6288" s="247" t="s">
        <v>681</v>
      </c>
      <c r="D6288" s="247" t="s">
        <v>675</v>
      </c>
      <c r="E6288" s="372">
        <v>1.7999999999999999E-2</v>
      </c>
      <c r="F6288" s="360">
        <f>'UPAD-BAHAN-ALAT'!$I$15</f>
        <v>150000</v>
      </c>
      <c r="G6288" s="248">
        <f>F6288*E6288</f>
        <v>2700</v>
      </c>
    </row>
    <row r="6289" spans="1:8">
      <c r="A6289" s="294"/>
      <c r="B6289" s="410" t="s">
        <v>683</v>
      </c>
      <c r="C6289" s="247" t="s">
        <v>684</v>
      </c>
      <c r="D6289" s="247" t="s">
        <v>675</v>
      </c>
      <c r="E6289" s="372">
        <v>5.0000000000000001E-3</v>
      </c>
      <c r="F6289" s="360">
        <f>'UPAD-BAHAN-ALAT'!$I$14</f>
        <v>140000</v>
      </c>
      <c r="G6289" s="248">
        <f>F6289*E6289</f>
        <v>700</v>
      </c>
    </row>
    <row r="6290" spans="1:8">
      <c r="A6290" s="294"/>
      <c r="B6290" s="410"/>
      <c r="C6290" s="247"/>
      <c r="D6290" s="247"/>
      <c r="E6290" s="1146" t="s">
        <v>685</v>
      </c>
      <c r="F6290" s="1146"/>
      <c r="G6290" s="248">
        <f>SUM(G6286:G6289)</f>
        <v>40480</v>
      </c>
    </row>
    <row r="6291" spans="1:8">
      <c r="A6291" s="294" t="s">
        <v>686</v>
      </c>
      <c r="B6291" s="410" t="s">
        <v>687</v>
      </c>
      <c r="C6291" s="247"/>
      <c r="D6291" s="247"/>
      <c r="E6291" s="372"/>
      <c r="F6291" s="360"/>
      <c r="G6291" s="248"/>
    </row>
    <row r="6292" spans="1:8">
      <c r="A6292" s="247"/>
      <c r="B6292" s="410" t="s">
        <v>1461</v>
      </c>
      <c r="C6292" s="247"/>
      <c r="D6292" s="247" t="s">
        <v>1452</v>
      </c>
      <c r="E6292" s="372">
        <v>1.2</v>
      </c>
      <c r="F6292" s="360">
        <f>'UPAD-BAHAN-ALAT'!$I$550</f>
        <v>75000</v>
      </c>
      <c r="G6292" s="248">
        <f>F6292*E6292</f>
        <v>90000</v>
      </c>
    </row>
    <row r="6293" spans="1:8">
      <c r="A6293" s="247"/>
      <c r="B6293" s="410" t="s">
        <v>1406</v>
      </c>
      <c r="C6293" s="247"/>
      <c r="D6293" s="247" t="s">
        <v>1411</v>
      </c>
      <c r="E6293" s="372" t="s">
        <v>1453</v>
      </c>
      <c r="F6293" s="360">
        <f>35%*G6292</f>
        <v>31499.999999999996</v>
      </c>
      <c r="G6293" s="248">
        <f>F6293</f>
        <v>31499.999999999996</v>
      </c>
    </row>
    <row r="6294" spans="1:8">
      <c r="A6294" s="247"/>
      <c r="B6294" s="295"/>
      <c r="C6294" s="296"/>
      <c r="D6294" s="296"/>
      <c r="E6294" s="1146" t="s">
        <v>702</v>
      </c>
      <c r="F6294" s="1146"/>
      <c r="G6294" s="248">
        <f>SUM(G6292:G6293)</f>
        <v>121500</v>
      </c>
    </row>
    <row r="6295" spans="1:8" s="265" customFormat="1">
      <c r="A6295" s="294" t="s">
        <v>703</v>
      </c>
      <c r="B6295" s="1147" t="s">
        <v>3910</v>
      </c>
      <c r="C6295" s="1147"/>
      <c r="D6295" s="1147"/>
      <c r="E6295" s="1147"/>
      <c r="F6295" s="1147"/>
      <c r="G6295" s="255">
        <f>G6290+G6294</f>
        <v>161980</v>
      </c>
    </row>
    <row r="6296" spans="1:8" s="265" customFormat="1">
      <c r="A6296" s="294" t="s">
        <v>706</v>
      </c>
      <c r="B6296" s="1148" t="s">
        <v>876</v>
      </c>
      <c r="C6296" s="1148"/>
      <c r="D6296" s="1148"/>
      <c r="E6296" s="1147" t="s">
        <v>4030</v>
      </c>
      <c r="F6296" s="1147"/>
      <c r="G6296" s="255">
        <f>G6295*0.15</f>
        <v>24297</v>
      </c>
    </row>
    <row r="6297" spans="1:8" s="265" customFormat="1">
      <c r="A6297" s="294" t="s">
        <v>708</v>
      </c>
      <c r="B6297" s="1149" t="s">
        <v>3911</v>
      </c>
      <c r="C6297" s="1149"/>
      <c r="D6297" s="1149"/>
      <c r="E6297" s="1149"/>
      <c r="F6297" s="1149"/>
      <c r="G6297" s="255">
        <f>ROUND(SUM(G6295:G6296),2)</f>
        <v>186277</v>
      </c>
      <c r="H6297" s="255">
        <f>SUM(G6295:G6296)</f>
        <v>186277</v>
      </c>
    </row>
    <row r="6298" spans="1:8">
      <c r="A6298" s="268"/>
      <c r="B6298" s="269"/>
      <c r="C6298" s="268"/>
      <c r="D6298" s="268"/>
      <c r="E6298" s="380"/>
      <c r="F6298" s="365"/>
      <c r="G6298" s="270"/>
    </row>
    <row r="6299" spans="1:8">
      <c r="A6299" s="285" t="s">
        <v>4382</v>
      </c>
      <c r="B6299" s="250" t="s">
        <v>2723</v>
      </c>
      <c r="C6299" s="252"/>
      <c r="D6299" s="252"/>
      <c r="E6299" s="374"/>
      <c r="F6299" s="361"/>
      <c r="G6299" s="253"/>
    </row>
    <row r="6300" spans="1:8" s="292" customFormat="1" ht="24.95" customHeight="1">
      <c r="A6300" s="290" t="s">
        <v>1003</v>
      </c>
      <c r="B6300" s="290" t="s">
        <v>1004</v>
      </c>
      <c r="C6300" s="290" t="s">
        <v>1005</v>
      </c>
      <c r="D6300" s="290" t="s">
        <v>1006</v>
      </c>
      <c r="E6300" s="373" t="s">
        <v>1007</v>
      </c>
      <c r="F6300" s="363" t="s">
        <v>2637</v>
      </c>
      <c r="G6300" s="291" t="s">
        <v>2638</v>
      </c>
    </row>
    <row r="6301" spans="1:8">
      <c r="A6301" s="294" t="s">
        <v>671</v>
      </c>
      <c r="B6301" s="410" t="s">
        <v>672</v>
      </c>
      <c r="C6301" s="247"/>
      <c r="D6301" s="247"/>
      <c r="E6301" s="372"/>
      <c r="F6301" s="360"/>
      <c r="G6301" s="248"/>
    </row>
    <row r="6302" spans="1:8">
      <c r="A6302" s="294"/>
      <c r="B6302" s="410" t="s">
        <v>673</v>
      </c>
      <c r="C6302" s="247" t="s">
        <v>674</v>
      </c>
      <c r="D6302" s="247" t="s">
        <v>675</v>
      </c>
      <c r="E6302" s="372">
        <v>0.13500000000000001</v>
      </c>
      <c r="F6302" s="360">
        <f>'UPAD-BAHAN-ALAT'!$I$12</f>
        <v>110000</v>
      </c>
      <c r="G6302" s="248">
        <f>F6302*E6302</f>
        <v>14850.000000000002</v>
      </c>
    </row>
    <row r="6303" spans="1:8">
      <c r="A6303" s="294"/>
      <c r="B6303" s="410" t="s">
        <v>731</v>
      </c>
      <c r="C6303" s="247" t="s">
        <v>678</v>
      </c>
      <c r="D6303" s="247" t="s">
        <v>675</v>
      </c>
      <c r="E6303" s="372">
        <v>0.22500000000000001</v>
      </c>
      <c r="F6303" s="360">
        <f>'UPAD-BAHAN-ALAT'!$I$13</f>
        <v>140000</v>
      </c>
      <c r="G6303" s="248">
        <f>F6303*E6303</f>
        <v>31500</v>
      </c>
    </row>
    <row r="6304" spans="1:8">
      <c r="A6304" s="294"/>
      <c r="B6304" s="410" t="s">
        <v>751</v>
      </c>
      <c r="C6304" s="247" t="s">
        <v>681</v>
      </c>
      <c r="D6304" s="247" t="s">
        <v>675</v>
      </c>
      <c r="E6304" s="372">
        <v>2.3E-2</v>
      </c>
      <c r="F6304" s="360">
        <f>'UPAD-BAHAN-ALAT'!$I$15</f>
        <v>150000</v>
      </c>
      <c r="G6304" s="248">
        <f>F6304*E6304</f>
        <v>3450</v>
      </c>
    </row>
    <row r="6305" spans="1:8">
      <c r="A6305" s="294"/>
      <c r="B6305" s="410" t="s">
        <v>683</v>
      </c>
      <c r="C6305" s="247" t="s">
        <v>684</v>
      </c>
      <c r="D6305" s="247" t="s">
        <v>675</v>
      </c>
      <c r="E6305" s="372">
        <v>7.0000000000000001E-3</v>
      </c>
      <c r="F6305" s="360">
        <f>'UPAD-BAHAN-ALAT'!$I$14</f>
        <v>140000</v>
      </c>
      <c r="G6305" s="248">
        <f>F6305*E6305</f>
        <v>980</v>
      </c>
    </row>
    <row r="6306" spans="1:8">
      <c r="A6306" s="294"/>
      <c r="B6306" s="410"/>
      <c r="C6306" s="247"/>
      <c r="D6306" s="247"/>
      <c r="E6306" s="1146" t="s">
        <v>685</v>
      </c>
      <c r="F6306" s="1146"/>
      <c r="G6306" s="248">
        <f>SUM(G6302:G6305)</f>
        <v>50780</v>
      </c>
    </row>
    <row r="6307" spans="1:8">
      <c r="A6307" s="294" t="s">
        <v>686</v>
      </c>
      <c r="B6307" s="410" t="s">
        <v>687</v>
      </c>
      <c r="C6307" s="247"/>
      <c r="D6307" s="247"/>
      <c r="E6307" s="372"/>
      <c r="F6307" s="360"/>
      <c r="G6307" s="248"/>
    </row>
    <row r="6308" spans="1:8">
      <c r="A6308" s="294"/>
      <c r="B6308" s="410" t="s">
        <v>1462</v>
      </c>
      <c r="C6308" s="247"/>
      <c r="D6308" s="247" t="s">
        <v>1452</v>
      </c>
      <c r="E6308" s="372">
        <v>1.2</v>
      </c>
      <c r="F6308" s="360">
        <f>'UPAD-BAHAN-ALAT'!$I$553</f>
        <v>160000</v>
      </c>
      <c r="G6308" s="248">
        <f>F6308*E6308</f>
        <v>192000</v>
      </c>
    </row>
    <row r="6309" spans="1:8">
      <c r="A6309" s="247"/>
      <c r="B6309" s="410" t="s">
        <v>1406</v>
      </c>
      <c r="C6309" s="247"/>
      <c r="D6309" s="247" t="s">
        <v>1411</v>
      </c>
      <c r="E6309" s="372" t="s">
        <v>1453</v>
      </c>
      <c r="F6309" s="360">
        <f>35%*G6308</f>
        <v>67200</v>
      </c>
      <c r="G6309" s="248">
        <f>F6309</f>
        <v>67200</v>
      </c>
    </row>
    <row r="6310" spans="1:8">
      <c r="A6310" s="247"/>
      <c r="B6310" s="295"/>
      <c r="C6310" s="296"/>
      <c r="D6310" s="296"/>
      <c r="E6310" s="1146" t="s">
        <v>702</v>
      </c>
      <c r="F6310" s="1146"/>
      <c r="G6310" s="248">
        <f>SUM(G6308:G6309)</f>
        <v>259200</v>
      </c>
    </row>
    <row r="6311" spans="1:8" s="265" customFormat="1">
      <c r="A6311" s="294" t="s">
        <v>703</v>
      </c>
      <c r="B6311" s="1147" t="s">
        <v>3910</v>
      </c>
      <c r="C6311" s="1147"/>
      <c r="D6311" s="1147"/>
      <c r="E6311" s="1147"/>
      <c r="F6311" s="1147"/>
      <c r="G6311" s="255">
        <f>G6306+G6310</f>
        <v>309980</v>
      </c>
    </row>
    <row r="6312" spans="1:8" s="265" customFormat="1">
      <c r="A6312" s="294" t="s">
        <v>706</v>
      </c>
      <c r="B6312" s="1148" t="s">
        <v>876</v>
      </c>
      <c r="C6312" s="1148"/>
      <c r="D6312" s="1148"/>
      <c r="E6312" s="1147" t="s">
        <v>4030</v>
      </c>
      <c r="F6312" s="1147"/>
      <c r="G6312" s="255">
        <f>G6311*0.15</f>
        <v>46497</v>
      </c>
    </row>
    <row r="6313" spans="1:8" s="265" customFormat="1">
      <c r="A6313" s="294" t="s">
        <v>708</v>
      </c>
      <c r="B6313" s="1149" t="s">
        <v>3911</v>
      </c>
      <c r="C6313" s="1149"/>
      <c r="D6313" s="1149"/>
      <c r="E6313" s="1149"/>
      <c r="F6313" s="1149"/>
      <c r="G6313" s="255">
        <f>ROUND(SUM(G6311:G6312),2)</f>
        <v>356477</v>
      </c>
      <c r="H6313" s="255">
        <f>SUM(G6311:G6312)</f>
        <v>356477</v>
      </c>
    </row>
    <row r="6315" spans="1:8">
      <c r="A6315" s="286" t="s">
        <v>4383</v>
      </c>
      <c r="B6315" s="265" t="s">
        <v>2722</v>
      </c>
    </row>
    <row r="6316" spans="1:8" s="292" customFormat="1" ht="24.95" customHeight="1">
      <c r="A6316" s="290" t="s">
        <v>1003</v>
      </c>
      <c r="B6316" s="290" t="s">
        <v>1004</v>
      </c>
      <c r="C6316" s="290" t="s">
        <v>1005</v>
      </c>
      <c r="D6316" s="290" t="s">
        <v>1006</v>
      </c>
      <c r="E6316" s="373" t="s">
        <v>1007</v>
      </c>
      <c r="F6316" s="363" t="s">
        <v>2637</v>
      </c>
      <c r="G6316" s="291" t="s">
        <v>2638</v>
      </c>
    </row>
    <row r="6317" spans="1:8">
      <c r="A6317" s="294" t="s">
        <v>671</v>
      </c>
      <c r="B6317" s="410" t="s">
        <v>672</v>
      </c>
      <c r="C6317" s="247"/>
      <c r="D6317" s="247"/>
      <c r="E6317" s="372"/>
      <c r="F6317" s="360"/>
      <c r="G6317" s="248"/>
    </row>
    <row r="6318" spans="1:8">
      <c r="A6318" s="294"/>
      <c r="B6318" s="410" t="s">
        <v>673</v>
      </c>
      <c r="C6318" s="247" t="s">
        <v>674</v>
      </c>
      <c r="D6318" s="247" t="s">
        <v>675</v>
      </c>
      <c r="E6318" s="372">
        <v>0.13500000000000001</v>
      </c>
      <c r="F6318" s="360">
        <f>'UPAD-BAHAN-ALAT'!$I$12</f>
        <v>110000</v>
      </c>
      <c r="G6318" s="248">
        <f>F6318*E6318</f>
        <v>14850.000000000002</v>
      </c>
    </row>
    <row r="6319" spans="1:8">
      <c r="A6319" s="294"/>
      <c r="B6319" s="410" t="s">
        <v>731</v>
      </c>
      <c r="C6319" s="247" t="s">
        <v>678</v>
      </c>
      <c r="D6319" s="247" t="s">
        <v>675</v>
      </c>
      <c r="E6319" s="372">
        <v>0.22500000000000001</v>
      </c>
      <c r="F6319" s="360">
        <f>'UPAD-BAHAN-ALAT'!$I$13</f>
        <v>140000</v>
      </c>
      <c r="G6319" s="248">
        <f>F6319*E6319</f>
        <v>31500</v>
      </c>
    </row>
    <row r="6320" spans="1:8">
      <c r="A6320" s="294"/>
      <c r="B6320" s="410" t="s">
        <v>751</v>
      </c>
      <c r="C6320" s="247" t="s">
        <v>681</v>
      </c>
      <c r="D6320" s="247" t="s">
        <v>675</v>
      </c>
      <c r="E6320" s="372">
        <v>2.3E-2</v>
      </c>
      <c r="F6320" s="360">
        <f>'UPAD-BAHAN-ALAT'!$I$15</f>
        <v>150000</v>
      </c>
      <c r="G6320" s="248">
        <f>F6320*E6320</f>
        <v>3450</v>
      </c>
    </row>
    <row r="6321" spans="1:8">
      <c r="A6321" s="294"/>
      <c r="B6321" s="410" t="s">
        <v>683</v>
      </c>
      <c r="C6321" s="247" t="s">
        <v>684</v>
      </c>
      <c r="D6321" s="247" t="s">
        <v>675</v>
      </c>
      <c r="E6321" s="372">
        <v>7.0000000000000001E-3</v>
      </c>
      <c r="F6321" s="360">
        <f>'UPAD-BAHAN-ALAT'!$I$14</f>
        <v>140000</v>
      </c>
      <c r="G6321" s="248">
        <f>F6321*E6321</f>
        <v>980</v>
      </c>
    </row>
    <row r="6322" spans="1:8">
      <c r="A6322" s="294"/>
      <c r="B6322" s="410"/>
      <c r="C6322" s="247"/>
      <c r="D6322" s="247"/>
      <c r="E6322" s="1146" t="s">
        <v>685</v>
      </c>
      <c r="F6322" s="1146"/>
      <c r="G6322" s="248">
        <f>SUM(G6318:G6321)</f>
        <v>50780</v>
      </c>
    </row>
    <row r="6323" spans="1:8">
      <c r="A6323" s="294" t="s">
        <v>686</v>
      </c>
      <c r="B6323" s="410" t="s">
        <v>687</v>
      </c>
      <c r="C6323" s="247"/>
      <c r="D6323" s="247"/>
      <c r="E6323" s="372"/>
      <c r="F6323" s="360"/>
      <c r="G6323" s="248"/>
    </row>
    <row r="6324" spans="1:8">
      <c r="A6324" s="247"/>
      <c r="B6324" s="410" t="s">
        <v>1463</v>
      </c>
      <c r="C6324" s="247"/>
      <c r="D6324" s="247" t="s">
        <v>1452</v>
      </c>
      <c r="E6324" s="372">
        <v>1.2</v>
      </c>
      <c r="F6324" s="360">
        <f>'UPAD-BAHAN-ALAT'!$I$554</f>
        <v>210000</v>
      </c>
      <c r="G6324" s="248">
        <f>F6324*E6324</f>
        <v>252000</v>
      </c>
    </row>
    <row r="6325" spans="1:8">
      <c r="A6325" s="247"/>
      <c r="B6325" s="410" t="s">
        <v>1406</v>
      </c>
      <c r="C6325" s="247"/>
      <c r="D6325" s="247" t="s">
        <v>1411</v>
      </c>
      <c r="E6325" s="372" t="s">
        <v>1453</v>
      </c>
      <c r="F6325" s="360">
        <f>35%*G6324</f>
        <v>88200</v>
      </c>
      <c r="G6325" s="248">
        <f>F6325</f>
        <v>88200</v>
      </c>
    </row>
    <row r="6326" spans="1:8">
      <c r="A6326" s="247"/>
      <c r="B6326" s="295"/>
      <c r="C6326" s="296"/>
      <c r="D6326" s="296"/>
      <c r="E6326" s="1146" t="s">
        <v>702</v>
      </c>
      <c r="F6326" s="1146"/>
      <c r="G6326" s="248">
        <f>SUM(G6324:G6325)</f>
        <v>340200</v>
      </c>
    </row>
    <row r="6327" spans="1:8" s="265" customFormat="1">
      <c r="A6327" s="294" t="s">
        <v>703</v>
      </c>
      <c r="B6327" s="1147" t="s">
        <v>3910</v>
      </c>
      <c r="C6327" s="1147"/>
      <c r="D6327" s="1147"/>
      <c r="E6327" s="1147"/>
      <c r="F6327" s="1147"/>
      <c r="G6327" s="255">
        <f>G6322+G6326</f>
        <v>390980</v>
      </c>
    </row>
    <row r="6328" spans="1:8" s="265" customFormat="1">
      <c r="A6328" s="294" t="s">
        <v>706</v>
      </c>
      <c r="B6328" s="1148" t="s">
        <v>876</v>
      </c>
      <c r="C6328" s="1148"/>
      <c r="D6328" s="1148"/>
      <c r="E6328" s="1147" t="s">
        <v>4030</v>
      </c>
      <c r="F6328" s="1147"/>
      <c r="G6328" s="255">
        <f>G6327*0.15</f>
        <v>58647</v>
      </c>
    </row>
    <row r="6329" spans="1:8" s="265" customFormat="1">
      <c r="A6329" s="294" t="s">
        <v>708</v>
      </c>
      <c r="B6329" s="1149" t="s">
        <v>3911</v>
      </c>
      <c r="C6329" s="1149"/>
      <c r="D6329" s="1149"/>
      <c r="E6329" s="1149"/>
      <c r="F6329" s="1149"/>
      <c r="G6329" s="255">
        <f>ROUND(SUM(G6327:G6328),2)</f>
        <v>449627</v>
      </c>
      <c r="H6329" s="255">
        <f>SUM(G6327:G6328)</f>
        <v>449627</v>
      </c>
    </row>
    <row r="6330" spans="1:8">
      <c r="A6330" s="268"/>
      <c r="B6330" s="269"/>
      <c r="C6330" s="268"/>
      <c r="D6330" s="268"/>
      <c r="E6330" s="380"/>
      <c r="F6330" s="365"/>
      <c r="G6330" s="270"/>
    </row>
    <row r="6331" spans="1:8">
      <c r="A6331" s="285" t="s">
        <v>4384</v>
      </c>
      <c r="B6331" s="250" t="s">
        <v>4667</v>
      </c>
      <c r="C6331" s="252"/>
      <c r="D6331" s="252"/>
      <c r="E6331" s="374"/>
      <c r="F6331" s="361"/>
      <c r="G6331" s="253"/>
    </row>
    <row r="6332" spans="1:8" s="292" customFormat="1" ht="24.95" customHeight="1">
      <c r="A6332" s="290" t="s">
        <v>1003</v>
      </c>
      <c r="B6332" s="290" t="s">
        <v>1004</v>
      </c>
      <c r="C6332" s="290" t="s">
        <v>1005</v>
      </c>
      <c r="D6332" s="290" t="s">
        <v>1006</v>
      </c>
      <c r="E6332" s="373" t="s">
        <v>1007</v>
      </c>
      <c r="F6332" s="363" t="s">
        <v>2637</v>
      </c>
      <c r="G6332" s="291" t="s">
        <v>2638</v>
      </c>
    </row>
    <row r="6333" spans="1:8">
      <c r="A6333" s="294" t="s">
        <v>671</v>
      </c>
      <c r="B6333" s="410" t="s">
        <v>672</v>
      </c>
      <c r="C6333" s="247"/>
      <c r="D6333" s="247"/>
      <c r="E6333" s="372"/>
      <c r="F6333" s="360"/>
      <c r="G6333" s="248"/>
    </row>
    <row r="6334" spans="1:8">
      <c r="A6334" s="294"/>
      <c r="B6334" s="410" t="s">
        <v>673</v>
      </c>
      <c r="C6334" s="247" t="s">
        <v>674</v>
      </c>
      <c r="D6334" s="247" t="s">
        <v>675</v>
      </c>
      <c r="E6334" s="372">
        <v>3.5999999999999997E-2</v>
      </c>
      <c r="F6334" s="360">
        <f>'UPAD-BAHAN-ALAT'!$I$12</f>
        <v>110000</v>
      </c>
      <c r="G6334" s="248">
        <f>F6334*E6334</f>
        <v>3959.9999999999995</v>
      </c>
    </row>
    <row r="6335" spans="1:8">
      <c r="A6335" s="294"/>
      <c r="B6335" s="410" t="s">
        <v>731</v>
      </c>
      <c r="C6335" s="247" t="s">
        <v>678</v>
      </c>
      <c r="D6335" s="247" t="s">
        <v>675</v>
      </c>
      <c r="E6335" s="372">
        <v>0.06</v>
      </c>
      <c r="F6335" s="360">
        <f>'UPAD-BAHAN-ALAT'!$I$13</f>
        <v>140000</v>
      </c>
      <c r="G6335" s="248">
        <f>F6335*E6335</f>
        <v>8400</v>
      </c>
    </row>
    <row r="6336" spans="1:8">
      <c r="A6336" s="294"/>
      <c r="B6336" s="410" t="s">
        <v>751</v>
      </c>
      <c r="C6336" s="247" t="s">
        <v>681</v>
      </c>
      <c r="D6336" s="247" t="s">
        <v>675</v>
      </c>
      <c r="E6336" s="372">
        <v>6.0000000000000001E-3</v>
      </c>
      <c r="F6336" s="360">
        <f>'UPAD-BAHAN-ALAT'!$I$15</f>
        <v>150000</v>
      </c>
      <c r="G6336" s="248">
        <f>F6336*E6336</f>
        <v>900</v>
      </c>
    </row>
    <row r="6337" spans="1:8">
      <c r="A6337" s="294"/>
      <c r="B6337" s="410" t="s">
        <v>683</v>
      </c>
      <c r="C6337" s="247" t="s">
        <v>684</v>
      </c>
      <c r="D6337" s="247" t="s">
        <v>675</v>
      </c>
      <c r="E6337" s="372">
        <v>2E-3</v>
      </c>
      <c r="F6337" s="360">
        <f>'UPAD-BAHAN-ALAT'!$I$14</f>
        <v>140000</v>
      </c>
      <c r="G6337" s="248">
        <f>F6337*E6337</f>
        <v>280</v>
      </c>
    </row>
    <row r="6338" spans="1:8">
      <c r="A6338" s="294"/>
      <c r="B6338" s="410"/>
      <c r="C6338" s="247"/>
      <c r="D6338" s="247"/>
      <c r="E6338" s="1146" t="s">
        <v>685</v>
      </c>
      <c r="F6338" s="1146"/>
      <c r="G6338" s="248">
        <f>SUM(G6334:G6337)</f>
        <v>13540</v>
      </c>
    </row>
    <row r="6339" spans="1:8">
      <c r="A6339" s="294" t="s">
        <v>686</v>
      </c>
      <c r="B6339" s="410" t="s">
        <v>687</v>
      </c>
      <c r="C6339" s="247"/>
      <c r="D6339" s="247"/>
      <c r="E6339" s="372"/>
      <c r="F6339" s="360"/>
      <c r="G6339" s="248"/>
    </row>
    <row r="6340" spans="1:8">
      <c r="A6340" s="247"/>
      <c r="B6340" s="410" t="s">
        <v>1464</v>
      </c>
      <c r="C6340" s="247"/>
      <c r="D6340" s="247" t="s">
        <v>1452</v>
      </c>
      <c r="E6340" s="372">
        <v>1.2</v>
      </c>
      <c r="F6340" s="360">
        <f>'UPAD-BAHAN-ALAT'!$I$538</f>
        <v>4000</v>
      </c>
      <c r="G6340" s="248">
        <f>F6340*E6340</f>
        <v>4800</v>
      </c>
    </row>
    <row r="6341" spans="1:8">
      <c r="A6341" s="247"/>
      <c r="B6341" s="410" t="s">
        <v>1406</v>
      </c>
      <c r="C6341" s="247"/>
      <c r="D6341" s="247" t="s">
        <v>1411</v>
      </c>
      <c r="E6341" s="372" t="s">
        <v>1453</v>
      </c>
      <c r="F6341" s="360">
        <f>35%*G6340</f>
        <v>1680</v>
      </c>
      <c r="G6341" s="248">
        <f>F6341</f>
        <v>1680</v>
      </c>
    </row>
    <row r="6342" spans="1:8">
      <c r="A6342" s="247"/>
      <c r="B6342" s="410"/>
      <c r="C6342" s="247"/>
      <c r="D6342" s="247"/>
      <c r="E6342" s="1155" t="s">
        <v>702</v>
      </c>
      <c r="F6342" s="1155"/>
      <c r="G6342" s="248">
        <f>SUM(G6340:G6341)</f>
        <v>6480</v>
      </c>
    </row>
    <row r="6343" spans="1:8" s="265" customFormat="1">
      <c r="A6343" s="294" t="s">
        <v>703</v>
      </c>
      <c r="B6343" s="1151" t="s">
        <v>3910</v>
      </c>
      <c r="C6343" s="1151"/>
      <c r="D6343" s="1151"/>
      <c r="E6343" s="1151"/>
      <c r="F6343" s="1151"/>
      <c r="G6343" s="255">
        <f>G6338+G6342</f>
        <v>20020</v>
      </c>
    </row>
    <row r="6344" spans="1:8" s="265" customFormat="1">
      <c r="A6344" s="294" t="s">
        <v>706</v>
      </c>
      <c r="B6344" s="1148" t="s">
        <v>876</v>
      </c>
      <c r="C6344" s="1148"/>
      <c r="D6344" s="1148"/>
      <c r="E6344" s="1147" t="s">
        <v>4030</v>
      </c>
      <c r="F6344" s="1147"/>
      <c r="G6344" s="255">
        <f>G6343*0.15</f>
        <v>3003</v>
      </c>
    </row>
    <row r="6345" spans="1:8" s="265" customFormat="1">
      <c r="A6345" s="294" t="s">
        <v>708</v>
      </c>
      <c r="B6345" s="1149" t="s">
        <v>3911</v>
      </c>
      <c r="C6345" s="1149"/>
      <c r="D6345" s="1149"/>
      <c r="E6345" s="1149"/>
      <c r="F6345" s="1149"/>
      <c r="G6345" s="255">
        <f>ROUND(SUM(G6343:G6344),2)</f>
        <v>23023</v>
      </c>
      <c r="H6345" s="255">
        <f>SUM(G6343:G6344)</f>
        <v>23023</v>
      </c>
    </row>
    <row r="6347" spans="1:8">
      <c r="A6347" s="286" t="s">
        <v>4385</v>
      </c>
      <c r="B6347" s="265" t="s">
        <v>2721</v>
      </c>
    </row>
    <row r="6348" spans="1:8" s="292" customFormat="1" ht="24.95" customHeight="1">
      <c r="A6348" s="290" t="s">
        <v>1003</v>
      </c>
      <c r="B6348" s="290" t="s">
        <v>1004</v>
      </c>
      <c r="C6348" s="290" t="s">
        <v>1005</v>
      </c>
      <c r="D6348" s="747" t="s">
        <v>1006</v>
      </c>
      <c r="E6348" s="373" t="s">
        <v>1007</v>
      </c>
      <c r="F6348" s="363" t="s">
        <v>2637</v>
      </c>
      <c r="G6348" s="291" t="s">
        <v>2638</v>
      </c>
    </row>
    <row r="6349" spans="1:8">
      <c r="A6349" s="294" t="s">
        <v>671</v>
      </c>
      <c r="B6349" s="410" t="s">
        <v>672</v>
      </c>
      <c r="C6349" s="247"/>
      <c r="D6349" s="715"/>
      <c r="E6349" s="372"/>
      <c r="F6349" s="360"/>
      <c r="G6349" s="248"/>
    </row>
    <row r="6350" spans="1:8">
      <c r="A6350" s="294"/>
      <c r="B6350" s="410" t="s">
        <v>673</v>
      </c>
      <c r="C6350" s="247" t="s">
        <v>674</v>
      </c>
      <c r="D6350" s="247" t="s">
        <v>675</v>
      </c>
      <c r="E6350" s="372">
        <v>3.5999999999999997E-2</v>
      </c>
      <c r="F6350" s="360">
        <f>'UPAD-BAHAN-ALAT'!$I$12</f>
        <v>110000</v>
      </c>
      <c r="G6350" s="248">
        <f>F6350*E6350</f>
        <v>3959.9999999999995</v>
      </c>
    </row>
    <row r="6351" spans="1:8">
      <c r="A6351" s="294"/>
      <c r="B6351" s="410" t="s">
        <v>731</v>
      </c>
      <c r="C6351" s="247" t="s">
        <v>678</v>
      </c>
      <c r="D6351" s="247" t="s">
        <v>675</v>
      </c>
      <c r="E6351" s="372">
        <v>0.06</v>
      </c>
      <c r="F6351" s="360">
        <f>'UPAD-BAHAN-ALAT'!$I$13</f>
        <v>140000</v>
      </c>
      <c r="G6351" s="248">
        <f>F6351*E6351</f>
        <v>8400</v>
      </c>
    </row>
    <row r="6352" spans="1:8">
      <c r="A6352" s="294"/>
      <c r="B6352" s="410" t="s">
        <v>751</v>
      </c>
      <c r="C6352" s="247" t="s">
        <v>681</v>
      </c>
      <c r="D6352" s="247" t="s">
        <v>675</v>
      </c>
      <c r="E6352" s="372">
        <v>6.0000000000000001E-3</v>
      </c>
      <c r="F6352" s="360">
        <f>'UPAD-BAHAN-ALAT'!$I$15</f>
        <v>150000</v>
      </c>
      <c r="G6352" s="248">
        <f>F6352*E6352</f>
        <v>900</v>
      </c>
    </row>
    <row r="6353" spans="1:8">
      <c r="A6353" s="294"/>
      <c r="B6353" s="410" t="s">
        <v>683</v>
      </c>
      <c r="C6353" s="247" t="s">
        <v>684</v>
      </c>
      <c r="D6353" s="247" t="s">
        <v>675</v>
      </c>
      <c r="E6353" s="372">
        <v>2E-3</v>
      </c>
      <c r="F6353" s="360">
        <f>'UPAD-BAHAN-ALAT'!$I$14</f>
        <v>140000</v>
      </c>
      <c r="G6353" s="248">
        <f>F6353*E6353</f>
        <v>280</v>
      </c>
    </row>
    <row r="6354" spans="1:8">
      <c r="A6354" s="294"/>
      <c r="B6354" s="410"/>
      <c r="C6354" s="247"/>
      <c r="D6354" s="247"/>
      <c r="E6354" s="1146" t="s">
        <v>685</v>
      </c>
      <c r="F6354" s="1146"/>
      <c r="G6354" s="248">
        <f>SUM(G6350:G6353)</f>
        <v>13540</v>
      </c>
    </row>
    <row r="6355" spans="1:8">
      <c r="A6355" s="294" t="s">
        <v>686</v>
      </c>
      <c r="B6355" s="410" t="s">
        <v>687</v>
      </c>
      <c r="C6355" s="247"/>
      <c r="D6355" s="247"/>
      <c r="E6355" s="372"/>
      <c r="F6355" s="360"/>
      <c r="G6355" s="248"/>
    </row>
    <row r="6356" spans="1:8">
      <c r="A6356" s="294"/>
      <c r="B6356" s="410" t="s">
        <v>3625</v>
      </c>
      <c r="C6356" s="247"/>
      <c r="D6356" s="247" t="s">
        <v>1452</v>
      </c>
      <c r="E6356" s="372">
        <v>1.2</v>
      </c>
      <c r="F6356" s="360">
        <f>'UPAD-BAHAN-ALAT'!$I$539</f>
        <v>7000</v>
      </c>
      <c r="G6356" s="248">
        <f>F6356*E6356</f>
        <v>8400</v>
      </c>
    </row>
    <row r="6357" spans="1:8">
      <c r="A6357" s="247"/>
      <c r="B6357" s="410" t="s">
        <v>1406</v>
      </c>
      <c r="C6357" s="247"/>
      <c r="D6357" s="247" t="s">
        <v>1411</v>
      </c>
      <c r="E6357" s="372" t="s">
        <v>1453</v>
      </c>
      <c r="F6357" s="360">
        <f>35%*G6356</f>
        <v>2940</v>
      </c>
      <c r="G6357" s="248">
        <f>F6357</f>
        <v>2940</v>
      </c>
    </row>
    <row r="6358" spans="1:8">
      <c r="A6358" s="247"/>
      <c r="B6358" s="410"/>
      <c r="C6358" s="247"/>
      <c r="D6358" s="247"/>
      <c r="E6358" s="1155" t="s">
        <v>702</v>
      </c>
      <c r="F6358" s="1155"/>
      <c r="G6358" s="248">
        <f>SUM(G6356:G6357)</f>
        <v>11340</v>
      </c>
    </row>
    <row r="6359" spans="1:8" s="265" customFormat="1">
      <c r="A6359" s="294" t="s">
        <v>703</v>
      </c>
      <c r="B6359" s="1151" t="s">
        <v>3910</v>
      </c>
      <c r="C6359" s="1151"/>
      <c r="D6359" s="1151"/>
      <c r="E6359" s="1151"/>
      <c r="F6359" s="1151"/>
      <c r="G6359" s="255">
        <f>G6354+G6358</f>
        <v>24880</v>
      </c>
    </row>
    <row r="6360" spans="1:8" s="265" customFormat="1">
      <c r="A6360" s="294" t="s">
        <v>706</v>
      </c>
      <c r="B6360" s="1148" t="s">
        <v>876</v>
      </c>
      <c r="C6360" s="1148"/>
      <c r="D6360" s="1148"/>
      <c r="E6360" s="1147" t="s">
        <v>4030</v>
      </c>
      <c r="F6360" s="1147"/>
      <c r="G6360" s="255">
        <f>G6359*0.15</f>
        <v>3732</v>
      </c>
    </row>
    <row r="6361" spans="1:8" s="265" customFormat="1">
      <c r="A6361" s="294" t="s">
        <v>708</v>
      </c>
      <c r="B6361" s="1149" t="s">
        <v>3911</v>
      </c>
      <c r="C6361" s="1149"/>
      <c r="D6361" s="1149"/>
      <c r="E6361" s="1149"/>
      <c r="F6361" s="1149"/>
      <c r="G6361" s="255">
        <f>ROUND(SUM(G6359:G6360),2)</f>
        <v>28612</v>
      </c>
      <c r="H6361" s="255">
        <f>SUM(G6359:G6360)</f>
        <v>28612</v>
      </c>
    </row>
    <row r="6362" spans="1:8">
      <c r="A6362" s="268"/>
      <c r="B6362" s="269"/>
      <c r="C6362" s="268"/>
      <c r="D6362" s="268"/>
      <c r="E6362" s="380"/>
      <c r="F6362" s="365"/>
      <c r="G6362" s="270"/>
    </row>
    <row r="6363" spans="1:8">
      <c r="A6363" s="285" t="s">
        <v>4386</v>
      </c>
      <c r="B6363" s="250" t="s">
        <v>2720</v>
      </c>
      <c r="C6363" s="252"/>
      <c r="D6363" s="252"/>
      <c r="E6363" s="374"/>
      <c r="F6363" s="361"/>
      <c r="G6363" s="253"/>
    </row>
    <row r="6364" spans="1:8" s="292" customFormat="1" ht="24.95" customHeight="1">
      <c r="A6364" s="290" t="s">
        <v>1003</v>
      </c>
      <c r="B6364" s="290" t="s">
        <v>1004</v>
      </c>
      <c r="C6364" s="290" t="s">
        <v>1005</v>
      </c>
      <c r="D6364" s="290" t="s">
        <v>1006</v>
      </c>
      <c r="E6364" s="373" t="s">
        <v>1007</v>
      </c>
      <c r="F6364" s="363" t="s">
        <v>2637</v>
      </c>
      <c r="G6364" s="291" t="s">
        <v>2638</v>
      </c>
    </row>
    <row r="6365" spans="1:8">
      <c r="A6365" s="294" t="s">
        <v>671</v>
      </c>
      <c r="B6365" s="410" t="s">
        <v>672</v>
      </c>
      <c r="C6365" s="247"/>
      <c r="D6365" s="247"/>
      <c r="E6365" s="372"/>
      <c r="F6365" s="360"/>
      <c r="G6365" s="248"/>
    </row>
    <row r="6366" spans="1:8">
      <c r="A6366" s="294"/>
      <c r="B6366" s="410" t="s">
        <v>673</v>
      </c>
      <c r="C6366" s="247" t="s">
        <v>674</v>
      </c>
      <c r="D6366" s="247" t="s">
        <v>675</v>
      </c>
      <c r="E6366" s="372">
        <v>3.5999999999999997E-2</v>
      </c>
      <c r="F6366" s="360">
        <f>'UPAD-BAHAN-ALAT'!$I$12</f>
        <v>110000</v>
      </c>
      <c r="G6366" s="248">
        <f>F6366*E6366</f>
        <v>3959.9999999999995</v>
      </c>
    </row>
    <row r="6367" spans="1:8">
      <c r="A6367" s="294"/>
      <c r="B6367" s="410" t="s">
        <v>731</v>
      </c>
      <c r="C6367" s="247" t="s">
        <v>678</v>
      </c>
      <c r="D6367" s="247" t="s">
        <v>675</v>
      </c>
      <c r="E6367" s="372">
        <v>0.06</v>
      </c>
      <c r="F6367" s="360">
        <f>'UPAD-BAHAN-ALAT'!$I$13</f>
        <v>140000</v>
      </c>
      <c r="G6367" s="248">
        <f>F6367*E6367</f>
        <v>8400</v>
      </c>
    </row>
    <row r="6368" spans="1:8">
      <c r="A6368" s="294"/>
      <c r="B6368" s="410" t="s">
        <v>751</v>
      </c>
      <c r="C6368" s="247" t="s">
        <v>681</v>
      </c>
      <c r="D6368" s="247" t="s">
        <v>675</v>
      </c>
      <c r="E6368" s="372">
        <v>6.0000000000000001E-3</v>
      </c>
      <c r="F6368" s="360">
        <f>'UPAD-BAHAN-ALAT'!$I$15</f>
        <v>150000</v>
      </c>
      <c r="G6368" s="248">
        <f>F6368*E6368</f>
        <v>900</v>
      </c>
    </row>
    <row r="6369" spans="1:8">
      <c r="A6369" s="294"/>
      <c r="B6369" s="410" t="s">
        <v>683</v>
      </c>
      <c r="C6369" s="247" t="s">
        <v>684</v>
      </c>
      <c r="D6369" s="247" t="s">
        <v>675</v>
      </c>
      <c r="E6369" s="372">
        <v>2E-3</v>
      </c>
      <c r="F6369" s="360">
        <f>'UPAD-BAHAN-ALAT'!$I$14</f>
        <v>140000</v>
      </c>
      <c r="G6369" s="248">
        <f>F6369*E6369</f>
        <v>280</v>
      </c>
    </row>
    <row r="6370" spans="1:8">
      <c r="A6370" s="294"/>
      <c r="B6370" s="410"/>
      <c r="C6370" s="247"/>
      <c r="D6370" s="247"/>
      <c r="E6370" s="1146" t="s">
        <v>685</v>
      </c>
      <c r="F6370" s="1146"/>
      <c r="G6370" s="248">
        <f>SUM(G6366:G6369)</f>
        <v>13540</v>
      </c>
    </row>
    <row r="6371" spans="1:8">
      <c r="A6371" s="294" t="s">
        <v>686</v>
      </c>
      <c r="B6371" s="410" t="s">
        <v>687</v>
      </c>
      <c r="C6371" s="247"/>
      <c r="D6371" s="247"/>
      <c r="E6371" s="372"/>
      <c r="F6371" s="360"/>
      <c r="G6371" s="248"/>
    </row>
    <row r="6372" spans="1:8">
      <c r="A6372" s="247"/>
      <c r="B6372" s="410" t="s">
        <v>1465</v>
      </c>
      <c r="C6372" s="247"/>
      <c r="D6372" s="247" t="s">
        <v>1452</v>
      </c>
      <c r="E6372" s="372">
        <v>1.2</v>
      </c>
      <c r="F6372" s="360">
        <f>'UPAD-BAHAN-ALAT'!$I$540</f>
        <v>9000</v>
      </c>
      <c r="G6372" s="248">
        <f>F6372*E6372</f>
        <v>10800</v>
      </c>
    </row>
    <row r="6373" spans="1:8">
      <c r="A6373" s="247"/>
      <c r="B6373" s="410" t="s">
        <v>1406</v>
      </c>
      <c r="C6373" s="247"/>
      <c r="D6373" s="247" t="s">
        <v>1411</v>
      </c>
      <c r="E6373" s="372" t="s">
        <v>1453</v>
      </c>
      <c r="F6373" s="360">
        <f>35%*G6372</f>
        <v>3779.9999999999995</v>
      </c>
      <c r="G6373" s="248">
        <f>F6373</f>
        <v>3779.9999999999995</v>
      </c>
    </row>
    <row r="6374" spans="1:8">
      <c r="A6374" s="247"/>
      <c r="B6374" s="295"/>
      <c r="C6374" s="296"/>
      <c r="D6374" s="296"/>
      <c r="E6374" s="1146" t="s">
        <v>702</v>
      </c>
      <c r="F6374" s="1146"/>
      <c r="G6374" s="248">
        <f>SUM(G6372:G6373)</f>
        <v>14580</v>
      </c>
    </row>
    <row r="6375" spans="1:8" s="265" customFormat="1">
      <c r="A6375" s="294" t="s">
        <v>703</v>
      </c>
      <c r="B6375" s="1147" t="s">
        <v>3910</v>
      </c>
      <c r="C6375" s="1147"/>
      <c r="D6375" s="1147"/>
      <c r="E6375" s="1147"/>
      <c r="F6375" s="1147"/>
      <c r="G6375" s="255">
        <f>G6370+G6374</f>
        <v>28120</v>
      </c>
    </row>
    <row r="6376" spans="1:8" s="265" customFormat="1">
      <c r="A6376" s="294" t="s">
        <v>706</v>
      </c>
      <c r="B6376" s="1148" t="s">
        <v>876</v>
      </c>
      <c r="C6376" s="1148"/>
      <c r="D6376" s="1148"/>
      <c r="E6376" s="1147" t="s">
        <v>4030</v>
      </c>
      <c r="F6376" s="1147"/>
      <c r="G6376" s="255">
        <f>G6375*0.15</f>
        <v>4218</v>
      </c>
    </row>
    <row r="6377" spans="1:8" s="265" customFormat="1">
      <c r="A6377" s="294" t="s">
        <v>708</v>
      </c>
      <c r="B6377" s="1149" t="s">
        <v>3911</v>
      </c>
      <c r="C6377" s="1149"/>
      <c r="D6377" s="1149"/>
      <c r="E6377" s="1149"/>
      <c r="F6377" s="1149"/>
      <c r="G6377" s="255">
        <f>ROUND(SUM(G6375:G6376),2)</f>
        <v>32338</v>
      </c>
      <c r="H6377" s="255">
        <f>SUM(G6375:G6376)</f>
        <v>32338</v>
      </c>
    </row>
    <row r="6379" spans="1:8">
      <c r="A6379" s="286" t="s">
        <v>4387</v>
      </c>
      <c r="B6379" s="265" t="s">
        <v>2719</v>
      </c>
    </row>
    <row r="6380" spans="1:8" s="292" customFormat="1" ht="24.95" customHeight="1">
      <c r="A6380" s="290" t="s">
        <v>1003</v>
      </c>
      <c r="B6380" s="290" t="s">
        <v>1004</v>
      </c>
      <c r="C6380" s="290" t="s">
        <v>1005</v>
      </c>
      <c r="D6380" s="290" t="s">
        <v>1006</v>
      </c>
      <c r="E6380" s="373" t="s">
        <v>1007</v>
      </c>
      <c r="F6380" s="363" t="s">
        <v>2637</v>
      </c>
      <c r="G6380" s="291" t="s">
        <v>2638</v>
      </c>
    </row>
    <row r="6381" spans="1:8">
      <c r="A6381" s="294" t="s">
        <v>671</v>
      </c>
      <c r="B6381" s="410" t="s">
        <v>672</v>
      </c>
      <c r="C6381" s="247"/>
      <c r="D6381" s="247"/>
      <c r="E6381" s="372"/>
      <c r="F6381" s="360"/>
      <c r="G6381" s="248"/>
    </row>
    <row r="6382" spans="1:8">
      <c r="A6382" s="294"/>
      <c r="B6382" s="410" t="s">
        <v>673</v>
      </c>
      <c r="C6382" s="247" t="s">
        <v>674</v>
      </c>
      <c r="D6382" s="247" t="s">
        <v>675</v>
      </c>
      <c r="E6382" s="372">
        <v>5.3999999999999999E-2</v>
      </c>
      <c r="F6382" s="360">
        <f>'UPAD-BAHAN-ALAT'!$I$12</f>
        <v>110000</v>
      </c>
      <c r="G6382" s="248">
        <f>F6382*E6382</f>
        <v>5940</v>
      </c>
    </row>
    <row r="6383" spans="1:8">
      <c r="A6383" s="294"/>
      <c r="B6383" s="410" t="s">
        <v>731</v>
      </c>
      <c r="C6383" s="247" t="s">
        <v>678</v>
      </c>
      <c r="D6383" s="247" t="s">
        <v>675</v>
      </c>
      <c r="E6383" s="372">
        <v>0.09</v>
      </c>
      <c r="F6383" s="360">
        <f>'UPAD-BAHAN-ALAT'!$I$13</f>
        <v>140000</v>
      </c>
      <c r="G6383" s="248">
        <f>F6383*E6383</f>
        <v>12600</v>
      </c>
    </row>
    <row r="6384" spans="1:8">
      <c r="A6384" s="294"/>
      <c r="B6384" s="410" t="s">
        <v>751</v>
      </c>
      <c r="C6384" s="247" t="s">
        <v>681</v>
      </c>
      <c r="D6384" s="247" t="s">
        <v>675</v>
      </c>
      <c r="E6384" s="372">
        <v>8.9999999999999993E-3</v>
      </c>
      <c r="F6384" s="360">
        <f>'UPAD-BAHAN-ALAT'!$I$15</f>
        <v>150000</v>
      </c>
      <c r="G6384" s="248">
        <f>F6384*E6384</f>
        <v>1350</v>
      </c>
    </row>
    <row r="6385" spans="1:8">
      <c r="A6385" s="294"/>
      <c r="B6385" s="410" t="s">
        <v>683</v>
      </c>
      <c r="C6385" s="247" t="s">
        <v>684</v>
      </c>
      <c r="D6385" s="247" t="s">
        <v>675</v>
      </c>
      <c r="E6385" s="372">
        <v>3.0000000000000001E-3</v>
      </c>
      <c r="F6385" s="360">
        <f>'UPAD-BAHAN-ALAT'!$I$14</f>
        <v>140000</v>
      </c>
      <c r="G6385" s="248">
        <f>F6385*E6385</f>
        <v>420</v>
      </c>
    </row>
    <row r="6386" spans="1:8">
      <c r="A6386" s="294"/>
      <c r="B6386" s="410"/>
      <c r="C6386" s="247"/>
      <c r="D6386" s="247"/>
      <c r="E6386" s="1146" t="s">
        <v>685</v>
      </c>
      <c r="F6386" s="1146"/>
      <c r="G6386" s="248">
        <f>SUM(G6382:G6385)</f>
        <v>20310</v>
      </c>
    </row>
    <row r="6387" spans="1:8">
      <c r="A6387" s="294" t="s">
        <v>686</v>
      </c>
      <c r="B6387" s="410" t="s">
        <v>687</v>
      </c>
      <c r="C6387" s="247"/>
      <c r="D6387" s="247"/>
      <c r="E6387" s="372"/>
      <c r="F6387" s="360"/>
      <c r="G6387" s="248"/>
    </row>
    <row r="6388" spans="1:8">
      <c r="A6388" s="247"/>
      <c r="B6388" s="410" t="s">
        <v>1466</v>
      </c>
      <c r="C6388" s="247"/>
      <c r="D6388" s="247" t="s">
        <v>1452</v>
      </c>
      <c r="E6388" s="372">
        <v>1.2</v>
      </c>
      <c r="F6388" s="360">
        <f>'UPAD-BAHAN-ALAT'!$I$541</f>
        <v>12000</v>
      </c>
      <c r="G6388" s="248">
        <f>F6388*E6388</f>
        <v>14400</v>
      </c>
    </row>
    <row r="6389" spans="1:8">
      <c r="A6389" s="247"/>
      <c r="B6389" s="410" t="s">
        <v>1406</v>
      </c>
      <c r="C6389" s="247"/>
      <c r="D6389" s="247" t="s">
        <v>1411</v>
      </c>
      <c r="E6389" s="372" t="s">
        <v>1453</v>
      </c>
      <c r="F6389" s="360">
        <f>35%*G6388</f>
        <v>5040</v>
      </c>
      <c r="G6389" s="248">
        <f>F6389</f>
        <v>5040</v>
      </c>
    </row>
    <row r="6390" spans="1:8">
      <c r="A6390" s="247"/>
      <c r="B6390" s="410"/>
      <c r="C6390" s="247"/>
      <c r="D6390" s="247"/>
      <c r="E6390" s="1155" t="s">
        <v>702</v>
      </c>
      <c r="F6390" s="1155"/>
      <c r="G6390" s="248">
        <f>SUM(G6388:G6389)</f>
        <v>19440</v>
      </c>
    </row>
    <row r="6391" spans="1:8" s="265" customFormat="1">
      <c r="A6391" s="294" t="s">
        <v>703</v>
      </c>
      <c r="B6391" s="1151" t="s">
        <v>3910</v>
      </c>
      <c r="C6391" s="1151"/>
      <c r="D6391" s="1151"/>
      <c r="E6391" s="1151"/>
      <c r="F6391" s="1151"/>
      <c r="G6391" s="255">
        <f>G6386+G6390</f>
        <v>39750</v>
      </c>
    </row>
    <row r="6392" spans="1:8" s="265" customFormat="1">
      <c r="A6392" s="294" t="s">
        <v>706</v>
      </c>
      <c r="B6392" s="1148" t="s">
        <v>876</v>
      </c>
      <c r="C6392" s="1148"/>
      <c r="D6392" s="1148"/>
      <c r="E6392" s="1147" t="s">
        <v>4030</v>
      </c>
      <c r="F6392" s="1147"/>
      <c r="G6392" s="255">
        <f>G6391*0.15</f>
        <v>5962.5</v>
      </c>
    </row>
    <row r="6393" spans="1:8" s="265" customFormat="1">
      <c r="A6393" s="294" t="s">
        <v>708</v>
      </c>
      <c r="B6393" s="1149" t="s">
        <v>3911</v>
      </c>
      <c r="C6393" s="1149"/>
      <c r="D6393" s="1149"/>
      <c r="E6393" s="1149"/>
      <c r="F6393" s="1149"/>
      <c r="G6393" s="255">
        <f>ROUND(SUM(G6391:G6392),2)</f>
        <v>45712.5</v>
      </c>
      <c r="H6393" s="255">
        <f>SUM(G6391:G6392)</f>
        <v>45712.5</v>
      </c>
    </row>
    <row r="6394" spans="1:8">
      <c r="A6394" s="268"/>
      <c r="B6394" s="269"/>
      <c r="C6394" s="268"/>
      <c r="D6394" s="268"/>
      <c r="E6394" s="380"/>
      <c r="F6394" s="365"/>
      <c r="G6394" s="270"/>
    </row>
    <row r="6395" spans="1:8">
      <c r="A6395" s="285" t="s">
        <v>4388</v>
      </c>
      <c r="B6395" s="250" t="s">
        <v>2718</v>
      </c>
      <c r="C6395" s="252"/>
      <c r="D6395" s="252"/>
      <c r="E6395" s="374"/>
      <c r="F6395" s="361"/>
      <c r="G6395" s="253"/>
    </row>
    <row r="6396" spans="1:8" s="292" customFormat="1" ht="24.95" customHeight="1">
      <c r="A6396" s="290" t="s">
        <v>1003</v>
      </c>
      <c r="B6396" s="290" t="s">
        <v>1004</v>
      </c>
      <c r="C6396" s="290" t="s">
        <v>1005</v>
      </c>
      <c r="D6396" s="290" t="s">
        <v>1006</v>
      </c>
      <c r="E6396" s="373" t="s">
        <v>1007</v>
      </c>
      <c r="F6396" s="363" t="s">
        <v>2637</v>
      </c>
      <c r="G6396" s="291" t="s">
        <v>2638</v>
      </c>
    </row>
    <row r="6397" spans="1:8">
      <c r="A6397" s="294" t="s">
        <v>671</v>
      </c>
      <c r="B6397" s="410" t="s">
        <v>672</v>
      </c>
      <c r="C6397" s="247"/>
      <c r="D6397" s="247"/>
      <c r="E6397" s="372"/>
      <c r="F6397" s="360"/>
      <c r="G6397" s="248"/>
    </row>
    <row r="6398" spans="1:8">
      <c r="A6398" s="294"/>
      <c r="B6398" s="410" t="s">
        <v>673</v>
      </c>
      <c r="C6398" s="247" t="s">
        <v>674</v>
      </c>
      <c r="D6398" s="247" t="s">
        <v>675</v>
      </c>
      <c r="E6398" s="372">
        <v>5.3999999999999999E-2</v>
      </c>
      <c r="F6398" s="360">
        <f>'UPAD-BAHAN-ALAT'!$I$12</f>
        <v>110000</v>
      </c>
      <c r="G6398" s="248">
        <f>F6398*E6398</f>
        <v>5940</v>
      </c>
    </row>
    <row r="6399" spans="1:8">
      <c r="A6399" s="294"/>
      <c r="B6399" s="410" t="s">
        <v>731</v>
      </c>
      <c r="C6399" s="247" t="s">
        <v>678</v>
      </c>
      <c r="D6399" s="247" t="s">
        <v>675</v>
      </c>
      <c r="E6399" s="372">
        <v>0.09</v>
      </c>
      <c r="F6399" s="360">
        <f>'UPAD-BAHAN-ALAT'!$I$13</f>
        <v>140000</v>
      </c>
      <c r="G6399" s="248">
        <f>F6399*E6399</f>
        <v>12600</v>
      </c>
    </row>
    <row r="6400" spans="1:8">
      <c r="A6400" s="294"/>
      <c r="B6400" s="410" t="s">
        <v>751</v>
      </c>
      <c r="C6400" s="247" t="s">
        <v>681</v>
      </c>
      <c r="D6400" s="247" t="s">
        <v>675</v>
      </c>
      <c r="E6400" s="372">
        <v>8.9999999999999993E-3</v>
      </c>
      <c r="F6400" s="360">
        <f>'UPAD-BAHAN-ALAT'!$I$15</f>
        <v>150000</v>
      </c>
      <c r="G6400" s="248">
        <f>F6400*E6400</f>
        <v>1350</v>
      </c>
    </row>
    <row r="6401" spans="1:8">
      <c r="A6401" s="294"/>
      <c r="B6401" s="410" t="s">
        <v>683</v>
      </c>
      <c r="C6401" s="247" t="s">
        <v>684</v>
      </c>
      <c r="D6401" s="247" t="s">
        <v>675</v>
      </c>
      <c r="E6401" s="372">
        <v>3.0000000000000001E-3</v>
      </c>
      <c r="F6401" s="360">
        <f>'UPAD-BAHAN-ALAT'!$I$14</f>
        <v>140000</v>
      </c>
      <c r="G6401" s="248">
        <f>F6401*E6401</f>
        <v>420</v>
      </c>
    </row>
    <row r="6402" spans="1:8">
      <c r="A6402" s="294"/>
      <c r="B6402" s="410"/>
      <c r="C6402" s="247"/>
      <c r="D6402" s="247"/>
      <c r="E6402" s="1146" t="s">
        <v>685</v>
      </c>
      <c r="F6402" s="1146"/>
      <c r="G6402" s="248">
        <f>SUM(G6398:G6401)</f>
        <v>20310</v>
      </c>
    </row>
    <row r="6403" spans="1:8">
      <c r="A6403" s="294" t="s">
        <v>686</v>
      </c>
      <c r="B6403" s="410" t="s">
        <v>687</v>
      </c>
      <c r="C6403" s="247"/>
      <c r="D6403" s="247"/>
      <c r="E6403" s="372"/>
      <c r="F6403" s="360"/>
      <c r="G6403" s="248"/>
    </row>
    <row r="6404" spans="1:8">
      <c r="A6404" s="247"/>
      <c r="B6404" s="410" t="s">
        <v>1467</v>
      </c>
      <c r="C6404" s="247"/>
      <c r="D6404" s="247" t="s">
        <v>1452</v>
      </c>
      <c r="E6404" s="372">
        <v>1.2</v>
      </c>
      <c r="F6404" s="360">
        <f>'UPAD-BAHAN-ALAT'!$I$542</f>
        <v>16000</v>
      </c>
      <c r="G6404" s="248">
        <f>F6404*E6404</f>
        <v>19200</v>
      </c>
    </row>
    <row r="6405" spans="1:8">
      <c r="A6405" s="247"/>
      <c r="B6405" s="410" t="s">
        <v>1406</v>
      </c>
      <c r="C6405" s="247"/>
      <c r="D6405" s="247" t="s">
        <v>1411</v>
      </c>
      <c r="E6405" s="372" t="s">
        <v>1453</v>
      </c>
      <c r="F6405" s="360">
        <f>35%*G6404</f>
        <v>6720</v>
      </c>
      <c r="G6405" s="248">
        <f>F6405</f>
        <v>6720</v>
      </c>
    </row>
    <row r="6406" spans="1:8">
      <c r="A6406" s="247"/>
      <c r="B6406" s="295"/>
      <c r="C6406" s="296"/>
      <c r="D6406" s="296"/>
      <c r="E6406" s="1146" t="s">
        <v>702</v>
      </c>
      <c r="F6406" s="1146"/>
      <c r="G6406" s="248">
        <f>SUM(G6404:G6405)</f>
        <v>25920</v>
      </c>
    </row>
    <row r="6407" spans="1:8" s="265" customFormat="1">
      <c r="A6407" s="294" t="s">
        <v>703</v>
      </c>
      <c r="B6407" s="1147" t="s">
        <v>3910</v>
      </c>
      <c r="C6407" s="1147"/>
      <c r="D6407" s="1147"/>
      <c r="E6407" s="1147"/>
      <c r="F6407" s="1147"/>
      <c r="G6407" s="255">
        <f>G6402+G6406</f>
        <v>46230</v>
      </c>
    </row>
    <row r="6408" spans="1:8" s="265" customFormat="1">
      <c r="A6408" s="294" t="s">
        <v>706</v>
      </c>
      <c r="B6408" s="1148" t="s">
        <v>876</v>
      </c>
      <c r="C6408" s="1148"/>
      <c r="D6408" s="1148"/>
      <c r="E6408" s="1147" t="s">
        <v>4030</v>
      </c>
      <c r="F6408" s="1147"/>
      <c r="G6408" s="255">
        <f>G6407*0.15</f>
        <v>6934.5</v>
      </c>
    </row>
    <row r="6409" spans="1:8" s="265" customFormat="1">
      <c r="A6409" s="294" t="s">
        <v>708</v>
      </c>
      <c r="B6409" s="1149" t="s">
        <v>3911</v>
      </c>
      <c r="C6409" s="1149"/>
      <c r="D6409" s="1149"/>
      <c r="E6409" s="1149"/>
      <c r="F6409" s="1149"/>
      <c r="G6409" s="255">
        <f>ROUND(SUM(G6407:G6408),2)</f>
        <v>53164.5</v>
      </c>
      <c r="H6409" s="255">
        <f>SUM(G6407:G6408)</f>
        <v>53164.5</v>
      </c>
    </row>
    <row r="6411" spans="1:8">
      <c r="A6411" s="286" t="s">
        <v>4389</v>
      </c>
      <c r="B6411" s="265" t="s">
        <v>2717</v>
      </c>
    </row>
    <row r="6412" spans="1:8" s="292" customFormat="1" ht="24.95" customHeight="1">
      <c r="A6412" s="290" t="s">
        <v>1003</v>
      </c>
      <c r="B6412" s="290" t="s">
        <v>1004</v>
      </c>
      <c r="C6412" s="290" t="s">
        <v>1005</v>
      </c>
      <c r="D6412" s="290" t="s">
        <v>1006</v>
      </c>
      <c r="E6412" s="373" t="s">
        <v>1007</v>
      </c>
      <c r="F6412" s="363" t="s">
        <v>2637</v>
      </c>
      <c r="G6412" s="291" t="s">
        <v>2638</v>
      </c>
    </row>
    <row r="6413" spans="1:8">
      <c r="A6413" s="294" t="s">
        <v>671</v>
      </c>
      <c r="B6413" s="410" t="s">
        <v>672</v>
      </c>
      <c r="C6413" s="247"/>
      <c r="D6413" s="247"/>
      <c r="E6413" s="372"/>
      <c r="F6413" s="360"/>
      <c r="G6413" s="248"/>
    </row>
    <row r="6414" spans="1:8">
      <c r="A6414" s="294"/>
      <c r="B6414" s="410" t="s">
        <v>673</v>
      </c>
      <c r="C6414" s="247" t="s">
        <v>674</v>
      </c>
      <c r="D6414" s="247" t="s">
        <v>675</v>
      </c>
      <c r="E6414" s="372">
        <v>8.1000000000000003E-2</v>
      </c>
      <c r="F6414" s="360">
        <f>'UPAD-BAHAN-ALAT'!$I$12</f>
        <v>110000</v>
      </c>
      <c r="G6414" s="248">
        <f>F6414*E6414</f>
        <v>8910</v>
      </c>
    </row>
    <row r="6415" spans="1:8">
      <c r="A6415" s="294"/>
      <c r="B6415" s="410" t="s">
        <v>731</v>
      </c>
      <c r="C6415" s="247" t="s">
        <v>678</v>
      </c>
      <c r="D6415" s="247" t="s">
        <v>675</v>
      </c>
      <c r="E6415" s="372">
        <v>0.13500000000000001</v>
      </c>
      <c r="F6415" s="360">
        <f>'UPAD-BAHAN-ALAT'!$I$13</f>
        <v>140000</v>
      </c>
      <c r="G6415" s="248">
        <f>F6415*E6415</f>
        <v>18900</v>
      </c>
    </row>
    <row r="6416" spans="1:8">
      <c r="A6416" s="294"/>
      <c r="B6416" s="410" t="s">
        <v>751</v>
      </c>
      <c r="C6416" s="247" t="s">
        <v>681</v>
      </c>
      <c r="D6416" s="247" t="s">
        <v>675</v>
      </c>
      <c r="E6416" s="372">
        <v>1.35E-2</v>
      </c>
      <c r="F6416" s="360">
        <f>'UPAD-BAHAN-ALAT'!$I$15</f>
        <v>150000</v>
      </c>
      <c r="G6416" s="248">
        <f>F6416*E6416</f>
        <v>2025</v>
      </c>
    </row>
    <row r="6417" spans="1:8">
      <c r="A6417" s="294"/>
      <c r="B6417" s="410" t="s">
        <v>683</v>
      </c>
      <c r="C6417" s="247" t="s">
        <v>684</v>
      </c>
      <c r="D6417" s="247" t="s">
        <v>675</v>
      </c>
      <c r="E6417" s="372">
        <v>4.0000000000000001E-3</v>
      </c>
      <c r="F6417" s="360">
        <f>'UPAD-BAHAN-ALAT'!$I$14</f>
        <v>140000</v>
      </c>
      <c r="G6417" s="248">
        <f>F6417*E6417</f>
        <v>560</v>
      </c>
    </row>
    <row r="6418" spans="1:8">
      <c r="A6418" s="294"/>
      <c r="B6418" s="410"/>
      <c r="C6418" s="247"/>
      <c r="D6418" s="247"/>
      <c r="E6418" s="1146" t="s">
        <v>685</v>
      </c>
      <c r="F6418" s="1146"/>
      <c r="G6418" s="248">
        <f>SUM(G6414:G6417)</f>
        <v>30395</v>
      </c>
    </row>
    <row r="6419" spans="1:8">
      <c r="A6419" s="294" t="s">
        <v>686</v>
      </c>
      <c r="B6419" s="410" t="s">
        <v>687</v>
      </c>
      <c r="C6419" s="247"/>
      <c r="D6419" s="247"/>
      <c r="E6419" s="372"/>
      <c r="F6419" s="360"/>
      <c r="G6419" s="248"/>
    </row>
    <row r="6420" spans="1:8">
      <c r="A6420" s="294"/>
      <c r="B6420" s="410" t="s">
        <v>1470</v>
      </c>
      <c r="C6420" s="247"/>
      <c r="D6420" s="247" t="s">
        <v>1452</v>
      </c>
      <c r="E6420" s="372">
        <v>1.2</v>
      </c>
      <c r="F6420" s="360">
        <f>'UPAD-BAHAN-ALAT'!$I$543</f>
        <v>20000</v>
      </c>
      <c r="G6420" s="248">
        <f>F6420*E6420</f>
        <v>24000</v>
      </c>
    </row>
    <row r="6421" spans="1:8">
      <c r="A6421" s="247"/>
      <c r="B6421" s="410" t="s">
        <v>1406</v>
      </c>
      <c r="C6421" s="247"/>
      <c r="D6421" s="247" t="s">
        <v>1411</v>
      </c>
      <c r="E6421" s="372" t="s">
        <v>1453</v>
      </c>
      <c r="F6421" s="360">
        <f>35%*G6420</f>
        <v>8400</v>
      </c>
      <c r="G6421" s="248">
        <f>F6421</f>
        <v>8400</v>
      </c>
    </row>
    <row r="6422" spans="1:8">
      <c r="A6422" s="247"/>
      <c r="B6422" s="295"/>
      <c r="C6422" s="296"/>
      <c r="D6422" s="296"/>
      <c r="E6422" s="1146" t="s">
        <v>702</v>
      </c>
      <c r="F6422" s="1146"/>
      <c r="G6422" s="248">
        <f>SUM(G6420:G6421)</f>
        <v>32400</v>
      </c>
    </row>
    <row r="6423" spans="1:8" s="265" customFormat="1">
      <c r="A6423" s="294" t="s">
        <v>703</v>
      </c>
      <c r="B6423" s="1147" t="s">
        <v>3910</v>
      </c>
      <c r="C6423" s="1147"/>
      <c r="D6423" s="1147"/>
      <c r="E6423" s="1147"/>
      <c r="F6423" s="1147"/>
      <c r="G6423" s="255">
        <f>G6418+G6422</f>
        <v>62795</v>
      </c>
    </row>
    <row r="6424" spans="1:8" s="265" customFormat="1">
      <c r="A6424" s="294" t="s">
        <v>706</v>
      </c>
      <c r="B6424" s="1148" t="s">
        <v>876</v>
      </c>
      <c r="C6424" s="1148"/>
      <c r="D6424" s="1148"/>
      <c r="E6424" s="1147" t="s">
        <v>4030</v>
      </c>
      <c r="F6424" s="1147"/>
      <c r="G6424" s="255">
        <f>G6423*0.15</f>
        <v>9419.25</v>
      </c>
    </row>
    <row r="6425" spans="1:8" s="265" customFormat="1">
      <c r="A6425" s="294" t="s">
        <v>708</v>
      </c>
      <c r="B6425" s="1149" t="s">
        <v>3911</v>
      </c>
      <c r="C6425" s="1149"/>
      <c r="D6425" s="1149"/>
      <c r="E6425" s="1149"/>
      <c r="F6425" s="1149"/>
      <c r="G6425" s="255">
        <f>ROUND(SUM(G6423:G6424),2)</f>
        <v>72214.25</v>
      </c>
      <c r="H6425" s="255">
        <f>SUM(G6423:G6424)</f>
        <v>72214.25</v>
      </c>
    </row>
    <row r="6426" spans="1:8">
      <c r="A6426" s="268"/>
      <c r="B6426" s="269"/>
      <c r="C6426" s="268"/>
      <c r="D6426" s="268"/>
      <c r="E6426" s="380"/>
      <c r="F6426" s="365"/>
      <c r="G6426" s="270"/>
    </row>
    <row r="6427" spans="1:8">
      <c r="A6427" s="285" t="s">
        <v>4390</v>
      </c>
      <c r="B6427" s="250" t="s">
        <v>2716</v>
      </c>
      <c r="C6427" s="252"/>
      <c r="D6427" s="252"/>
      <c r="E6427" s="374"/>
      <c r="F6427" s="361"/>
      <c r="G6427" s="253"/>
    </row>
    <row r="6428" spans="1:8" s="292" customFormat="1" ht="24.95" customHeight="1">
      <c r="A6428" s="290" t="s">
        <v>1003</v>
      </c>
      <c r="B6428" s="290" t="s">
        <v>1004</v>
      </c>
      <c r="C6428" s="290" t="s">
        <v>1005</v>
      </c>
      <c r="D6428" s="290" t="s">
        <v>1006</v>
      </c>
      <c r="E6428" s="373" t="s">
        <v>1007</v>
      </c>
      <c r="F6428" s="363" t="s">
        <v>2637</v>
      </c>
      <c r="G6428" s="291" t="s">
        <v>2638</v>
      </c>
    </row>
    <row r="6429" spans="1:8">
      <c r="A6429" s="294" t="s">
        <v>671</v>
      </c>
      <c r="B6429" s="410" t="s">
        <v>672</v>
      </c>
      <c r="C6429" s="247"/>
      <c r="D6429" s="247"/>
      <c r="E6429" s="372"/>
      <c r="F6429" s="360"/>
      <c r="G6429" s="248"/>
    </row>
    <row r="6430" spans="1:8">
      <c r="A6430" s="294"/>
      <c r="B6430" s="410" t="s">
        <v>673</v>
      </c>
      <c r="C6430" s="247" t="s">
        <v>674</v>
      </c>
      <c r="D6430" s="247" t="s">
        <v>675</v>
      </c>
      <c r="E6430" s="372">
        <v>8.1000000000000003E-2</v>
      </c>
      <c r="F6430" s="360">
        <f>'UPAD-BAHAN-ALAT'!$I$12</f>
        <v>110000</v>
      </c>
      <c r="G6430" s="248">
        <f>F6430*E6430</f>
        <v>8910</v>
      </c>
    </row>
    <row r="6431" spans="1:8">
      <c r="A6431" s="294"/>
      <c r="B6431" s="410" t="s">
        <v>731</v>
      </c>
      <c r="C6431" s="247" t="s">
        <v>678</v>
      </c>
      <c r="D6431" s="247" t="s">
        <v>675</v>
      </c>
      <c r="E6431" s="372">
        <v>0.13500000000000001</v>
      </c>
      <c r="F6431" s="360">
        <f>'UPAD-BAHAN-ALAT'!$I$13</f>
        <v>140000</v>
      </c>
      <c r="G6431" s="248">
        <f>F6431*E6431</f>
        <v>18900</v>
      </c>
    </row>
    <row r="6432" spans="1:8">
      <c r="A6432" s="294"/>
      <c r="B6432" s="410" t="s">
        <v>751</v>
      </c>
      <c r="C6432" s="247" t="s">
        <v>681</v>
      </c>
      <c r="D6432" s="247" t="s">
        <v>675</v>
      </c>
      <c r="E6432" s="372">
        <v>1.35E-2</v>
      </c>
      <c r="F6432" s="360">
        <f>'UPAD-BAHAN-ALAT'!$I$15</f>
        <v>150000</v>
      </c>
      <c r="G6432" s="248">
        <f>F6432*E6432</f>
        <v>2025</v>
      </c>
    </row>
    <row r="6433" spans="1:8">
      <c r="A6433" s="294"/>
      <c r="B6433" s="410" t="s">
        <v>683</v>
      </c>
      <c r="C6433" s="247" t="s">
        <v>684</v>
      </c>
      <c r="D6433" s="247" t="s">
        <v>675</v>
      </c>
      <c r="E6433" s="372">
        <v>4.0000000000000001E-3</v>
      </c>
      <c r="F6433" s="360">
        <f>'UPAD-BAHAN-ALAT'!$I$14</f>
        <v>140000</v>
      </c>
      <c r="G6433" s="248">
        <f>F6433*E6433</f>
        <v>560</v>
      </c>
    </row>
    <row r="6434" spans="1:8">
      <c r="A6434" s="294"/>
      <c r="B6434" s="410"/>
      <c r="C6434" s="247"/>
      <c r="D6434" s="247"/>
      <c r="E6434" s="1146" t="s">
        <v>685</v>
      </c>
      <c r="F6434" s="1146"/>
      <c r="G6434" s="248">
        <f>SUM(G6430:G6433)</f>
        <v>30395</v>
      </c>
    </row>
    <row r="6435" spans="1:8">
      <c r="A6435" s="294" t="s">
        <v>686</v>
      </c>
      <c r="B6435" s="410" t="s">
        <v>687</v>
      </c>
      <c r="C6435" s="247"/>
      <c r="D6435" s="247"/>
      <c r="E6435" s="372"/>
      <c r="F6435" s="360"/>
      <c r="G6435" s="248"/>
    </row>
    <row r="6436" spans="1:8">
      <c r="A6436" s="294"/>
      <c r="B6436" s="410" t="s">
        <v>1471</v>
      </c>
      <c r="C6436" s="247"/>
      <c r="D6436" s="247" t="s">
        <v>1452</v>
      </c>
      <c r="E6436" s="372">
        <v>1.2</v>
      </c>
      <c r="F6436" s="360">
        <f>'UPAD-BAHAN-ALAT'!$I$544</f>
        <v>25000</v>
      </c>
      <c r="G6436" s="248">
        <f>F6436*E6436</f>
        <v>30000</v>
      </c>
    </row>
    <row r="6437" spans="1:8">
      <c r="A6437" s="294"/>
      <c r="B6437" s="410" t="s">
        <v>1406</v>
      </c>
      <c r="C6437" s="247"/>
      <c r="D6437" s="247" t="s">
        <v>1411</v>
      </c>
      <c r="E6437" s="372" t="s">
        <v>1453</v>
      </c>
      <c r="F6437" s="360">
        <f>35%*G6436</f>
        <v>10500</v>
      </c>
      <c r="G6437" s="248">
        <f>F6437</f>
        <v>10500</v>
      </c>
    </row>
    <row r="6438" spans="1:8">
      <c r="A6438" s="247"/>
      <c r="B6438" s="295"/>
      <c r="C6438" s="296"/>
      <c r="D6438" s="296"/>
      <c r="E6438" s="1146" t="s">
        <v>702</v>
      </c>
      <c r="F6438" s="1146"/>
      <c r="G6438" s="248">
        <f>SUM(G6436:G6437)</f>
        <v>40500</v>
      </c>
    </row>
    <row r="6439" spans="1:8" s="265" customFormat="1">
      <c r="A6439" s="294" t="s">
        <v>703</v>
      </c>
      <c r="B6439" s="1147" t="s">
        <v>3910</v>
      </c>
      <c r="C6439" s="1147"/>
      <c r="D6439" s="1147"/>
      <c r="E6439" s="1147"/>
      <c r="F6439" s="1147"/>
      <c r="G6439" s="255">
        <f>G6434+G6438</f>
        <v>70895</v>
      </c>
    </row>
    <row r="6440" spans="1:8" s="265" customFormat="1">
      <c r="A6440" s="294" t="s">
        <v>706</v>
      </c>
      <c r="B6440" s="1148" t="s">
        <v>876</v>
      </c>
      <c r="C6440" s="1148"/>
      <c r="D6440" s="1148"/>
      <c r="E6440" s="1147" t="s">
        <v>4030</v>
      </c>
      <c r="F6440" s="1147"/>
      <c r="G6440" s="255">
        <f>G6439*0.15</f>
        <v>10634.25</v>
      </c>
    </row>
    <row r="6441" spans="1:8" s="265" customFormat="1">
      <c r="A6441" s="294" t="s">
        <v>708</v>
      </c>
      <c r="B6441" s="1149" t="s">
        <v>3911</v>
      </c>
      <c r="C6441" s="1149"/>
      <c r="D6441" s="1149"/>
      <c r="E6441" s="1149"/>
      <c r="F6441" s="1149"/>
      <c r="G6441" s="255">
        <f>ROUND(SUM(G6439:G6440),2)</f>
        <v>81529.25</v>
      </c>
      <c r="H6441" s="255">
        <f>SUM(G6439:G6440)</f>
        <v>81529.25</v>
      </c>
    </row>
    <row r="6443" spans="1:8">
      <c r="A6443" s="286" t="s">
        <v>4391</v>
      </c>
      <c r="B6443" s="265" t="s">
        <v>2715</v>
      </c>
    </row>
    <row r="6444" spans="1:8" s="292" customFormat="1" ht="24.95" customHeight="1">
      <c r="A6444" s="290" t="s">
        <v>1003</v>
      </c>
      <c r="B6444" s="290" t="s">
        <v>1004</v>
      </c>
      <c r="C6444" s="290" t="s">
        <v>1005</v>
      </c>
      <c r="D6444" s="290" t="s">
        <v>1006</v>
      </c>
      <c r="E6444" s="373" t="s">
        <v>1007</v>
      </c>
      <c r="F6444" s="363" t="s">
        <v>2637</v>
      </c>
      <c r="G6444" s="291" t="s">
        <v>2638</v>
      </c>
    </row>
    <row r="6445" spans="1:8">
      <c r="A6445" s="294" t="s">
        <v>671</v>
      </c>
      <c r="B6445" s="410" t="s">
        <v>672</v>
      </c>
      <c r="C6445" s="247"/>
      <c r="D6445" s="247"/>
      <c r="E6445" s="372"/>
      <c r="F6445" s="360"/>
      <c r="G6445" s="248"/>
    </row>
    <row r="6446" spans="1:8">
      <c r="A6446" s="294"/>
      <c r="B6446" s="410" t="s">
        <v>673</v>
      </c>
      <c r="C6446" s="247" t="s">
        <v>674</v>
      </c>
      <c r="D6446" s="247" t="s">
        <v>675</v>
      </c>
      <c r="E6446" s="372">
        <v>8.1000000000000003E-2</v>
      </c>
      <c r="F6446" s="360">
        <f>'UPAD-BAHAN-ALAT'!$I$12</f>
        <v>110000</v>
      </c>
      <c r="G6446" s="248">
        <f>F6446*E6446</f>
        <v>8910</v>
      </c>
    </row>
    <row r="6447" spans="1:8">
      <c r="A6447" s="294"/>
      <c r="B6447" s="410" t="s">
        <v>731</v>
      </c>
      <c r="C6447" s="247" t="s">
        <v>678</v>
      </c>
      <c r="D6447" s="247" t="s">
        <v>675</v>
      </c>
      <c r="E6447" s="372">
        <v>0.13500000000000001</v>
      </c>
      <c r="F6447" s="360">
        <f>'UPAD-BAHAN-ALAT'!$I$13</f>
        <v>140000</v>
      </c>
      <c r="G6447" s="248">
        <f>F6447*E6447</f>
        <v>18900</v>
      </c>
    </row>
    <row r="6448" spans="1:8">
      <c r="A6448" s="294"/>
      <c r="B6448" s="410" t="s">
        <v>751</v>
      </c>
      <c r="C6448" s="247" t="s">
        <v>681</v>
      </c>
      <c r="D6448" s="247" t="s">
        <v>675</v>
      </c>
      <c r="E6448" s="372">
        <v>1.35E-2</v>
      </c>
      <c r="F6448" s="360">
        <f>'UPAD-BAHAN-ALAT'!$I$15</f>
        <v>150000</v>
      </c>
      <c r="G6448" s="248">
        <f>F6448*E6448</f>
        <v>2025</v>
      </c>
    </row>
    <row r="6449" spans="1:8">
      <c r="A6449" s="294"/>
      <c r="B6449" s="410" t="s">
        <v>683</v>
      </c>
      <c r="C6449" s="247" t="s">
        <v>684</v>
      </c>
      <c r="D6449" s="247" t="s">
        <v>675</v>
      </c>
      <c r="E6449" s="372">
        <v>4.0000000000000001E-3</v>
      </c>
      <c r="F6449" s="360">
        <f>'UPAD-BAHAN-ALAT'!$I$14</f>
        <v>140000</v>
      </c>
      <c r="G6449" s="248">
        <f>F6449*E6449</f>
        <v>560</v>
      </c>
    </row>
    <row r="6450" spans="1:8">
      <c r="A6450" s="294"/>
      <c r="B6450" s="410"/>
      <c r="C6450" s="247"/>
      <c r="D6450" s="247"/>
      <c r="E6450" s="1146" t="s">
        <v>685</v>
      </c>
      <c r="F6450" s="1146"/>
      <c r="G6450" s="248">
        <f>SUM(G6446:G6449)</f>
        <v>30395</v>
      </c>
    </row>
    <row r="6451" spans="1:8">
      <c r="A6451" s="294" t="s">
        <v>686</v>
      </c>
      <c r="B6451" s="410" t="s">
        <v>687</v>
      </c>
      <c r="C6451" s="247"/>
      <c r="D6451" s="247"/>
      <c r="E6451" s="372"/>
      <c r="F6451" s="360"/>
      <c r="G6451" s="248"/>
    </row>
    <row r="6452" spans="1:8">
      <c r="A6452" s="247"/>
      <c r="B6452" s="410" t="s">
        <v>3682</v>
      </c>
      <c r="C6452" s="247"/>
      <c r="D6452" s="247" t="s">
        <v>1452</v>
      </c>
      <c r="E6452" s="372">
        <v>1.2</v>
      </c>
      <c r="F6452" s="360">
        <f>'UPAD-BAHAN-ALAT'!$I$545</f>
        <v>35000</v>
      </c>
      <c r="G6452" s="248">
        <f>F6452*E6452</f>
        <v>42000</v>
      </c>
    </row>
    <row r="6453" spans="1:8">
      <c r="A6453" s="247"/>
      <c r="B6453" s="410" t="s">
        <v>1406</v>
      </c>
      <c r="C6453" s="247"/>
      <c r="D6453" s="247" t="s">
        <v>1411</v>
      </c>
      <c r="E6453" s="372" t="s">
        <v>1453</v>
      </c>
      <c r="F6453" s="360">
        <f>35%*G6452</f>
        <v>14699.999999999998</v>
      </c>
      <c r="G6453" s="248">
        <f>F6453</f>
        <v>14699.999999999998</v>
      </c>
    </row>
    <row r="6454" spans="1:8">
      <c r="A6454" s="247"/>
      <c r="B6454" s="295"/>
      <c r="C6454" s="296"/>
      <c r="D6454" s="296"/>
      <c r="E6454" s="1146" t="s">
        <v>702</v>
      </c>
      <c r="F6454" s="1146"/>
      <c r="G6454" s="248">
        <f>SUM(G6452:G6453)</f>
        <v>56700</v>
      </c>
    </row>
    <row r="6455" spans="1:8" s="265" customFormat="1">
      <c r="A6455" s="294" t="s">
        <v>703</v>
      </c>
      <c r="B6455" s="1147" t="s">
        <v>3910</v>
      </c>
      <c r="C6455" s="1147"/>
      <c r="D6455" s="1147"/>
      <c r="E6455" s="1147"/>
      <c r="F6455" s="1147"/>
      <c r="G6455" s="255">
        <f>G6450+G6454</f>
        <v>87095</v>
      </c>
    </row>
    <row r="6456" spans="1:8" s="265" customFormat="1">
      <c r="A6456" s="294" t="s">
        <v>706</v>
      </c>
      <c r="B6456" s="1148" t="s">
        <v>876</v>
      </c>
      <c r="C6456" s="1148"/>
      <c r="D6456" s="1148"/>
      <c r="E6456" s="1147" t="s">
        <v>4030</v>
      </c>
      <c r="F6456" s="1147"/>
      <c r="G6456" s="255">
        <f>G6455*0.15</f>
        <v>13064.25</v>
      </c>
    </row>
    <row r="6457" spans="1:8" s="265" customFormat="1">
      <c r="A6457" s="294" t="s">
        <v>708</v>
      </c>
      <c r="B6457" s="1149" t="s">
        <v>3911</v>
      </c>
      <c r="C6457" s="1149"/>
      <c r="D6457" s="1149"/>
      <c r="E6457" s="1149"/>
      <c r="F6457" s="1149"/>
      <c r="G6457" s="255">
        <f>ROUND(SUM(G6455:G6456),2)</f>
        <v>100159.25</v>
      </c>
      <c r="H6457" s="255">
        <f>SUM(G6455:G6456)</f>
        <v>100159.25</v>
      </c>
    </row>
    <row r="6458" spans="1:8">
      <c r="A6458" s="252"/>
      <c r="B6458" s="251"/>
      <c r="C6458" s="252"/>
      <c r="D6458" s="251"/>
      <c r="E6458" s="378"/>
      <c r="F6458" s="364"/>
      <c r="G6458" s="264"/>
      <c r="H6458" s="253"/>
    </row>
    <row r="6459" spans="1:8">
      <c r="A6459" s="286" t="s">
        <v>4392</v>
      </c>
      <c r="B6459" s="265" t="s">
        <v>3588</v>
      </c>
    </row>
    <row r="6460" spans="1:8" s="292" customFormat="1" ht="24.95" customHeight="1">
      <c r="A6460" s="290" t="s">
        <v>1003</v>
      </c>
      <c r="B6460" s="290" t="s">
        <v>1004</v>
      </c>
      <c r="C6460" s="290" t="s">
        <v>1005</v>
      </c>
      <c r="D6460" s="290" t="s">
        <v>1006</v>
      </c>
      <c r="E6460" s="373" t="s">
        <v>1007</v>
      </c>
      <c r="F6460" s="363" t="s">
        <v>2637</v>
      </c>
      <c r="G6460" s="291" t="s">
        <v>2638</v>
      </c>
    </row>
    <row r="6461" spans="1:8">
      <c r="A6461" s="294" t="s">
        <v>671</v>
      </c>
      <c r="B6461" s="410" t="s">
        <v>672</v>
      </c>
      <c r="C6461" s="247"/>
      <c r="D6461" s="247"/>
      <c r="E6461" s="372"/>
      <c r="F6461" s="360"/>
      <c r="G6461" s="248"/>
    </row>
    <row r="6462" spans="1:8">
      <c r="A6462" s="294"/>
      <c r="B6462" s="410" t="s">
        <v>673</v>
      </c>
      <c r="C6462" s="247" t="s">
        <v>674</v>
      </c>
      <c r="D6462" s="247" t="s">
        <v>675</v>
      </c>
      <c r="E6462" s="372">
        <v>8.1000000000000003E-2</v>
      </c>
      <c r="F6462" s="360">
        <f>'UPAD-BAHAN-ALAT'!$I$12</f>
        <v>110000</v>
      </c>
      <c r="G6462" s="248">
        <f>F6462*E6462</f>
        <v>8910</v>
      </c>
    </row>
    <row r="6463" spans="1:8">
      <c r="A6463" s="294"/>
      <c r="B6463" s="410" t="s">
        <v>731</v>
      </c>
      <c r="C6463" s="247" t="s">
        <v>678</v>
      </c>
      <c r="D6463" s="247" t="s">
        <v>675</v>
      </c>
      <c r="E6463" s="372">
        <v>0.13500000000000001</v>
      </c>
      <c r="F6463" s="360">
        <f>'UPAD-BAHAN-ALAT'!$I$13</f>
        <v>140000</v>
      </c>
      <c r="G6463" s="248">
        <f>F6463*E6463</f>
        <v>18900</v>
      </c>
    </row>
    <row r="6464" spans="1:8">
      <c r="A6464" s="294"/>
      <c r="B6464" s="410" t="s">
        <v>751</v>
      </c>
      <c r="C6464" s="247" t="s">
        <v>681</v>
      </c>
      <c r="D6464" s="247" t="s">
        <v>675</v>
      </c>
      <c r="E6464" s="372">
        <v>1.35E-2</v>
      </c>
      <c r="F6464" s="360">
        <f>'UPAD-BAHAN-ALAT'!$I$15</f>
        <v>150000</v>
      </c>
      <c r="G6464" s="248">
        <f>F6464*E6464</f>
        <v>2025</v>
      </c>
    </row>
    <row r="6465" spans="1:8">
      <c r="A6465" s="294"/>
      <c r="B6465" s="410" t="s">
        <v>683</v>
      </c>
      <c r="C6465" s="247" t="s">
        <v>684</v>
      </c>
      <c r="D6465" s="247" t="s">
        <v>675</v>
      </c>
      <c r="E6465" s="372">
        <v>4.0000000000000001E-3</v>
      </c>
      <c r="F6465" s="360">
        <f>'UPAD-BAHAN-ALAT'!$I$14</f>
        <v>140000</v>
      </c>
      <c r="G6465" s="248">
        <f>F6465*E6465</f>
        <v>560</v>
      </c>
    </row>
    <row r="6466" spans="1:8">
      <c r="A6466" s="294"/>
      <c r="B6466" s="410"/>
      <c r="C6466" s="247"/>
      <c r="D6466" s="247"/>
      <c r="E6466" s="1146" t="s">
        <v>685</v>
      </c>
      <c r="F6466" s="1146"/>
      <c r="G6466" s="248">
        <f>SUM(G6462:G6465)</f>
        <v>30395</v>
      </c>
    </row>
    <row r="6467" spans="1:8">
      <c r="A6467" s="294" t="s">
        <v>686</v>
      </c>
      <c r="B6467" s="410" t="s">
        <v>687</v>
      </c>
      <c r="C6467" s="247"/>
      <c r="D6467" s="247"/>
      <c r="E6467" s="372"/>
      <c r="F6467" s="360"/>
      <c r="G6467" s="248"/>
    </row>
    <row r="6468" spans="1:8">
      <c r="A6468" s="247"/>
      <c r="B6468" s="410" t="s">
        <v>3589</v>
      </c>
      <c r="C6468" s="247"/>
      <c r="D6468" s="247" t="s">
        <v>1452</v>
      </c>
      <c r="E6468" s="372">
        <v>1.2</v>
      </c>
      <c r="F6468" s="360">
        <f>'UPAD-BAHAN-ALAT'!$I$548</f>
        <v>40000</v>
      </c>
      <c r="G6468" s="248">
        <f>F6468*E6468</f>
        <v>48000</v>
      </c>
    </row>
    <row r="6469" spans="1:8">
      <c r="A6469" s="247"/>
      <c r="B6469" s="410" t="s">
        <v>1406</v>
      </c>
      <c r="C6469" s="247"/>
      <c r="D6469" s="247" t="s">
        <v>1411</v>
      </c>
      <c r="E6469" s="372" t="s">
        <v>1453</v>
      </c>
      <c r="F6469" s="360">
        <f>35%*G6468</f>
        <v>16800</v>
      </c>
      <c r="G6469" s="248">
        <f>F6469</f>
        <v>16800</v>
      </c>
    </row>
    <row r="6470" spans="1:8">
      <c r="A6470" s="247"/>
      <c r="B6470" s="295"/>
      <c r="C6470" s="296"/>
      <c r="D6470" s="296"/>
      <c r="E6470" s="1146" t="s">
        <v>702</v>
      </c>
      <c r="F6470" s="1146"/>
      <c r="G6470" s="248">
        <f>SUM(G6468:G6469)</f>
        <v>64800</v>
      </c>
    </row>
    <row r="6471" spans="1:8" s="265" customFormat="1">
      <c r="A6471" s="294" t="s">
        <v>703</v>
      </c>
      <c r="B6471" s="1147" t="s">
        <v>3910</v>
      </c>
      <c r="C6471" s="1147"/>
      <c r="D6471" s="1147"/>
      <c r="E6471" s="1147"/>
      <c r="F6471" s="1147"/>
      <c r="G6471" s="255">
        <f>G6466+G6470</f>
        <v>95195</v>
      </c>
    </row>
    <row r="6472" spans="1:8" s="265" customFormat="1">
      <c r="A6472" s="294" t="s">
        <v>706</v>
      </c>
      <c r="B6472" s="1148" t="s">
        <v>876</v>
      </c>
      <c r="C6472" s="1148"/>
      <c r="D6472" s="1148"/>
      <c r="E6472" s="1147" t="s">
        <v>4030</v>
      </c>
      <c r="F6472" s="1147"/>
      <c r="G6472" s="255">
        <f>G6471*0.15</f>
        <v>14279.25</v>
      </c>
    </row>
    <row r="6473" spans="1:8" s="265" customFormat="1">
      <c r="A6473" s="294" t="s">
        <v>708</v>
      </c>
      <c r="B6473" s="1149" t="s">
        <v>3911</v>
      </c>
      <c r="C6473" s="1149"/>
      <c r="D6473" s="1149"/>
      <c r="E6473" s="1149"/>
      <c r="F6473" s="1149"/>
      <c r="G6473" s="255">
        <f>ROUND(SUM(G6471:G6472),2)</f>
        <v>109474.25</v>
      </c>
      <c r="H6473" s="255">
        <f>SUM(G6471:G6472)</f>
        <v>109474.25</v>
      </c>
    </row>
    <row r="6474" spans="1:8">
      <c r="A6474" s="252"/>
      <c r="B6474" s="251"/>
      <c r="C6474" s="252"/>
      <c r="D6474" s="251"/>
      <c r="E6474" s="378"/>
      <c r="F6474" s="364"/>
      <c r="G6474" s="264"/>
      <c r="H6474" s="253"/>
    </row>
    <row r="6475" spans="1:8">
      <c r="A6475" s="286" t="s">
        <v>4393</v>
      </c>
      <c r="B6475" s="265" t="s">
        <v>3590</v>
      </c>
    </row>
    <row r="6476" spans="1:8" s="292" customFormat="1" ht="24.95" customHeight="1">
      <c r="A6476" s="290" t="s">
        <v>1003</v>
      </c>
      <c r="B6476" s="290" t="s">
        <v>1004</v>
      </c>
      <c r="C6476" s="290" t="s">
        <v>1005</v>
      </c>
      <c r="D6476" s="290" t="s">
        <v>1006</v>
      </c>
      <c r="E6476" s="373" t="s">
        <v>1007</v>
      </c>
      <c r="F6476" s="363" t="s">
        <v>2637</v>
      </c>
      <c r="G6476" s="291" t="s">
        <v>2638</v>
      </c>
    </row>
    <row r="6477" spans="1:8">
      <c r="A6477" s="294" t="s">
        <v>671</v>
      </c>
      <c r="B6477" s="410" t="s">
        <v>672</v>
      </c>
      <c r="C6477" s="247"/>
      <c r="D6477" s="247"/>
      <c r="E6477" s="372"/>
      <c r="F6477" s="360"/>
      <c r="G6477" s="248"/>
    </row>
    <row r="6478" spans="1:8">
      <c r="A6478" s="294"/>
      <c r="B6478" s="410" t="s">
        <v>673</v>
      </c>
      <c r="C6478" s="247" t="s">
        <v>674</v>
      </c>
      <c r="D6478" s="247" t="s">
        <v>675</v>
      </c>
      <c r="E6478" s="372">
        <v>8.1000000000000003E-2</v>
      </c>
      <c r="F6478" s="360">
        <f>'UPAD-BAHAN-ALAT'!$I$12</f>
        <v>110000</v>
      </c>
      <c r="G6478" s="248">
        <f>F6478*E6478</f>
        <v>8910</v>
      </c>
    </row>
    <row r="6479" spans="1:8">
      <c r="A6479" s="294"/>
      <c r="B6479" s="410" t="s">
        <v>731</v>
      </c>
      <c r="C6479" s="247" t="s">
        <v>678</v>
      </c>
      <c r="D6479" s="247" t="s">
        <v>675</v>
      </c>
      <c r="E6479" s="372">
        <v>0.13500000000000001</v>
      </c>
      <c r="F6479" s="360">
        <f>'UPAD-BAHAN-ALAT'!$I$13</f>
        <v>140000</v>
      </c>
      <c r="G6479" s="248">
        <f>F6479*E6479</f>
        <v>18900</v>
      </c>
    </row>
    <row r="6480" spans="1:8">
      <c r="A6480" s="294"/>
      <c r="B6480" s="410" t="s">
        <v>751</v>
      </c>
      <c r="C6480" s="247" t="s">
        <v>681</v>
      </c>
      <c r="D6480" s="247" t="s">
        <v>675</v>
      </c>
      <c r="E6480" s="372">
        <v>1.35E-2</v>
      </c>
      <c r="F6480" s="360">
        <f>'UPAD-BAHAN-ALAT'!$I$15</f>
        <v>150000</v>
      </c>
      <c r="G6480" s="248">
        <f>F6480*E6480</f>
        <v>2025</v>
      </c>
    </row>
    <row r="6481" spans="1:8">
      <c r="A6481" s="294"/>
      <c r="B6481" s="410" t="s">
        <v>683</v>
      </c>
      <c r="C6481" s="247" t="s">
        <v>684</v>
      </c>
      <c r="D6481" s="247" t="s">
        <v>675</v>
      </c>
      <c r="E6481" s="372">
        <v>4.0000000000000001E-3</v>
      </c>
      <c r="F6481" s="360">
        <f>'UPAD-BAHAN-ALAT'!$I$14</f>
        <v>140000</v>
      </c>
      <c r="G6481" s="248">
        <f>F6481*E6481</f>
        <v>560</v>
      </c>
    </row>
    <row r="6482" spans="1:8">
      <c r="A6482" s="294"/>
      <c r="B6482" s="410"/>
      <c r="C6482" s="247"/>
      <c r="D6482" s="247"/>
      <c r="E6482" s="1146" t="s">
        <v>685</v>
      </c>
      <c r="F6482" s="1146"/>
      <c r="G6482" s="248">
        <f>SUM(G6478:G6481)</f>
        <v>30395</v>
      </c>
    </row>
    <row r="6483" spans="1:8">
      <c r="A6483" s="294" t="s">
        <v>686</v>
      </c>
      <c r="B6483" s="410" t="s">
        <v>687</v>
      </c>
      <c r="C6483" s="247"/>
      <c r="D6483" s="247"/>
      <c r="E6483" s="372"/>
      <c r="F6483" s="360"/>
      <c r="G6483" s="248"/>
    </row>
    <row r="6484" spans="1:8">
      <c r="A6484" s="247"/>
      <c r="B6484" s="410" t="s">
        <v>3591</v>
      </c>
      <c r="C6484" s="247"/>
      <c r="D6484" s="247" t="s">
        <v>1452</v>
      </c>
      <c r="E6484" s="372">
        <v>1.2</v>
      </c>
      <c r="F6484" s="360">
        <f>'UPAD-BAHAN-ALAT'!$I$549</f>
        <v>50000</v>
      </c>
      <c r="G6484" s="248">
        <f>F6484*E6484</f>
        <v>60000</v>
      </c>
    </row>
    <row r="6485" spans="1:8">
      <c r="A6485" s="247"/>
      <c r="B6485" s="410" t="s">
        <v>1406</v>
      </c>
      <c r="C6485" s="247"/>
      <c r="D6485" s="247" t="s">
        <v>1411</v>
      </c>
      <c r="E6485" s="372" t="s">
        <v>1453</v>
      </c>
      <c r="F6485" s="360">
        <f>35%*G6484</f>
        <v>21000</v>
      </c>
      <c r="G6485" s="248">
        <f>F6485</f>
        <v>21000</v>
      </c>
    </row>
    <row r="6486" spans="1:8">
      <c r="A6486" s="247"/>
      <c r="B6486" s="295"/>
      <c r="C6486" s="296"/>
      <c r="D6486" s="296"/>
      <c r="E6486" s="1146" t="s">
        <v>702</v>
      </c>
      <c r="F6486" s="1146"/>
      <c r="G6486" s="248">
        <f>SUM(G6484:G6485)</f>
        <v>81000</v>
      </c>
    </row>
    <row r="6487" spans="1:8" s="265" customFormat="1">
      <c r="A6487" s="294" t="s">
        <v>703</v>
      </c>
      <c r="B6487" s="1147" t="s">
        <v>3910</v>
      </c>
      <c r="C6487" s="1147"/>
      <c r="D6487" s="1147"/>
      <c r="E6487" s="1147"/>
      <c r="F6487" s="1147"/>
      <c r="G6487" s="255">
        <f>G6482+G6486</f>
        <v>111395</v>
      </c>
    </row>
    <row r="6488" spans="1:8" s="265" customFormat="1">
      <c r="A6488" s="294" t="s">
        <v>706</v>
      </c>
      <c r="B6488" s="1148" t="s">
        <v>876</v>
      </c>
      <c r="C6488" s="1148"/>
      <c r="D6488" s="1148"/>
      <c r="E6488" s="1147" t="s">
        <v>4030</v>
      </c>
      <c r="F6488" s="1147"/>
      <c r="G6488" s="255">
        <f>G6487*0.15</f>
        <v>16709.25</v>
      </c>
    </row>
    <row r="6489" spans="1:8" s="265" customFormat="1">
      <c r="A6489" s="294" t="s">
        <v>708</v>
      </c>
      <c r="B6489" s="1149" t="s">
        <v>3911</v>
      </c>
      <c r="C6489" s="1149"/>
      <c r="D6489" s="1149"/>
      <c r="E6489" s="1149"/>
      <c r="F6489" s="1149"/>
      <c r="G6489" s="255">
        <f>ROUND(SUM(G6487:G6488),2)</f>
        <v>128104.25</v>
      </c>
      <c r="H6489" s="255">
        <f>SUM(G6487:G6488)</f>
        <v>128104.25</v>
      </c>
    </row>
    <row r="6490" spans="1:8">
      <c r="A6490" s="252"/>
      <c r="B6490" s="251"/>
      <c r="C6490" s="252"/>
      <c r="D6490" s="251"/>
      <c r="E6490" s="378"/>
      <c r="F6490" s="364"/>
      <c r="G6490" s="264"/>
      <c r="H6490" s="253"/>
    </row>
    <row r="6491" spans="1:8">
      <c r="A6491" s="286" t="s">
        <v>4394</v>
      </c>
      <c r="B6491" s="265" t="s">
        <v>3592</v>
      </c>
    </row>
    <row r="6492" spans="1:8" s="292" customFormat="1" ht="24.95" customHeight="1">
      <c r="A6492" s="290" t="s">
        <v>1003</v>
      </c>
      <c r="B6492" s="290" t="s">
        <v>1004</v>
      </c>
      <c r="C6492" s="290" t="s">
        <v>1005</v>
      </c>
      <c r="D6492" s="290" t="s">
        <v>1006</v>
      </c>
      <c r="E6492" s="373" t="s">
        <v>1007</v>
      </c>
      <c r="F6492" s="363" t="s">
        <v>2637</v>
      </c>
      <c r="G6492" s="291" t="s">
        <v>2638</v>
      </c>
    </row>
    <row r="6493" spans="1:8">
      <c r="A6493" s="294" t="s">
        <v>671</v>
      </c>
      <c r="B6493" s="410" t="s">
        <v>672</v>
      </c>
      <c r="C6493" s="247"/>
      <c r="D6493" s="247"/>
      <c r="E6493" s="372"/>
      <c r="F6493" s="360"/>
      <c r="G6493" s="248"/>
    </row>
    <row r="6494" spans="1:8">
      <c r="A6494" s="294"/>
      <c r="B6494" s="410" t="s">
        <v>673</v>
      </c>
      <c r="C6494" s="247" t="s">
        <v>674</v>
      </c>
      <c r="D6494" s="247" t="s">
        <v>675</v>
      </c>
      <c r="E6494" s="372">
        <v>8.1000000000000003E-2</v>
      </c>
      <c r="F6494" s="360">
        <f>'UPAD-BAHAN-ALAT'!$I$12</f>
        <v>110000</v>
      </c>
      <c r="G6494" s="248">
        <f>F6494*E6494</f>
        <v>8910</v>
      </c>
    </row>
    <row r="6495" spans="1:8">
      <c r="A6495" s="294"/>
      <c r="B6495" s="410" t="s">
        <v>731</v>
      </c>
      <c r="C6495" s="247" t="s">
        <v>678</v>
      </c>
      <c r="D6495" s="247" t="s">
        <v>675</v>
      </c>
      <c r="E6495" s="372">
        <v>0.13500000000000001</v>
      </c>
      <c r="F6495" s="360">
        <f>'UPAD-BAHAN-ALAT'!$I$13</f>
        <v>140000</v>
      </c>
      <c r="G6495" s="248">
        <f>F6495*E6495</f>
        <v>18900</v>
      </c>
    </row>
    <row r="6496" spans="1:8">
      <c r="A6496" s="294"/>
      <c r="B6496" s="410" t="s">
        <v>751</v>
      </c>
      <c r="C6496" s="247" t="s">
        <v>681</v>
      </c>
      <c r="D6496" s="247" t="s">
        <v>675</v>
      </c>
      <c r="E6496" s="372">
        <v>1.35E-2</v>
      </c>
      <c r="F6496" s="360">
        <f>'UPAD-BAHAN-ALAT'!$I$15</f>
        <v>150000</v>
      </c>
      <c r="G6496" s="248">
        <f>F6496*E6496</f>
        <v>2025</v>
      </c>
    </row>
    <row r="6497" spans="1:8">
      <c r="A6497" s="294"/>
      <c r="B6497" s="410" t="s">
        <v>683</v>
      </c>
      <c r="C6497" s="247" t="s">
        <v>684</v>
      </c>
      <c r="D6497" s="247" t="s">
        <v>675</v>
      </c>
      <c r="E6497" s="372">
        <v>4.0000000000000001E-3</v>
      </c>
      <c r="F6497" s="360">
        <f>'UPAD-BAHAN-ALAT'!$I$14</f>
        <v>140000</v>
      </c>
      <c r="G6497" s="248">
        <f>F6497*E6497</f>
        <v>560</v>
      </c>
    </row>
    <row r="6498" spans="1:8">
      <c r="A6498" s="294"/>
      <c r="B6498" s="410"/>
      <c r="C6498" s="247"/>
      <c r="D6498" s="247"/>
      <c r="E6498" s="1146" t="s">
        <v>685</v>
      </c>
      <c r="F6498" s="1146"/>
      <c r="G6498" s="248">
        <f>SUM(G6494:G6497)</f>
        <v>30395</v>
      </c>
    </row>
    <row r="6499" spans="1:8">
      <c r="A6499" s="294" t="s">
        <v>686</v>
      </c>
      <c r="B6499" s="410" t="s">
        <v>687</v>
      </c>
      <c r="C6499" s="247"/>
      <c r="D6499" s="247"/>
      <c r="E6499" s="372"/>
      <c r="F6499" s="360"/>
      <c r="G6499" s="248"/>
    </row>
    <row r="6500" spans="1:8">
      <c r="A6500" s="294"/>
      <c r="B6500" s="410" t="s">
        <v>3593</v>
      </c>
      <c r="C6500" s="247"/>
      <c r="D6500" s="247" t="s">
        <v>2958</v>
      </c>
      <c r="E6500" s="372">
        <v>1.35E-2</v>
      </c>
      <c r="F6500" s="360">
        <f>'UPAD-BAHAN-ALAT'!$I$76</f>
        <v>65000</v>
      </c>
      <c r="G6500" s="248">
        <f>F6500*E6500</f>
        <v>877.5</v>
      </c>
    </row>
    <row r="6501" spans="1:8">
      <c r="A6501" s="294"/>
      <c r="B6501" s="410" t="s">
        <v>808</v>
      </c>
      <c r="C6501" s="247"/>
      <c r="D6501" s="247" t="s">
        <v>2646</v>
      </c>
      <c r="E6501" s="372">
        <v>1.4E-3</v>
      </c>
      <c r="F6501" s="360">
        <f>'UPAD-BAHAN-ALAT'!$I$71</f>
        <v>176000</v>
      </c>
      <c r="G6501" s="248">
        <f>F6501*E6501</f>
        <v>246.4</v>
      </c>
    </row>
    <row r="6502" spans="1:8">
      <c r="A6502" s="294"/>
      <c r="B6502" s="410" t="s">
        <v>3267</v>
      </c>
      <c r="C6502" s="247"/>
      <c r="D6502" s="247" t="s">
        <v>1423</v>
      </c>
      <c r="E6502" s="372">
        <v>1</v>
      </c>
      <c r="F6502" s="360">
        <f>'UPAD-BAHAN-ALAT'!$I$527</f>
        <v>48300</v>
      </c>
      <c r="G6502" s="248">
        <f>F6502*E6502</f>
        <v>48300</v>
      </c>
    </row>
    <row r="6503" spans="1:8">
      <c r="A6503" s="247"/>
      <c r="B6503" s="410"/>
      <c r="C6503" s="247"/>
      <c r="D6503" s="247"/>
      <c r="E6503" s="1155" t="s">
        <v>702</v>
      </c>
      <c r="F6503" s="1155"/>
      <c r="G6503" s="248">
        <f>SUM(G6500:G6502)</f>
        <v>49423.9</v>
      </c>
    </row>
    <row r="6504" spans="1:8" s="265" customFormat="1">
      <c r="A6504" s="294" t="s">
        <v>703</v>
      </c>
      <c r="B6504" s="1151" t="s">
        <v>3910</v>
      </c>
      <c r="C6504" s="1151"/>
      <c r="D6504" s="1151"/>
      <c r="E6504" s="1151"/>
      <c r="F6504" s="1151"/>
      <c r="G6504" s="255">
        <f>G6498+G6503</f>
        <v>79818.899999999994</v>
      </c>
    </row>
    <row r="6505" spans="1:8" s="265" customFormat="1">
      <c r="A6505" s="294" t="s">
        <v>706</v>
      </c>
      <c r="B6505" s="1148" t="s">
        <v>876</v>
      </c>
      <c r="C6505" s="1148"/>
      <c r="D6505" s="1148"/>
      <c r="E6505" s="1147" t="s">
        <v>4030</v>
      </c>
      <c r="F6505" s="1147"/>
      <c r="G6505" s="255">
        <f>G6504*0.15</f>
        <v>11972.834999999999</v>
      </c>
    </row>
    <row r="6506" spans="1:8" s="265" customFormat="1">
      <c r="A6506" s="294" t="s">
        <v>708</v>
      </c>
      <c r="B6506" s="1149" t="s">
        <v>3911</v>
      </c>
      <c r="C6506" s="1149"/>
      <c r="D6506" s="1149"/>
      <c r="E6506" s="1149"/>
      <c r="F6506" s="1149"/>
      <c r="G6506" s="255">
        <f>ROUND(SUM(G6504:G6505),2)</f>
        <v>91791.74</v>
      </c>
      <c r="H6506" s="255">
        <f>SUM(G6504:G6505)</f>
        <v>91791.734999999986</v>
      </c>
    </row>
    <row r="6507" spans="1:8">
      <c r="A6507" s="252"/>
      <c r="B6507" s="251"/>
      <c r="C6507" s="252"/>
      <c r="D6507" s="251"/>
      <c r="E6507" s="378"/>
      <c r="F6507" s="364"/>
      <c r="G6507" s="264"/>
      <c r="H6507" s="253"/>
    </row>
    <row r="6508" spans="1:8">
      <c r="A6508" s="286" t="s">
        <v>4395</v>
      </c>
      <c r="B6508" s="265" t="s">
        <v>3594</v>
      </c>
    </row>
    <row r="6509" spans="1:8" s="292" customFormat="1" ht="24.95" customHeight="1">
      <c r="A6509" s="290" t="s">
        <v>1003</v>
      </c>
      <c r="B6509" s="290" t="s">
        <v>1004</v>
      </c>
      <c r="C6509" s="290" t="s">
        <v>1005</v>
      </c>
      <c r="D6509" s="290" t="s">
        <v>1006</v>
      </c>
      <c r="E6509" s="373" t="s">
        <v>1007</v>
      </c>
      <c r="F6509" s="363" t="s">
        <v>2637</v>
      </c>
      <c r="G6509" s="291" t="s">
        <v>2638</v>
      </c>
    </row>
    <row r="6510" spans="1:8">
      <c r="A6510" s="294" t="s">
        <v>671</v>
      </c>
      <c r="B6510" s="410" t="s">
        <v>672</v>
      </c>
      <c r="C6510" s="247"/>
      <c r="D6510" s="247"/>
      <c r="E6510" s="372"/>
      <c r="F6510" s="360"/>
      <c r="G6510" s="248"/>
    </row>
    <row r="6511" spans="1:8">
      <c r="A6511" s="294"/>
      <c r="B6511" s="410" t="s">
        <v>673</v>
      </c>
      <c r="C6511" s="247" t="s">
        <v>674</v>
      </c>
      <c r="D6511" s="247" t="s">
        <v>675</v>
      </c>
      <c r="E6511" s="372">
        <v>8.1000000000000003E-2</v>
      </c>
      <c r="F6511" s="360">
        <f>'UPAD-BAHAN-ALAT'!$I$12</f>
        <v>110000</v>
      </c>
      <c r="G6511" s="248">
        <f>F6511*E6511</f>
        <v>8910</v>
      </c>
    </row>
    <row r="6512" spans="1:8">
      <c r="A6512" s="294"/>
      <c r="B6512" s="410" t="s">
        <v>731</v>
      </c>
      <c r="C6512" s="247" t="s">
        <v>678</v>
      </c>
      <c r="D6512" s="247" t="s">
        <v>675</v>
      </c>
      <c r="E6512" s="372">
        <v>0.13500000000000001</v>
      </c>
      <c r="F6512" s="360">
        <f>'UPAD-BAHAN-ALAT'!$I$13</f>
        <v>140000</v>
      </c>
      <c r="G6512" s="248">
        <f>F6512*E6512</f>
        <v>18900</v>
      </c>
    </row>
    <row r="6513" spans="1:8">
      <c r="A6513" s="294"/>
      <c r="B6513" s="410" t="s">
        <v>751</v>
      </c>
      <c r="C6513" s="247" t="s">
        <v>681</v>
      </c>
      <c r="D6513" s="247" t="s">
        <v>675</v>
      </c>
      <c r="E6513" s="372">
        <v>1.35E-2</v>
      </c>
      <c r="F6513" s="360">
        <f>'UPAD-BAHAN-ALAT'!$I$15</f>
        <v>150000</v>
      </c>
      <c r="G6513" s="248">
        <f>F6513*E6513</f>
        <v>2025</v>
      </c>
    </row>
    <row r="6514" spans="1:8">
      <c r="A6514" s="294"/>
      <c r="B6514" s="410" t="s">
        <v>683</v>
      </c>
      <c r="C6514" s="247" t="s">
        <v>684</v>
      </c>
      <c r="D6514" s="247" t="s">
        <v>675</v>
      </c>
      <c r="E6514" s="372">
        <v>4.0000000000000001E-3</v>
      </c>
      <c r="F6514" s="360">
        <f>'UPAD-BAHAN-ALAT'!$I$14</f>
        <v>140000</v>
      </c>
      <c r="G6514" s="248">
        <f>F6514*E6514</f>
        <v>560</v>
      </c>
    </row>
    <row r="6515" spans="1:8">
      <c r="A6515" s="294"/>
      <c r="B6515" s="410"/>
      <c r="C6515" s="247"/>
      <c r="D6515" s="247"/>
      <c r="E6515" s="1146" t="s">
        <v>685</v>
      </c>
      <c r="F6515" s="1146"/>
      <c r="G6515" s="248">
        <f>SUM(G6511:G6514)</f>
        <v>30395</v>
      </c>
    </row>
    <row r="6516" spans="1:8">
      <c r="A6516" s="294" t="s">
        <v>686</v>
      </c>
      <c r="B6516" s="410" t="s">
        <v>687</v>
      </c>
      <c r="C6516" s="247"/>
      <c r="D6516" s="247"/>
      <c r="E6516" s="372"/>
      <c r="F6516" s="360"/>
      <c r="G6516" s="248"/>
    </row>
    <row r="6517" spans="1:8">
      <c r="A6517" s="294"/>
      <c r="B6517" s="410" t="s">
        <v>3593</v>
      </c>
      <c r="C6517" s="247"/>
      <c r="D6517" s="247" t="s">
        <v>2958</v>
      </c>
      <c r="E6517" s="372">
        <v>1.35E-2</v>
      </c>
      <c r="F6517" s="360">
        <f>'UPAD-BAHAN-ALAT'!$I$76</f>
        <v>65000</v>
      </c>
      <c r="G6517" s="248">
        <f>F6517*E6517</f>
        <v>877.5</v>
      </c>
    </row>
    <row r="6518" spans="1:8">
      <c r="A6518" s="247"/>
      <c r="B6518" s="410" t="s">
        <v>808</v>
      </c>
      <c r="C6518" s="247"/>
      <c r="D6518" s="247" t="s">
        <v>2646</v>
      </c>
      <c r="E6518" s="372">
        <v>1.4E-3</v>
      </c>
      <c r="F6518" s="360">
        <f>'UPAD-BAHAN-ALAT'!$I$71</f>
        <v>176000</v>
      </c>
      <c r="G6518" s="248">
        <f>F6518*E6518</f>
        <v>246.4</v>
      </c>
    </row>
    <row r="6519" spans="1:8">
      <c r="A6519" s="247"/>
      <c r="B6519" s="410" t="s">
        <v>3268</v>
      </c>
      <c r="C6519" s="247"/>
      <c r="D6519" s="247" t="s">
        <v>1423</v>
      </c>
      <c r="E6519" s="372">
        <v>1</v>
      </c>
      <c r="F6519" s="360">
        <f>'UPAD-BAHAN-ALAT'!$I$528</f>
        <v>80000</v>
      </c>
      <c r="G6519" s="248">
        <f>F6519*E6519</f>
        <v>80000</v>
      </c>
    </row>
    <row r="6520" spans="1:8">
      <c r="A6520" s="247"/>
      <c r="B6520" s="295"/>
      <c r="C6520" s="296"/>
      <c r="D6520" s="296"/>
      <c r="E6520" s="1146" t="s">
        <v>702</v>
      </c>
      <c r="F6520" s="1146"/>
      <c r="G6520" s="248">
        <f>SUM(G6517:G6519)</f>
        <v>81123.899999999994</v>
      </c>
    </row>
    <row r="6521" spans="1:8" s="265" customFormat="1">
      <c r="A6521" s="294" t="s">
        <v>703</v>
      </c>
      <c r="B6521" s="1147" t="s">
        <v>3910</v>
      </c>
      <c r="C6521" s="1147"/>
      <c r="D6521" s="1147"/>
      <c r="E6521" s="1147"/>
      <c r="F6521" s="1147"/>
      <c r="G6521" s="255">
        <f>G6515+G6520</f>
        <v>111518.9</v>
      </c>
    </row>
    <row r="6522" spans="1:8" s="265" customFormat="1">
      <c r="A6522" s="294" t="s">
        <v>706</v>
      </c>
      <c r="B6522" s="1148" t="s">
        <v>876</v>
      </c>
      <c r="C6522" s="1148"/>
      <c r="D6522" s="1148"/>
      <c r="E6522" s="1147" t="s">
        <v>4030</v>
      </c>
      <c r="F6522" s="1147"/>
      <c r="G6522" s="255">
        <f>G6521*0.15</f>
        <v>16727.834999999999</v>
      </c>
    </row>
    <row r="6523" spans="1:8" s="265" customFormat="1">
      <c r="A6523" s="294" t="s">
        <v>708</v>
      </c>
      <c r="B6523" s="1149" t="s">
        <v>3911</v>
      </c>
      <c r="C6523" s="1149"/>
      <c r="D6523" s="1149"/>
      <c r="E6523" s="1149"/>
      <c r="F6523" s="1149"/>
      <c r="G6523" s="255">
        <f>ROUND(SUM(G6521:G6522),2)</f>
        <v>128246.74</v>
      </c>
      <c r="H6523" s="255">
        <f>SUM(G6521:G6522)</f>
        <v>128246.73499999999</v>
      </c>
    </row>
    <row r="6524" spans="1:8">
      <c r="A6524" s="252"/>
      <c r="B6524" s="251"/>
      <c r="C6524" s="252"/>
      <c r="D6524" s="251"/>
      <c r="E6524" s="378"/>
      <c r="F6524" s="364"/>
      <c r="G6524" s="264"/>
      <c r="H6524" s="253"/>
    </row>
    <row r="6525" spans="1:8">
      <c r="A6525" s="286" t="s">
        <v>4396</v>
      </c>
      <c r="B6525" s="265" t="s">
        <v>3595</v>
      </c>
    </row>
    <row r="6526" spans="1:8" s="292" customFormat="1" ht="24.95" customHeight="1">
      <c r="A6526" s="290" t="s">
        <v>1003</v>
      </c>
      <c r="B6526" s="290" t="s">
        <v>1004</v>
      </c>
      <c r="C6526" s="290" t="s">
        <v>1005</v>
      </c>
      <c r="D6526" s="290" t="s">
        <v>1006</v>
      </c>
      <c r="E6526" s="373" t="s">
        <v>1007</v>
      </c>
      <c r="F6526" s="363" t="s">
        <v>2637</v>
      </c>
      <c r="G6526" s="291" t="s">
        <v>2638</v>
      </c>
    </row>
    <row r="6527" spans="1:8">
      <c r="A6527" s="294" t="s">
        <v>671</v>
      </c>
      <c r="B6527" s="410" t="s">
        <v>672</v>
      </c>
      <c r="C6527" s="247"/>
      <c r="D6527" s="247"/>
      <c r="E6527" s="372"/>
      <c r="F6527" s="360"/>
      <c r="G6527" s="248"/>
    </row>
    <row r="6528" spans="1:8">
      <c r="A6528" s="294"/>
      <c r="B6528" s="410" t="s">
        <v>673</v>
      </c>
      <c r="C6528" s="247" t="s">
        <v>674</v>
      </c>
      <c r="D6528" s="247" t="s">
        <v>675</v>
      </c>
      <c r="E6528" s="372">
        <v>8.1000000000000003E-2</v>
      </c>
      <c r="F6528" s="360">
        <f>'UPAD-BAHAN-ALAT'!$I$12</f>
        <v>110000</v>
      </c>
      <c r="G6528" s="248">
        <f>F6528*E6528</f>
        <v>8910</v>
      </c>
    </row>
    <row r="6529" spans="1:8">
      <c r="A6529" s="294"/>
      <c r="B6529" s="410" t="s">
        <v>731</v>
      </c>
      <c r="C6529" s="247" t="s">
        <v>678</v>
      </c>
      <c r="D6529" s="247" t="s">
        <v>675</v>
      </c>
      <c r="E6529" s="372">
        <v>0.13500000000000001</v>
      </c>
      <c r="F6529" s="360">
        <f>'UPAD-BAHAN-ALAT'!$I$13</f>
        <v>140000</v>
      </c>
      <c r="G6529" s="248">
        <f>F6529*E6529</f>
        <v>18900</v>
      </c>
    </row>
    <row r="6530" spans="1:8">
      <c r="A6530" s="294"/>
      <c r="B6530" s="410" t="s">
        <v>751</v>
      </c>
      <c r="C6530" s="247" t="s">
        <v>681</v>
      </c>
      <c r="D6530" s="247" t="s">
        <v>675</v>
      </c>
      <c r="E6530" s="372">
        <v>1.35E-2</v>
      </c>
      <c r="F6530" s="360">
        <f>'UPAD-BAHAN-ALAT'!$I$15</f>
        <v>150000</v>
      </c>
      <c r="G6530" s="248">
        <f>F6530*E6530</f>
        <v>2025</v>
      </c>
    </row>
    <row r="6531" spans="1:8">
      <c r="A6531" s="294"/>
      <c r="B6531" s="410" t="s">
        <v>683</v>
      </c>
      <c r="C6531" s="247" t="s">
        <v>684</v>
      </c>
      <c r="D6531" s="247" t="s">
        <v>675</v>
      </c>
      <c r="E6531" s="372">
        <v>4.0000000000000001E-3</v>
      </c>
      <c r="F6531" s="360">
        <f>'UPAD-BAHAN-ALAT'!$I$14</f>
        <v>140000</v>
      </c>
      <c r="G6531" s="248">
        <f>F6531*E6531</f>
        <v>560</v>
      </c>
    </row>
    <row r="6532" spans="1:8">
      <c r="A6532" s="294"/>
      <c r="B6532" s="410"/>
      <c r="C6532" s="247"/>
      <c r="D6532" s="247"/>
      <c r="E6532" s="1146" t="s">
        <v>685</v>
      </c>
      <c r="F6532" s="1146"/>
      <c r="G6532" s="248">
        <f>SUM(G6528:G6531)</f>
        <v>30395</v>
      </c>
    </row>
    <row r="6533" spans="1:8">
      <c r="A6533" s="294" t="s">
        <v>686</v>
      </c>
      <c r="B6533" s="410" t="s">
        <v>687</v>
      </c>
      <c r="C6533" s="247"/>
      <c r="D6533" s="247"/>
      <c r="E6533" s="372"/>
      <c r="F6533" s="360"/>
      <c r="G6533" s="248"/>
    </row>
    <row r="6534" spans="1:8">
      <c r="A6534" s="247"/>
      <c r="B6534" s="410" t="s">
        <v>3593</v>
      </c>
      <c r="C6534" s="247"/>
      <c r="D6534" s="247" t="s">
        <v>2958</v>
      </c>
      <c r="E6534" s="372">
        <v>1.35E-2</v>
      </c>
      <c r="F6534" s="360">
        <f>'UPAD-BAHAN-ALAT'!$I$76</f>
        <v>65000</v>
      </c>
      <c r="G6534" s="248">
        <f>F6534*E6534</f>
        <v>877.5</v>
      </c>
    </row>
    <row r="6535" spans="1:8">
      <c r="A6535" s="247"/>
      <c r="B6535" s="410" t="s">
        <v>808</v>
      </c>
      <c r="C6535" s="247"/>
      <c r="D6535" s="247" t="s">
        <v>2646</v>
      </c>
      <c r="E6535" s="372">
        <v>1.4E-3</v>
      </c>
      <c r="F6535" s="360">
        <f>'UPAD-BAHAN-ALAT'!$I$71</f>
        <v>176000</v>
      </c>
      <c r="G6535" s="248">
        <f>F6535*E6535</f>
        <v>246.4</v>
      </c>
    </row>
    <row r="6536" spans="1:8">
      <c r="A6536" s="247"/>
      <c r="B6536" s="410" t="s">
        <v>3269</v>
      </c>
      <c r="C6536" s="247"/>
      <c r="D6536" s="247" t="s">
        <v>1423</v>
      </c>
      <c r="E6536" s="372">
        <v>1</v>
      </c>
      <c r="F6536" s="360">
        <f>'UPAD-BAHAN-ALAT'!$I$529</f>
        <v>110000</v>
      </c>
      <c r="G6536" s="248">
        <f>F6536*E6536</f>
        <v>110000</v>
      </c>
    </row>
    <row r="6537" spans="1:8">
      <c r="A6537" s="247"/>
      <c r="B6537" s="295"/>
      <c r="C6537" s="296"/>
      <c r="D6537" s="296"/>
      <c r="E6537" s="1146" t="s">
        <v>702</v>
      </c>
      <c r="F6537" s="1146"/>
      <c r="G6537" s="248">
        <f>SUM(G6534:G6536)</f>
        <v>111123.9</v>
      </c>
    </row>
    <row r="6538" spans="1:8" s="265" customFormat="1">
      <c r="A6538" s="294" t="s">
        <v>703</v>
      </c>
      <c r="B6538" s="1147" t="s">
        <v>3910</v>
      </c>
      <c r="C6538" s="1147"/>
      <c r="D6538" s="1147"/>
      <c r="E6538" s="1147"/>
      <c r="F6538" s="1147"/>
      <c r="G6538" s="255">
        <f>G6532+G6537</f>
        <v>141518.9</v>
      </c>
    </row>
    <row r="6539" spans="1:8" s="265" customFormat="1">
      <c r="A6539" s="294" t="s">
        <v>706</v>
      </c>
      <c r="B6539" s="1148" t="s">
        <v>876</v>
      </c>
      <c r="C6539" s="1148"/>
      <c r="D6539" s="1148"/>
      <c r="E6539" s="1147" t="s">
        <v>4030</v>
      </c>
      <c r="F6539" s="1147"/>
      <c r="G6539" s="255">
        <f>G6538*0.15</f>
        <v>21227.834999999999</v>
      </c>
    </row>
    <row r="6540" spans="1:8" s="265" customFormat="1">
      <c r="A6540" s="294" t="s">
        <v>708</v>
      </c>
      <c r="B6540" s="1149" t="s">
        <v>3911</v>
      </c>
      <c r="C6540" s="1149"/>
      <c r="D6540" s="1149"/>
      <c r="E6540" s="1149"/>
      <c r="F6540" s="1149"/>
      <c r="G6540" s="255">
        <f>ROUND(SUM(G6538:G6539),2)</f>
        <v>162746.74</v>
      </c>
      <c r="H6540" s="255">
        <f>SUM(G6538:G6539)</f>
        <v>162746.73499999999</v>
      </c>
    </row>
    <row r="6541" spans="1:8">
      <c r="A6541" s="252"/>
      <c r="B6541" s="251"/>
      <c r="C6541" s="252"/>
      <c r="D6541" s="251"/>
      <c r="E6541" s="378"/>
      <c r="F6541" s="364"/>
      <c r="G6541" s="264"/>
      <c r="H6541" s="253"/>
    </row>
    <row r="6542" spans="1:8">
      <c r="A6542" s="286" t="s">
        <v>4397</v>
      </c>
      <c r="B6542" s="265" t="s">
        <v>3596</v>
      </c>
    </row>
    <row r="6543" spans="1:8" s="292" customFormat="1" ht="24.95" customHeight="1">
      <c r="A6543" s="290" t="s">
        <v>1003</v>
      </c>
      <c r="B6543" s="290" t="s">
        <v>1004</v>
      </c>
      <c r="C6543" s="290" t="s">
        <v>1005</v>
      </c>
      <c r="D6543" s="290" t="s">
        <v>1006</v>
      </c>
      <c r="E6543" s="373" t="s">
        <v>1007</v>
      </c>
      <c r="F6543" s="363" t="s">
        <v>2637</v>
      </c>
      <c r="G6543" s="291" t="s">
        <v>2638</v>
      </c>
    </row>
    <row r="6544" spans="1:8">
      <c r="A6544" s="294" t="s">
        <v>671</v>
      </c>
      <c r="B6544" s="410" t="s">
        <v>672</v>
      </c>
      <c r="C6544" s="247"/>
      <c r="D6544" s="247"/>
      <c r="E6544" s="372"/>
      <c r="F6544" s="360"/>
      <c r="G6544" s="248"/>
    </row>
    <row r="6545" spans="1:8">
      <c r="A6545" s="294"/>
      <c r="B6545" s="410" t="s">
        <v>673</v>
      </c>
      <c r="C6545" s="247" t="s">
        <v>674</v>
      </c>
      <c r="D6545" s="247" t="s">
        <v>675</v>
      </c>
      <c r="E6545" s="372">
        <v>8.1000000000000003E-2</v>
      </c>
      <c r="F6545" s="360">
        <f>'UPAD-BAHAN-ALAT'!$I$12</f>
        <v>110000</v>
      </c>
      <c r="G6545" s="248">
        <f>F6545*E6545</f>
        <v>8910</v>
      </c>
    </row>
    <row r="6546" spans="1:8">
      <c r="A6546" s="294"/>
      <c r="B6546" s="410" t="s">
        <v>731</v>
      </c>
      <c r="C6546" s="247" t="s">
        <v>678</v>
      </c>
      <c r="D6546" s="247" t="s">
        <v>675</v>
      </c>
      <c r="E6546" s="372">
        <v>0.13500000000000001</v>
      </c>
      <c r="F6546" s="360">
        <f>'UPAD-BAHAN-ALAT'!$I$13</f>
        <v>140000</v>
      </c>
      <c r="G6546" s="248">
        <f>F6546*E6546</f>
        <v>18900</v>
      </c>
    </row>
    <row r="6547" spans="1:8">
      <c r="A6547" s="294"/>
      <c r="B6547" s="410" t="s">
        <v>751</v>
      </c>
      <c r="C6547" s="247" t="s">
        <v>681</v>
      </c>
      <c r="D6547" s="247" t="s">
        <v>675</v>
      </c>
      <c r="E6547" s="372">
        <v>1.35E-2</v>
      </c>
      <c r="F6547" s="360">
        <f>'UPAD-BAHAN-ALAT'!$I$15</f>
        <v>150000</v>
      </c>
      <c r="G6547" s="248">
        <f>F6547*E6547</f>
        <v>2025</v>
      </c>
    </row>
    <row r="6548" spans="1:8">
      <c r="A6548" s="294"/>
      <c r="B6548" s="410" t="s">
        <v>683</v>
      </c>
      <c r="C6548" s="247" t="s">
        <v>684</v>
      </c>
      <c r="D6548" s="247" t="s">
        <v>675</v>
      </c>
      <c r="E6548" s="372">
        <v>4.0000000000000001E-3</v>
      </c>
      <c r="F6548" s="360">
        <f>'UPAD-BAHAN-ALAT'!$I$14</f>
        <v>140000</v>
      </c>
      <c r="G6548" s="248">
        <f>F6548*E6548</f>
        <v>560</v>
      </c>
    </row>
    <row r="6549" spans="1:8">
      <c r="A6549" s="294"/>
      <c r="B6549" s="410"/>
      <c r="C6549" s="247"/>
      <c r="D6549" s="247"/>
      <c r="E6549" s="1146" t="s">
        <v>685</v>
      </c>
      <c r="F6549" s="1146"/>
      <c r="G6549" s="248">
        <f>SUM(G6545:G6548)</f>
        <v>30395</v>
      </c>
    </row>
    <row r="6550" spans="1:8">
      <c r="A6550" s="294" t="s">
        <v>686</v>
      </c>
      <c r="B6550" s="410" t="s">
        <v>687</v>
      </c>
      <c r="C6550" s="247"/>
      <c r="D6550" s="247"/>
      <c r="E6550" s="372"/>
      <c r="F6550" s="360"/>
      <c r="G6550" s="248"/>
    </row>
    <row r="6551" spans="1:8">
      <c r="A6551" s="247"/>
      <c r="B6551" s="410" t="s">
        <v>3593</v>
      </c>
      <c r="C6551" s="247"/>
      <c r="D6551" s="247" t="s">
        <v>2958</v>
      </c>
      <c r="E6551" s="372">
        <v>1.018</v>
      </c>
      <c r="F6551" s="360">
        <f>'UPAD-BAHAN-ALAT'!$I$76</f>
        <v>65000</v>
      </c>
      <c r="G6551" s="248">
        <f>F6551*E6551</f>
        <v>66170</v>
      </c>
    </row>
    <row r="6552" spans="1:8">
      <c r="A6552" s="247"/>
      <c r="B6552" s="410" t="s">
        <v>808</v>
      </c>
      <c r="C6552" s="247"/>
      <c r="D6552" s="247" t="s">
        <v>2646</v>
      </c>
      <c r="E6552" s="372">
        <v>1.8E-3</v>
      </c>
      <c r="F6552" s="360">
        <f>'UPAD-BAHAN-ALAT'!$I$71</f>
        <v>176000</v>
      </c>
      <c r="G6552" s="248">
        <f>F6552*E6552</f>
        <v>316.8</v>
      </c>
    </row>
    <row r="6553" spans="1:8">
      <c r="A6553" s="247"/>
      <c r="B6553" s="410" t="s">
        <v>3270</v>
      </c>
      <c r="C6553" s="247"/>
      <c r="D6553" s="247" t="s">
        <v>1423</v>
      </c>
      <c r="E6553" s="372">
        <v>1</v>
      </c>
      <c r="F6553" s="360">
        <f>'UPAD-BAHAN-ALAT'!$I$530</f>
        <v>137500</v>
      </c>
      <c r="G6553" s="248">
        <f>F6553*E6553</f>
        <v>137500</v>
      </c>
    </row>
    <row r="6554" spans="1:8">
      <c r="A6554" s="247"/>
      <c r="B6554" s="295"/>
      <c r="C6554" s="296"/>
      <c r="D6554" s="296"/>
      <c r="E6554" s="1146" t="s">
        <v>702</v>
      </c>
      <c r="F6554" s="1146"/>
      <c r="G6554" s="248">
        <f>SUM(G6551:G6553)</f>
        <v>203986.8</v>
      </c>
    </row>
    <row r="6555" spans="1:8" s="265" customFormat="1">
      <c r="A6555" s="294" t="s">
        <v>703</v>
      </c>
      <c r="B6555" s="1147" t="s">
        <v>3910</v>
      </c>
      <c r="C6555" s="1147"/>
      <c r="D6555" s="1147"/>
      <c r="E6555" s="1147"/>
      <c r="F6555" s="1147"/>
      <c r="G6555" s="255">
        <f>G6549+G6554</f>
        <v>234381.8</v>
      </c>
    </row>
    <row r="6556" spans="1:8" s="265" customFormat="1">
      <c r="A6556" s="294" t="s">
        <v>706</v>
      </c>
      <c r="B6556" s="1148" t="s">
        <v>876</v>
      </c>
      <c r="C6556" s="1148"/>
      <c r="D6556" s="1148"/>
      <c r="E6556" s="1147" t="s">
        <v>4030</v>
      </c>
      <c r="F6556" s="1147"/>
      <c r="G6556" s="255">
        <f>G6555*0.15</f>
        <v>35157.269999999997</v>
      </c>
    </row>
    <row r="6557" spans="1:8" s="265" customFormat="1">
      <c r="A6557" s="294" t="s">
        <v>708</v>
      </c>
      <c r="B6557" s="1149" t="s">
        <v>3911</v>
      </c>
      <c r="C6557" s="1149"/>
      <c r="D6557" s="1149"/>
      <c r="E6557" s="1149"/>
      <c r="F6557" s="1149"/>
      <c r="G6557" s="255">
        <f>ROUND(SUM(G6555:G6556),2)</f>
        <v>269539.07</v>
      </c>
      <c r="H6557" s="255">
        <f>SUM(G6555:G6556)</f>
        <v>269539.07</v>
      </c>
    </row>
    <row r="6558" spans="1:8">
      <c r="A6558" s="252"/>
      <c r="B6558" s="251"/>
      <c r="C6558" s="252"/>
      <c r="D6558" s="251"/>
      <c r="E6558" s="378"/>
      <c r="F6558" s="364"/>
      <c r="G6558" s="264"/>
      <c r="H6558" s="253"/>
    </row>
    <row r="6559" spans="1:8">
      <c r="A6559" s="286" t="s">
        <v>4398</v>
      </c>
      <c r="B6559" s="265" t="s">
        <v>3597</v>
      </c>
    </row>
    <row r="6560" spans="1:8" s="292" customFormat="1" ht="24.95" customHeight="1">
      <c r="A6560" s="290" t="s">
        <v>1003</v>
      </c>
      <c r="B6560" s="290" t="s">
        <v>1004</v>
      </c>
      <c r="C6560" s="290" t="s">
        <v>1005</v>
      </c>
      <c r="D6560" s="290" t="s">
        <v>1006</v>
      </c>
      <c r="E6560" s="373" t="s">
        <v>1007</v>
      </c>
      <c r="F6560" s="363" t="s">
        <v>2637</v>
      </c>
      <c r="G6560" s="291" t="s">
        <v>2638</v>
      </c>
    </row>
    <row r="6561" spans="1:8">
      <c r="A6561" s="294" t="s">
        <v>671</v>
      </c>
      <c r="B6561" s="410" t="s">
        <v>672</v>
      </c>
      <c r="C6561" s="247"/>
      <c r="D6561" s="247"/>
      <c r="E6561" s="372"/>
      <c r="F6561" s="360"/>
      <c r="G6561" s="248"/>
    </row>
    <row r="6562" spans="1:8">
      <c r="A6562" s="294"/>
      <c r="B6562" s="410" t="s">
        <v>673</v>
      </c>
      <c r="C6562" s="247" t="s">
        <v>674</v>
      </c>
      <c r="D6562" s="247" t="s">
        <v>675</v>
      </c>
      <c r="E6562" s="372">
        <v>8.1000000000000003E-2</v>
      </c>
      <c r="F6562" s="360">
        <f>'UPAD-BAHAN-ALAT'!$I$12</f>
        <v>110000</v>
      </c>
      <c r="G6562" s="248">
        <f>F6562*E6562</f>
        <v>8910</v>
      </c>
    </row>
    <row r="6563" spans="1:8">
      <c r="A6563" s="294"/>
      <c r="B6563" s="410" t="s">
        <v>731</v>
      </c>
      <c r="C6563" s="247" t="s">
        <v>678</v>
      </c>
      <c r="D6563" s="247" t="s">
        <v>675</v>
      </c>
      <c r="E6563" s="372">
        <v>0.13500000000000001</v>
      </c>
      <c r="F6563" s="360">
        <f>'UPAD-BAHAN-ALAT'!$I$13</f>
        <v>140000</v>
      </c>
      <c r="G6563" s="248">
        <f>F6563*E6563</f>
        <v>18900</v>
      </c>
    </row>
    <row r="6564" spans="1:8">
      <c r="A6564" s="294"/>
      <c r="B6564" s="410" t="s">
        <v>751</v>
      </c>
      <c r="C6564" s="247" t="s">
        <v>681</v>
      </c>
      <c r="D6564" s="247" t="s">
        <v>675</v>
      </c>
      <c r="E6564" s="372">
        <v>1.35E-2</v>
      </c>
      <c r="F6564" s="360">
        <f>'UPAD-BAHAN-ALAT'!$I$15</f>
        <v>150000</v>
      </c>
      <c r="G6564" s="248">
        <f>F6564*E6564</f>
        <v>2025</v>
      </c>
    </row>
    <row r="6565" spans="1:8">
      <c r="A6565" s="294"/>
      <c r="B6565" s="410" t="s">
        <v>683</v>
      </c>
      <c r="C6565" s="247" t="s">
        <v>684</v>
      </c>
      <c r="D6565" s="247" t="s">
        <v>675</v>
      </c>
      <c r="E6565" s="372">
        <v>4.0000000000000001E-3</v>
      </c>
      <c r="F6565" s="360">
        <f>'UPAD-BAHAN-ALAT'!$I$14</f>
        <v>140000</v>
      </c>
      <c r="G6565" s="248">
        <f>F6565*E6565</f>
        <v>560</v>
      </c>
    </row>
    <row r="6566" spans="1:8">
      <c r="A6566" s="294"/>
      <c r="B6566" s="410"/>
      <c r="C6566" s="247"/>
      <c r="D6566" s="247"/>
      <c r="E6566" s="1146" t="s">
        <v>685</v>
      </c>
      <c r="F6566" s="1146"/>
      <c r="G6566" s="248">
        <f>SUM(G6562:G6565)</f>
        <v>30395</v>
      </c>
    </row>
    <row r="6567" spans="1:8">
      <c r="A6567" s="294" t="s">
        <v>686</v>
      </c>
      <c r="B6567" s="410" t="s">
        <v>687</v>
      </c>
      <c r="C6567" s="247"/>
      <c r="D6567" s="247"/>
      <c r="E6567" s="372"/>
      <c r="F6567" s="360"/>
      <c r="G6567" s="248"/>
    </row>
    <row r="6568" spans="1:8">
      <c r="A6568" s="247"/>
      <c r="B6568" s="410" t="s">
        <v>3593</v>
      </c>
      <c r="C6568" s="247"/>
      <c r="D6568" s="247" t="s">
        <v>2958</v>
      </c>
      <c r="E6568" s="372">
        <v>2.2499999999999999E-2</v>
      </c>
      <c r="F6568" s="360">
        <f>'UPAD-BAHAN-ALAT'!$I$76</f>
        <v>65000</v>
      </c>
      <c r="G6568" s="248">
        <f>F6568*E6568</f>
        <v>1462.5</v>
      </c>
    </row>
    <row r="6569" spans="1:8">
      <c r="A6569" s="247"/>
      <c r="B6569" s="410" t="s">
        <v>808</v>
      </c>
      <c r="C6569" s="247"/>
      <c r="D6569" s="247" t="s">
        <v>2646</v>
      </c>
      <c r="E6569" s="372">
        <v>2.2000000000000001E-3</v>
      </c>
      <c r="F6569" s="360">
        <f>'UPAD-BAHAN-ALAT'!$I$71</f>
        <v>176000</v>
      </c>
      <c r="G6569" s="248">
        <f>F6569*E6569</f>
        <v>387.20000000000005</v>
      </c>
    </row>
    <row r="6570" spans="1:8">
      <c r="A6570" s="247"/>
      <c r="B6570" s="410" t="s">
        <v>3271</v>
      </c>
      <c r="C6570" s="247"/>
      <c r="D6570" s="247" t="s">
        <v>1423</v>
      </c>
      <c r="E6570" s="372">
        <v>1</v>
      </c>
      <c r="F6570" s="360">
        <f>'UPAD-BAHAN-ALAT'!$I$531</f>
        <v>209000.00000000003</v>
      </c>
      <c r="G6570" s="248">
        <f>F6570*E6570</f>
        <v>209000.00000000003</v>
      </c>
    </row>
    <row r="6571" spans="1:8">
      <c r="A6571" s="247"/>
      <c r="B6571" s="295"/>
      <c r="C6571" s="296"/>
      <c r="D6571" s="296"/>
      <c r="E6571" s="1146" t="s">
        <v>702</v>
      </c>
      <c r="F6571" s="1146"/>
      <c r="G6571" s="248">
        <f>SUM(G6568:G6570)</f>
        <v>210849.70000000004</v>
      </c>
    </row>
    <row r="6572" spans="1:8" s="265" customFormat="1">
      <c r="A6572" s="294" t="s">
        <v>703</v>
      </c>
      <c r="B6572" s="1147" t="s">
        <v>3910</v>
      </c>
      <c r="C6572" s="1147"/>
      <c r="D6572" s="1147"/>
      <c r="E6572" s="1147"/>
      <c r="F6572" s="1147"/>
      <c r="G6572" s="255">
        <f>G6566+G6571</f>
        <v>241244.70000000004</v>
      </c>
    </row>
    <row r="6573" spans="1:8" s="265" customFormat="1">
      <c r="A6573" s="294" t="s">
        <v>706</v>
      </c>
      <c r="B6573" s="1148" t="s">
        <v>876</v>
      </c>
      <c r="C6573" s="1148"/>
      <c r="D6573" s="1148"/>
      <c r="E6573" s="1147" t="s">
        <v>4030</v>
      </c>
      <c r="F6573" s="1147"/>
      <c r="G6573" s="255">
        <f>G6572*0.15</f>
        <v>36186.705000000002</v>
      </c>
    </row>
    <row r="6574" spans="1:8" s="265" customFormat="1">
      <c r="A6574" s="294" t="s">
        <v>708</v>
      </c>
      <c r="B6574" s="1149" t="s">
        <v>3911</v>
      </c>
      <c r="C6574" s="1149"/>
      <c r="D6574" s="1149"/>
      <c r="E6574" s="1149"/>
      <c r="F6574" s="1149"/>
      <c r="G6574" s="255">
        <f>ROUND(SUM(G6572:G6573),2)</f>
        <v>277431.40999999997</v>
      </c>
      <c r="H6574" s="255">
        <f>SUM(G6572:G6573)</f>
        <v>277431.40500000003</v>
      </c>
    </row>
    <row r="6575" spans="1:8">
      <c r="A6575" s="252"/>
      <c r="B6575" s="251"/>
      <c r="C6575" s="252"/>
      <c r="D6575" s="251"/>
      <c r="E6575" s="378"/>
      <c r="F6575" s="364"/>
      <c r="G6575" s="264"/>
      <c r="H6575" s="253"/>
    </row>
    <row r="6576" spans="1:8">
      <c r="A6576" s="286" t="s">
        <v>4399</v>
      </c>
      <c r="B6576" s="265" t="s">
        <v>3598</v>
      </c>
    </row>
    <row r="6577" spans="1:8" s="292" customFormat="1" ht="24.95" customHeight="1">
      <c r="A6577" s="290" t="s">
        <v>1003</v>
      </c>
      <c r="B6577" s="290" t="s">
        <v>1004</v>
      </c>
      <c r="C6577" s="290" t="s">
        <v>1005</v>
      </c>
      <c r="D6577" s="290" t="s">
        <v>1006</v>
      </c>
      <c r="E6577" s="373" t="s">
        <v>1007</v>
      </c>
      <c r="F6577" s="363" t="s">
        <v>2637</v>
      </c>
      <c r="G6577" s="291" t="s">
        <v>2638</v>
      </c>
    </row>
    <row r="6578" spans="1:8">
      <c r="A6578" s="294" t="s">
        <v>671</v>
      </c>
      <c r="B6578" s="410" t="s">
        <v>672</v>
      </c>
      <c r="C6578" s="247"/>
      <c r="D6578" s="247"/>
      <c r="E6578" s="372"/>
      <c r="F6578" s="360"/>
      <c r="G6578" s="248"/>
    </row>
    <row r="6579" spans="1:8">
      <c r="A6579" s="294"/>
      <c r="B6579" s="410" t="s">
        <v>673</v>
      </c>
      <c r="C6579" s="247" t="s">
        <v>674</v>
      </c>
      <c r="D6579" s="247" t="s">
        <v>675</v>
      </c>
      <c r="E6579" s="372">
        <v>8.1000000000000003E-2</v>
      </c>
      <c r="F6579" s="360">
        <f>'UPAD-BAHAN-ALAT'!$I$12</f>
        <v>110000</v>
      </c>
      <c r="G6579" s="248">
        <f>F6579*E6579</f>
        <v>8910</v>
      </c>
    </row>
    <row r="6580" spans="1:8">
      <c r="A6580" s="294"/>
      <c r="B6580" s="410" t="s">
        <v>731</v>
      </c>
      <c r="C6580" s="247" t="s">
        <v>678</v>
      </c>
      <c r="D6580" s="247" t="s">
        <v>675</v>
      </c>
      <c r="E6580" s="372">
        <v>0.13500000000000001</v>
      </c>
      <c r="F6580" s="360">
        <f>'UPAD-BAHAN-ALAT'!$I$13</f>
        <v>140000</v>
      </c>
      <c r="G6580" s="248">
        <f>F6580*E6580</f>
        <v>18900</v>
      </c>
    </row>
    <row r="6581" spans="1:8">
      <c r="A6581" s="294"/>
      <c r="B6581" s="410" t="s">
        <v>751</v>
      </c>
      <c r="C6581" s="247" t="s">
        <v>681</v>
      </c>
      <c r="D6581" s="247" t="s">
        <v>675</v>
      </c>
      <c r="E6581" s="372">
        <v>1.35E-2</v>
      </c>
      <c r="F6581" s="360">
        <f>'UPAD-BAHAN-ALAT'!$I$15</f>
        <v>150000</v>
      </c>
      <c r="G6581" s="248">
        <f>F6581*E6581</f>
        <v>2025</v>
      </c>
    </row>
    <row r="6582" spans="1:8">
      <c r="A6582" s="294"/>
      <c r="B6582" s="410" t="s">
        <v>683</v>
      </c>
      <c r="C6582" s="247" t="s">
        <v>684</v>
      </c>
      <c r="D6582" s="247" t="s">
        <v>675</v>
      </c>
      <c r="E6582" s="372">
        <v>4.0000000000000001E-3</v>
      </c>
      <c r="F6582" s="360">
        <f>'UPAD-BAHAN-ALAT'!$I$14</f>
        <v>140000</v>
      </c>
      <c r="G6582" s="248">
        <f>F6582*E6582</f>
        <v>560</v>
      </c>
    </row>
    <row r="6583" spans="1:8">
      <c r="A6583" s="294"/>
      <c r="B6583" s="410"/>
      <c r="C6583" s="247"/>
      <c r="D6583" s="247"/>
      <c r="E6583" s="1146" t="s">
        <v>685</v>
      </c>
      <c r="F6583" s="1146"/>
      <c r="G6583" s="248">
        <f>SUM(G6579:G6582)</f>
        <v>30395</v>
      </c>
    </row>
    <row r="6584" spans="1:8">
      <c r="A6584" s="294" t="s">
        <v>686</v>
      </c>
      <c r="B6584" s="410" t="s">
        <v>687</v>
      </c>
      <c r="C6584" s="247"/>
      <c r="D6584" s="247"/>
      <c r="E6584" s="372"/>
      <c r="F6584" s="360"/>
      <c r="G6584" s="248"/>
    </row>
    <row r="6585" spans="1:8">
      <c r="A6585" s="247"/>
      <c r="B6585" s="410" t="s">
        <v>3593</v>
      </c>
      <c r="C6585" s="247"/>
      <c r="D6585" s="247" t="s">
        <v>2958</v>
      </c>
      <c r="E6585" s="372">
        <v>2.7E-2</v>
      </c>
      <c r="F6585" s="360">
        <f>'UPAD-BAHAN-ALAT'!$I$76</f>
        <v>65000</v>
      </c>
      <c r="G6585" s="248">
        <f>F6585*E6585</f>
        <v>1755</v>
      </c>
    </row>
    <row r="6586" spans="1:8">
      <c r="A6586" s="247"/>
      <c r="B6586" s="410" t="s">
        <v>808</v>
      </c>
      <c r="C6586" s="247"/>
      <c r="D6586" s="247" t="s">
        <v>2646</v>
      </c>
      <c r="E6586" s="372">
        <v>2.5999999999999999E-3</v>
      </c>
      <c r="F6586" s="360">
        <f>'UPAD-BAHAN-ALAT'!$I$71</f>
        <v>176000</v>
      </c>
      <c r="G6586" s="248">
        <f>F6586*E6586</f>
        <v>457.59999999999997</v>
      </c>
    </row>
    <row r="6587" spans="1:8">
      <c r="A6587" s="247"/>
      <c r="B6587" s="410" t="s">
        <v>3272</v>
      </c>
      <c r="C6587" s="247"/>
      <c r="D6587" s="247" t="s">
        <v>1423</v>
      </c>
      <c r="E6587" s="372">
        <v>1</v>
      </c>
      <c r="F6587" s="360">
        <f>'UPAD-BAHAN-ALAT'!$I$532</f>
        <v>280500</v>
      </c>
      <c r="G6587" s="248">
        <f>F6587*E6587</f>
        <v>280500</v>
      </c>
    </row>
    <row r="6588" spans="1:8">
      <c r="A6588" s="247"/>
      <c r="B6588" s="295"/>
      <c r="C6588" s="296"/>
      <c r="D6588" s="296"/>
      <c r="E6588" s="1146" t="s">
        <v>702</v>
      </c>
      <c r="F6588" s="1146"/>
      <c r="G6588" s="248">
        <f>SUM(G6585:G6587)</f>
        <v>282712.59999999998</v>
      </c>
    </row>
    <row r="6589" spans="1:8" s="265" customFormat="1">
      <c r="A6589" s="294" t="s">
        <v>703</v>
      </c>
      <c r="B6589" s="1147" t="s">
        <v>3910</v>
      </c>
      <c r="C6589" s="1147"/>
      <c r="D6589" s="1147"/>
      <c r="E6589" s="1147"/>
      <c r="F6589" s="1147"/>
      <c r="G6589" s="255">
        <f>G6583+G6588</f>
        <v>313107.59999999998</v>
      </c>
    </row>
    <row r="6590" spans="1:8" s="265" customFormat="1">
      <c r="A6590" s="294" t="s">
        <v>706</v>
      </c>
      <c r="B6590" s="1148" t="s">
        <v>876</v>
      </c>
      <c r="C6590" s="1148"/>
      <c r="D6590" s="1148"/>
      <c r="E6590" s="1147" t="s">
        <v>4030</v>
      </c>
      <c r="F6590" s="1147"/>
      <c r="G6590" s="255">
        <f>G6589*0.15</f>
        <v>46966.139999999992</v>
      </c>
    </row>
    <row r="6591" spans="1:8" s="265" customFormat="1">
      <c r="A6591" s="294" t="s">
        <v>708</v>
      </c>
      <c r="B6591" s="1149" t="s">
        <v>3911</v>
      </c>
      <c r="C6591" s="1149"/>
      <c r="D6591" s="1149"/>
      <c r="E6591" s="1149"/>
      <c r="F6591" s="1149"/>
      <c r="G6591" s="255">
        <f>ROUND(SUM(G6589:G6590),2)</f>
        <v>360073.74</v>
      </c>
      <c r="H6591" s="255">
        <f>SUM(G6589:G6590)</f>
        <v>360073.74</v>
      </c>
    </row>
    <row r="6592" spans="1:8">
      <c r="A6592" s="252"/>
      <c r="B6592" s="251"/>
      <c r="C6592" s="252"/>
      <c r="D6592" s="251"/>
      <c r="E6592" s="378"/>
      <c r="F6592" s="364"/>
      <c r="G6592" s="264"/>
      <c r="H6592" s="253"/>
    </row>
    <row r="6593" spans="1:8">
      <c r="A6593" s="286" t="s">
        <v>4400</v>
      </c>
      <c r="B6593" s="265" t="s">
        <v>3599</v>
      </c>
    </row>
    <row r="6594" spans="1:8" s="292" customFormat="1" ht="24.95" customHeight="1">
      <c r="A6594" s="290" t="s">
        <v>1003</v>
      </c>
      <c r="B6594" s="290" t="s">
        <v>1004</v>
      </c>
      <c r="C6594" s="290" t="s">
        <v>1005</v>
      </c>
      <c r="D6594" s="290" t="s">
        <v>1006</v>
      </c>
      <c r="E6594" s="373" t="s">
        <v>1007</v>
      </c>
      <c r="F6594" s="363" t="s">
        <v>2637</v>
      </c>
      <c r="G6594" s="291" t="s">
        <v>2638</v>
      </c>
    </row>
    <row r="6595" spans="1:8">
      <c r="A6595" s="294" t="s">
        <v>671</v>
      </c>
      <c r="B6595" s="410" t="s">
        <v>672</v>
      </c>
      <c r="C6595" s="247"/>
      <c r="D6595" s="247"/>
      <c r="E6595" s="372"/>
      <c r="F6595" s="360"/>
      <c r="G6595" s="248"/>
    </row>
    <row r="6596" spans="1:8">
      <c r="A6596" s="294"/>
      <c r="B6596" s="410" t="s">
        <v>673</v>
      </c>
      <c r="C6596" s="247" t="s">
        <v>674</v>
      </c>
      <c r="D6596" s="247" t="s">
        <v>675</v>
      </c>
      <c r="E6596" s="372">
        <v>8.1000000000000003E-2</v>
      </c>
      <c r="F6596" s="360">
        <f>'UPAD-BAHAN-ALAT'!$I$12</f>
        <v>110000</v>
      </c>
      <c r="G6596" s="248">
        <f>F6596*E6596</f>
        <v>8910</v>
      </c>
    </row>
    <row r="6597" spans="1:8">
      <c r="A6597" s="294"/>
      <c r="B6597" s="410" t="s">
        <v>731</v>
      </c>
      <c r="C6597" s="247" t="s">
        <v>678</v>
      </c>
      <c r="D6597" s="247" t="s">
        <v>675</v>
      </c>
      <c r="E6597" s="372">
        <v>0.13500000000000001</v>
      </c>
      <c r="F6597" s="360">
        <f>'UPAD-BAHAN-ALAT'!$I$13</f>
        <v>140000</v>
      </c>
      <c r="G6597" s="248">
        <f>F6597*E6597</f>
        <v>18900</v>
      </c>
    </row>
    <row r="6598" spans="1:8">
      <c r="A6598" s="294"/>
      <c r="B6598" s="410" t="s">
        <v>751</v>
      </c>
      <c r="C6598" s="247" t="s">
        <v>681</v>
      </c>
      <c r="D6598" s="247" t="s">
        <v>675</v>
      </c>
      <c r="E6598" s="372">
        <v>1.35E-2</v>
      </c>
      <c r="F6598" s="360">
        <f>'UPAD-BAHAN-ALAT'!$I$15</f>
        <v>150000</v>
      </c>
      <c r="G6598" s="248">
        <f>F6598*E6598</f>
        <v>2025</v>
      </c>
    </row>
    <row r="6599" spans="1:8">
      <c r="A6599" s="294"/>
      <c r="B6599" s="410" t="s">
        <v>683</v>
      </c>
      <c r="C6599" s="247" t="s">
        <v>684</v>
      </c>
      <c r="D6599" s="247" t="s">
        <v>675</v>
      </c>
      <c r="E6599" s="372">
        <v>4.0000000000000001E-3</v>
      </c>
      <c r="F6599" s="360">
        <f>'UPAD-BAHAN-ALAT'!$I$14</f>
        <v>140000</v>
      </c>
      <c r="G6599" s="248">
        <f>F6599*E6599</f>
        <v>560</v>
      </c>
    </row>
    <row r="6600" spans="1:8">
      <c r="A6600" s="294"/>
      <c r="B6600" s="410"/>
      <c r="C6600" s="247"/>
      <c r="D6600" s="247"/>
      <c r="E6600" s="1146" t="s">
        <v>685</v>
      </c>
      <c r="F6600" s="1146"/>
      <c r="G6600" s="248">
        <f>SUM(G6596:G6599)</f>
        <v>30395</v>
      </c>
    </row>
    <row r="6601" spans="1:8">
      <c r="A6601" s="294" t="s">
        <v>686</v>
      </c>
      <c r="B6601" s="410" t="s">
        <v>687</v>
      </c>
      <c r="C6601" s="247"/>
      <c r="D6601" s="247"/>
      <c r="E6601" s="372"/>
      <c r="F6601" s="360"/>
      <c r="G6601" s="248"/>
    </row>
    <row r="6602" spans="1:8">
      <c r="A6602" s="294"/>
      <c r="B6602" s="410" t="s">
        <v>3593</v>
      </c>
      <c r="C6602" s="247"/>
      <c r="D6602" s="247" t="s">
        <v>2958</v>
      </c>
      <c r="E6602" s="372">
        <v>3.5999999999999997E-2</v>
      </c>
      <c r="F6602" s="360">
        <f>'UPAD-BAHAN-ALAT'!$I$76</f>
        <v>65000</v>
      </c>
      <c r="G6602" s="248">
        <f>F6602*E6602</f>
        <v>2340</v>
      </c>
    </row>
    <row r="6603" spans="1:8">
      <c r="A6603" s="294"/>
      <c r="B6603" s="410" t="s">
        <v>808</v>
      </c>
      <c r="C6603" s="247"/>
      <c r="D6603" s="247" t="s">
        <v>2646</v>
      </c>
      <c r="E6603" s="372">
        <v>3.3999999999999998E-3</v>
      </c>
      <c r="F6603" s="360">
        <f>'UPAD-BAHAN-ALAT'!$I$71</f>
        <v>176000</v>
      </c>
      <c r="G6603" s="248">
        <f>F6603*E6603</f>
        <v>598.4</v>
      </c>
    </row>
    <row r="6604" spans="1:8">
      <c r="A6604" s="247"/>
      <c r="B6604" s="410" t="s">
        <v>3273</v>
      </c>
      <c r="C6604" s="247"/>
      <c r="D6604" s="247" t="s">
        <v>1423</v>
      </c>
      <c r="E6604" s="372">
        <v>1</v>
      </c>
      <c r="F6604" s="360">
        <f>'UPAD-BAHAN-ALAT'!$I$533</f>
        <v>561000</v>
      </c>
      <c r="G6604" s="248">
        <f>F6604*E6604</f>
        <v>561000</v>
      </c>
    </row>
    <row r="6605" spans="1:8">
      <c r="A6605" s="247"/>
      <c r="B6605" s="295"/>
      <c r="C6605" s="296"/>
      <c r="D6605" s="296"/>
      <c r="E6605" s="1146" t="s">
        <v>702</v>
      </c>
      <c r="F6605" s="1146"/>
      <c r="G6605" s="248">
        <f>SUM(G6602:G6604)</f>
        <v>563938.4</v>
      </c>
    </row>
    <row r="6606" spans="1:8" s="265" customFormat="1">
      <c r="A6606" s="294" t="s">
        <v>703</v>
      </c>
      <c r="B6606" s="1147" t="s">
        <v>3910</v>
      </c>
      <c r="C6606" s="1147"/>
      <c r="D6606" s="1147"/>
      <c r="E6606" s="1147"/>
      <c r="F6606" s="1147"/>
      <c r="G6606" s="255">
        <f>G6600+G6605</f>
        <v>594333.4</v>
      </c>
    </row>
    <row r="6607" spans="1:8" s="265" customFormat="1">
      <c r="A6607" s="294" t="s">
        <v>706</v>
      </c>
      <c r="B6607" s="1148" t="s">
        <v>876</v>
      </c>
      <c r="C6607" s="1148"/>
      <c r="D6607" s="1148"/>
      <c r="E6607" s="1147" t="s">
        <v>4030</v>
      </c>
      <c r="F6607" s="1147"/>
      <c r="G6607" s="255">
        <f>G6606*0.15</f>
        <v>89150.01</v>
      </c>
    </row>
    <row r="6608" spans="1:8" s="265" customFormat="1">
      <c r="A6608" s="294" t="s">
        <v>708</v>
      </c>
      <c r="B6608" s="1149" t="s">
        <v>3911</v>
      </c>
      <c r="C6608" s="1149"/>
      <c r="D6608" s="1149"/>
      <c r="E6608" s="1149"/>
      <c r="F6608" s="1149"/>
      <c r="G6608" s="255">
        <f>ROUND(SUM(G6606:G6607),2)</f>
        <v>683483.41</v>
      </c>
      <c r="H6608" s="255">
        <f>SUM(G6606:G6607)</f>
        <v>683483.41</v>
      </c>
    </row>
    <row r="6609" spans="1:8">
      <c r="A6609" s="252"/>
      <c r="B6609" s="251"/>
      <c r="C6609" s="252"/>
      <c r="D6609" s="251"/>
      <c r="E6609" s="378"/>
      <c r="F6609" s="364"/>
      <c r="G6609" s="264"/>
      <c r="H6609" s="253"/>
    </row>
    <row r="6610" spans="1:8">
      <c r="A6610" s="286" t="s">
        <v>4401</v>
      </c>
      <c r="B6610" s="265" t="s">
        <v>3600</v>
      </c>
    </row>
    <row r="6611" spans="1:8" s="292" customFormat="1" ht="24.95" customHeight="1">
      <c r="A6611" s="290" t="s">
        <v>1003</v>
      </c>
      <c r="B6611" s="290" t="s">
        <v>1004</v>
      </c>
      <c r="C6611" s="290" t="s">
        <v>1005</v>
      </c>
      <c r="D6611" s="290" t="s">
        <v>1006</v>
      </c>
      <c r="E6611" s="373" t="s">
        <v>1007</v>
      </c>
      <c r="F6611" s="363" t="s">
        <v>2637</v>
      </c>
      <c r="G6611" s="291" t="s">
        <v>2638</v>
      </c>
    </row>
    <row r="6612" spans="1:8">
      <c r="A6612" s="294" t="s">
        <v>671</v>
      </c>
      <c r="B6612" s="410" t="s">
        <v>672</v>
      </c>
      <c r="C6612" s="247"/>
      <c r="D6612" s="247"/>
      <c r="E6612" s="372"/>
      <c r="F6612" s="360"/>
      <c r="G6612" s="248"/>
    </row>
    <row r="6613" spans="1:8">
      <c r="A6613" s="294"/>
      <c r="B6613" s="410" t="s">
        <v>673</v>
      </c>
      <c r="C6613" s="247" t="s">
        <v>674</v>
      </c>
      <c r="D6613" s="247" t="s">
        <v>675</v>
      </c>
      <c r="E6613" s="372">
        <v>8.1000000000000003E-2</v>
      </c>
      <c r="F6613" s="360">
        <f>'UPAD-BAHAN-ALAT'!$I$12</f>
        <v>110000</v>
      </c>
      <c r="G6613" s="248">
        <f>F6613*E6613</f>
        <v>8910</v>
      </c>
    </row>
    <row r="6614" spans="1:8">
      <c r="A6614" s="294"/>
      <c r="B6614" s="410" t="s">
        <v>731</v>
      </c>
      <c r="C6614" s="247" t="s">
        <v>678</v>
      </c>
      <c r="D6614" s="247" t="s">
        <v>675</v>
      </c>
      <c r="E6614" s="372">
        <v>0.13500000000000001</v>
      </c>
      <c r="F6614" s="360">
        <f>'UPAD-BAHAN-ALAT'!$I$13</f>
        <v>140000</v>
      </c>
      <c r="G6614" s="248">
        <f>F6614*E6614</f>
        <v>18900</v>
      </c>
    </row>
    <row r="6615" spans="1:8">
      <c r="A6615" s="294"/>
      <c r="B6615" s="410" t="s">
        <v>751</v>
      </c>
      <c r="C6615" s="247" t="s">
        <v>681</v>
      </c>
      <c r="D6615" s="247" t="s">
        <v>675</v>
      </c>
      <c r="E6615" s="372">
        <v>1.35E-2</v>
      </c>
      <c r="F6615" s="360">
        <f>'UPAD-BAHAN-ALAT'!$I$15</f>
        <v>150000</v>
      </c>
      <c r="G6615" s="248">
        <f>F6615*E6615</f>
        <v>2025</v>
      </c>
    </row>
    <row r="6616" spans="1:8">
      <c r="A6616" s="294"/>
      <c r="B6616" s="410" t="s">
        <v>683</v>
      </c>
      <c r="C6616" s="247" t="s">
        <v>684</v>
      </c>
      <c r="D6616" s="247" t="s">
        <v>675</v>
      </c>
      <c r="E6616" s="372">
        <v>4.0000000000000001E-3</v>
      </c>
      <c r="F6616" s="360">
        <f>'UPAD-BAHAN-ALAT'!$I$14</f>
        <v>140000</v>
      </c>
      <c r="G6616" s="248">
        <f>F6616*E6616</f>
        <v>560</v>
      </c>
    </row>
    <row r="6617" spans="1:8">
      <c r="A6617" s="294"/>
      <c r="B6617" s="410"/>
      <c r="C6617" s="247"/>
      <c r="D6617" s="247"/>
      <c r="E6617" s="1146" t="s">
        <v>685</v>
      </c>
      <c r="F6617" s="1146"/>
      <c r="G6617" s="248">
        <f>SUM(G6613:G6616)</f>
        <v>30395</v>
      </c>
    </row>
    <row r="6618" spans="1:8">
      <c r="A6618" s="294" t="s">
        <v>686</v>
      </c>
      <c r="B6618" s="410" t="s">
        <v>687</v>
      </c>
      <c r="C6618" s="247"/>
      <c r="D6618" s="247"/>
      <c r="E6618" s="372"/>
      <c r="F6618" s="360"/>
      <c r="G6618" s="248"/>
    </row>
    <row r="6619" spans="1:8">
      <c r="A6619" s="294"/>
      <c r="B6619" s="410" t="s">
        <v>3593</v>
      </c>
      <c r="C6619" s="247"/>
      <c r="D6619" s="247" t="s">
        <v>2958</v>
      </c>
      <c r="E6619" s="372">
        <v>4.4999999999999998E-2</v>
      </c>
      <c r="F6619" s="360">
        <f>'UPAD-BAHAN-ALAT'!$I$76</f>
        <v>65000</v>
      </c>
      <c r="G6619" s="248">
        <f>F6619*E6619</f>
        <v>2925</v>
      </c>
    </row>
    <row r="6620" spans="1:8">
      <c r="A6620" s="247"/>
      <c r="B6620" s="410" t="s">
        <v>808</v>
      </c>
      <c r="C6620" s="247"/>
      <c r="D6620" s="247" t="s">
        <v>2646</v>
      </c>
      <c r="E6620" s="372">
        <v>4.1999999999999997E-3</v>
      </c>
      <c r="F6620" s="360">
        <f>'UPAD-BAHAN-ALAT'!$I$71</f>
        <v>176000</v>
      </c>
      <c r="G6620" s="248">
        <f>F6620*E6620</f>
        <v>739.19999999999993</v>
      </c>
    </row>
    <row r="6621" spans="1:8">
      <c r="A6621" s="247"/>
      <c r="B6621" s="410" t="s">
        <v>3274</v>
      </c>
      <c r="C6621" s="247"/>
      <c r="D6621" s="247" t="s">
        <v>1423</v>
      </c>
      <c r="E6621" s="372">
        <v>1</v>
      </c>
      <c r="F6621" s="360">
        <f>'UPAD-BAHAN-ALAT'!$I$534</f>
        <v>671000</v>
      </c>
      <c r="G6621" s="248">
        <f>F6621*E6621</f>
        <v>671000</v>
      </c>
    </row>
    <row r="6622" spans="1:8">
      <c r="A6622" s="247"/>
      <c r="B6622" s="410"/>
      <c r="C6622" s="247"/>
      <c r="D6622" s="247"/>
      <c r="E6622" s="1155" t="s">
        <v>702</v>
      </c>
      <c r="F6622" s="1155"/>
      <c r="G6622" s="248">
        <f>SUM(G6619:G6621)</f>
        <v>674664.2</v>
      </c>
    </row>
    <row r="6623" spans="1:8" s="265" customFormat="1">
      <c r="A6623" s="294" t="s">
        <v>703</v>
      </c>
      <c r="B6623" s="1151" t="s">
        <v>3910</v>
      </c>
      <c r="C6623" s="1151"/>
      <c r="D6623" s="1151"/>
      <c r="E6623" s="1151"/>
      <c r="F6623" s="1151"/>
      <c r="G6623" s="255">
        <f>G6617+G6622</f>
        <v>705059.2</v>
      </c>
    </row>
    <row r="6624" spans="1:8" s="265" customFormat="1">
      <c r="A6624" s="294" t="s">
        <v>706</v>
      </c>
      <c r="B6624" s="1148" t="s">
        <v>876</v>
      </c>
      <c r="C6624" s="1148"/>
      <c r="D6624" s="1148"/>
      <c r="E6624" s="1147" t="s">
        <v>4030</v>
      </c>
      <c r="F6624" s="1147"/>
      <c r="G6624" s="255">
        <f>G6623*0.15</f>
        <v>105758.87999999999</v>
      </c>
    </row>
    <row r="6625" spans="1:8" s="265" customFormat="1">
      <c r="A6625" s="294" t="s">
        <v>708</v>
      </c>
      <c r="B6625" s="1149" t="s">
        <v>3911</v>
      </c>
      <c r="C6625" s="1149"/>
      <c r="D6625" s="1149"/>
      <c r="E6625" s="1149"/>
      <c r="F6625" s="1149"/>
      <c r="G6625" s="255">
        <f>ROUND(SUM(G6623:G6624),2)</f>
        <v>810818.08</v>
      </c>
      <c r="H6625" s="255">
        <f>SUM(G6623:G6624)</f>
        <v>810818.08</v>
      </c>
    </row>
    <row r="6626" spans="1:8">
      <c r="A6626" s="252"/>
      <c r="B6626" s="251"/>
      <c r="C6626" s="252"/>
      <c r="D6626" s="251"/>
      <c r="E6626" s="378"/>
      <c r="F6626" s="364"/>
      <c r="G6626" s="264"/>
      <c r="H6626" s="253"/>
    </row>
    <row r="6627" spans="1:8">
      <c r="A6627" s="286" t="s">
        <v>4402</v>
      </c>
      <c r="B6627" s="265" t="s">
        <v>3601</v>
      </c>
    </row>
    <row r="6628" spans="1:8" s="292" customFormat="1" ht="24.95" customHeight="1">
      <c r="A6628" s="290" t="s">
        <v>1003</v>
      </c>
      <c r="B6628" s="290" t="s">
        <v>1004</v>
      </c>
      <c r="C6628" s="290" t="s">
        <v>1005</v>
      </c>
      <c r="D6628" s="290" t="s">
        <v>1006</v>
      </c>
      <c r="E6628" s="373" t="s">
        <v>1007</v>
      </c>
      <c r="F6628" s="363" t="s">
        <v>2637</v>
      </c>
      <c r="G6628" s="291" t="s">
        <v>2638</v>
      </c>
    </row>
    <row r="6629" spans="1:8">
      <c r="A6629" s="294" t="s">
        <v>671</v>
      </c>
      <c r="B6629" s="410" t="s">
        <v>672</v>
      </c>
      <c r="C6629" s="247"/>
      <c r="D6629" s="247"/>
      <c r="E6629" s="372"/>
      <c r="F6629" s="360"/>
      <c r="G6629" s="248"/>
    </row>
    <row r="6630" spans="1:8">
      <c r="A6630" s="294"/>
      <c r="B6630" s="410" t="s">
        <v>673</v>
      </c>
      <c r="C6630" s="247" t="s">
        <v>674</v>
      </c>
      <c r="D6630" s="247" t="s">
        <v>675</v>
      </c>
      <c r="E6630" s="372">
        <v>8.1000000000000003E-2</v>
      </c>
      <c r="F6630" s="360">
        <f>'UPAD-BAHAN-ALAT'!$I$12</f>
        <v>110000</v>
      </c>
      <c r="G6630" s="248">
        <f>F6630*E6630</f>
        <v>8910</v>
      </c>
    </row>
    <row r="6631" spans="1:8">
      <c r="A6631" s="294"/>
      <c r="B6631" s="410" t="s">
        <v>731</v>
      </c>
      <c r="C6631" s="247" t="s">
        <v>678</v>
      </c>
      <c r="D6631" s="247" t="s">
        <v>675</v>
      </c>
      <c r="E6631" s="372">
        <v>0.13500000000000001</v>
      </c>
      <c r="F6631" s="360">
        <f>'UPAD-BAHAN-ALAT'!$I$13</f>
        <v>140000</v>
      </c>
      <c r="G6631" s="248">
        <f>F6631*E6631</f>
        <v>18900</v>
      </c>
    </row>
    <row r="6632" spans="1:8">
      <c r="A6632" s="294"/>
      <c r="B6632" s="410" t="s">
        <v>751</v>
      </c>
      <c r="C6632" s="247" t="s">
        <v>681</v>
      </c>
      <c r="D6632" s="247" t="s">
        <v>675</v>
      </c>
      <c r="E6632" s="372">
        <v>1.35E-2</v>
      </c>
      <c r="F6632" s="360">
        <f>'UPAD-BAHAN-ALAT'!$I$15</f>
        <v>150000</v>
      </c>
      <c r="G6632" s="248">
        <f>F6632*E6632</f>
        <v>2025</v>
      </c>
    </row>
    <row r="6633" spans="1:8">
      <c r="A6633" s="294"/>
      <c r="B6633" s="410" t="s">
        <v>683</v>
      </c>
      <c r="C6633" s="247" t="s">
        <v>684</v>
      </c>
      <c r="D6633" s="247" t="s">
        <v>675</v>
      </c>
      <c r="E6633" s="372">
        <v>4.0000000000000001E-3</v>
      </c>
      <c r="F6633" s="360">
        <f>'UPAD-BAHAN-ALAT'!$I$14</f>
        <v>140000</v>
      </c>
      <c r="G6633" s="248">
        <f>F6633*E6633</f>
        <v>560</v>
      </c>
    </row>
    <row r="6634" spans="1:8">
      <c r="A6634" s="294"/>
      <c r="B6634" s="410"/>
      <c r="C6634" s="247"/>
      <c r="D6634" s="247"/>
      <c r="E6634" s="1146" t="s">
        <v>685</v>
      </c>
      <c r="F6634" s="1146"/>
      <c r="G6634" s="248">
        <f>SUM(G6630:G6633)</f>
        <v>30395</v>
      </c>
    </row>
    <row r="6635" spans="1:8">
      <c r="A6635" s="294" t="s">
        <v>686</v>
      </c>
      <c r="B6635" s="410" t="s">
        <v>687</v>
      </c>
      <c r="C6635" s="247"/>
      <c r="D6635" s="247"/>
      <c r="E6635" s="372"/>
      <c r="F6635" s="360"/>
      <c r="G6635" s="248"/>
    </row>
    <row r="6636" spans="1:8">
      <c r="A6636" s="294"/>
      <c r="B6636" s="410" t="s">
        <v>3593</v>
      </c>
      <c r="C6636" s="247"/>
      <c r="D6636" s="247" t="s">
        <v>2958</v>
      </c>
      <c r="E6636" s="372">
        <v>1.35E-2</v>
      </c>
      <c r="F6636" s="360">
        <f>'UPAD-BAHAN-ALAT'!$I$76</f>
        <v>65000</v>
      </c>
      <c r="G6636" s="248">
        <f>F6636*E6636</f>
        <v>877.5</v>
      </c>
    </row>
    <row r="6637" spans="1:8">
      <c r="A6637" s="294"/>
      <c r="B6637" s="410" t="s">
        <v>808</v>
      </c>
      <c r="C6637" s="247"/>
      <c r="D6637" s="247" t="s">
        <v>2646</v>
      </c>
      <c r="E6637" s="372">
        <v>1.4E-3</v>
      </c>
      <c r="F6637" s="360">
        <f>'UPAD-BAHAN-ALAT'!$I$71</f>
        <v>176000</v>
      </c>
      <c r="G6637" s="248">
        <f>F6637*E6637</f>
        <v>246.4</v>
      </c>
    </row>
    <row r="6638" spans="1:8">
      <c r="A6638" s="294"/>
      <c r="B6638" s="410" t="s">
        <v>3602</v>
      </c>
      <c r="C6638" s="247"/>
      <c r="D6638" s="247" t="s">
        <v>1423</v>
      </c>
      <c r="E6638" s="372">
        <v>1</v>
      </c>
      <c r="F6638" s="360">
        <f>'UPAD-BAHAN-ALAT'!$I$524</f>
        <v>55000</v>
      </c>
      <c r="G6638" s="248">
        <f>F6638*E6638</f>
        <v>55000</v>
      </c>
    </row>
    <row r="6639" spans="1:8">
      <c r="A6639" s="294"/>
      <c r="B6639" s="295"/>
      <c r="C6639" s="296"/>
      <c r="D6639" s="296"/>
      <c r="E6639" s="1146" t="s">
        <v>702</v>
      </c>
      <c r="F6639" s="1146"/>
      <c r="G6639" s="248">
        <f>SUM(G6636:G6638)</f>
        <v>56123.9</v>
      </c>
    </row>
    <row r="6640" spans="1:8" s="265" customFormat="1">
      <c r="A6640" s="294" t="s">
        <v>703</v>
      </c>
      <c r="B6640" s="1147" t="s">
        <v>3910</v>
      </c>
      <c r="C6640" s="1147"/>
      <c r="D6640" s="1147"/>
      <c r="E6640" s="1147"/>
      <c r="F6640" s="1147"/>
      <c r="G6640" s="255">
        <f>G6634+G6639</f>
        <v>86518.9</v>
      </c>
    </row>
    <row r="6641" spans="1:8" s="265" customFormat="1">
      <c r="A6641" s="294" t="s">
        <v>706</v>
      </c>
      <c r="B6641" s="1148" t="s">
        <v>876</v>
      </c>
      <c r="C6641" s="1148"/>
      <c r="D6641" s="1148"/>
      <c r="E6641" s="1147" t="s">
        <v>4030</v>
      </c>
      <c r="F6641" s="1147"/>
      <c r="G6641" s="255">
        <f>G6640*0.15</f>
        <v>12977.834999999999</v>
      </c>
    </row>
    <row r="6642" spans="1:8" s="265" customFormat="1">
      <c r="A6642" s="294" t="s">
        <v>708</v>
      </c>
      <c r="B6642" s="1149" t="s">
        <v>3911</v>
      </c>
      <c r="C6642" s="1149"/>
      <c r="D6642" s="1149"/>
      <c r="E6642" s="1149"/>
      <c r="F6642" s="1149"/>
      <c r="G6642" s="255">
        <f>ROUND(SUM(G6640:G6641),2)</f>
        <v>99496.74</v>
      </c>
      <c r="H6642" s="255">
        <f>SUM(G6640:G6641)</f>
        <v>99496.734999999986</v>
      </c>
    </row>
    <row r="6643" spans="1:8">
      <c r="A6643" s="252"/>
      <c r="B6643" s="251"/>
      <c r="C6643" s="252"/>
      <c r="D6643" s="251"/>
      <c r="E6643" s="378"/>
      <c r="F6643" s="364"/>
      <c r="G6643" s="264"/>
      <c r="H6643" s="253"/>
    </row>
    <row r="6644" spans="1:8">
      <c r="A6644" s="286" t="s">
        <v>4403</v>
      </c>
      <c r="B6644" s="265" t="s">
        <v>3603</v>
      </c>
    </row>
    <row r="6645" spans="1:8" s="292" customFormat="1" ht="24.95" customHeight="1">
      <c r="A6645" s="290" t="s">
        <v>1003</v>
      </c>
      <c r="B6645" s="290" t="s">
        <v>1004</v>
      </c>
      <c r="C6645" s="290" t="s">
        <v>1005</v>
      </c>
      <c r="D6645" s="290" t="s">
        <v>1006</v>
      </c>
      <c r="E6645" s="373" t="s">
        <v>1007</v>
      </c>
      <c r="F6645" s="363" t="s">
        <v>2637</v>
      </c>
      <c r="G6645" s="291" t="s">
        <v>2638</v>
      </c>
    </row>
    <row r="6646" spans="1:8">
      <c r="A6646" s="294" t="s">
        <v>671</v>
      </c>
      <c r="B6646" s="410" t="s">
        <v>672</v>
      </c>
      <c r="C6646" s="247"/>
      <c r="D6646" s="247"/>
      <c r="E6646" s="372"/>
      <c r="F6646" s="360"/>
      <c r="G6646" s="248"/>
    </row>
    <row r="6647" spans="1:8">
      <c r="A6647" s="294"/>
      <c r="B6647" s="410" t="s">
        <v>673</v>
      </c>
      <c r="C6647" s="247" t="s">
        <v>674</v>
      </c>
      <c r="D6647" s="247" t="s">
        <v>675</v>
      </c>
      <c r="E6647" s="372">
        <v>8.1000000000000003E-2</v>
      </c>
      <c r="F6647" s="360">
        <f>'UPAD-BAHAN-ALAT'!$I$12</f>
        <v>110000</v>
      </c>
      <c r="G6647" s="248">
        <f>F6647*E6647</f>
        <v>8910</v>
      </c>
    </row>
    <row r="6648" spans="1:8">
      <c r="A6648" s="294"/>
      <c r="B6648" s="410" t="s">
        <v>731</v>
      </c>
      <c r="C6648" s="247" t="s">
        <v>678</v>
      </c>
      <c r="D6648" s="247" t="s">
        <v>675</v>
      </c>
      <c r="E6648" s="372">
        <v>0.13500000000000001</v>
      </c>
      <c r="F6648" s="360">
        <f>'UPAD-BAHAN-ALAT'!$I$13</f>
        <v>140000</v>
      </c>
      <c r="G6648" s="248">
        <f>F6648*E6648</f>
        <v>18900</v>
      </c>
    </row>
    <row r="6649" spans="1:8">
      <c r="A6649" s="294"/>
      <c r="B6649" s="410" t="s">
        <v>751</v>
      </c>
      <c r="C6649" s="247" t="s">
        <v>681</v>
      </c>
      <c r="D6649" s="247" t="s">
        <v>675</v>
      </c>
      <c r="E6649" s="372">
        <v>1.35E-2</v>
      </c>
      <c r="F6649" s="360">
        <f>'UPAD-BAHAN-ALAT'!$I$15</f>
        <v>150000</v>
      </c>
      <c r="G6649" s="248">
        <f>F6649*E6649</f>
        <v>2025</v>
      </c>
    </row>
    <row r="6650" spans="1:8">
      <c r="A6650" s="294"/>
      <c r="B6650" s="410" t="s">
        <v>683</v>
      </c>
      <c r="C6650" s="247" t="s">
        <v>684</v>
      </c>
      <c r="D6650" s="247" t="s">
        <v>675</v>
      </c>
      <c r="E6650" s="372">
        <v>4.0000000000000001E-3</v>
      </c>
      <c r="F6650" s="360">
        <f>'UPAD-BAHAN-ALAT'!$I$14</f>
        <v>140000</v>
      </c>
      <c r="G6650" s="248">
        <f>F6650*E6650</f>
        <v>560</v>
      </c>
    </row>
    <row r="6651" spans="1:8">
      <c r="A6651" s="294"/>
      <c r="B6651" s="410"/>
      <c r="C6651" s="247"/>
      <c r="D6651" s="247"/>
      <c r="E6651" s="1146" t="s">
        <v>685</v>
      </c>
      <c r="F6651" s="1146"/>
      <c r="G6651" s="248">
        <f>SUM(G6647:G6650)</f>
        <v>30395</v>
      </c>
    </row>
    <row r="6652" spans="1:8">
      <c r="A6652" s="294" t="s">
        <v>686</v>
      </c>
      <c r="B6652" s="410" t="s">
        <v>687</v>
      </c>
      <c r="C6652" s="247"/>
      <c r="D6652" s="247"/>
      <c r="E6652" s="372"/>
      <c r="F6652" s="360"/>
      <c r="G6652" s="248"/>
    </row>
    <row r="6653" spans="1:8">
      <c r="A6653" s="294"/>
      <c r="B6653" s="410" t="s">
        <v>3593</v>
      </c>
      <c r="C6653" s="247"/>
      <c r="D6653" s="247" t="s">
        <v>2958</v>
      </c>
      <c r="E6653" s="372">
        <v>1.35E-2</v>
      </c>
      <c r="F6653" s="360">
        <f>'UPAD-BAHAN-ALAT'!$I$76</f>
        <v>65000</v>
      </c>
      <c r="G6653" s="248">
        <f>F6653*E6653</f>
        <v>877.5</v>
      </c>
    </row>
    <row r="6654" spans="1:8">
      <c r="A6654" s="247"/>
      <c r="B6654" s="410" t="s">
        <v>808</v>
      </c>
      <c r="C6654" s="247"/>
      <c r="D6654" s="247" t="s">
        <v>2646</v>
      </c>
      <c r="E6654" s="372">
        <v>1.4E-3</v>
      </c>
      <c r="F6654" s="360">
        <f>'UPAD-BAHAN-ALAT'!$I$71</f>
        <v>176000</v>
      </c>
      <c r="G6654" s="248">
        <f>F6654*E6654</f>
        <v>246.4</v>
      </c>
    </row>
    <row r="6655" spans="1:8">
      <c r="A6655" s="247"/>
      <c r="B6655" s="410" t="s">
        <v>3604</v>
      </c>
      <c r="C6655" s="247"/>
      <c r="D6655" s="247" t="s">
        <v>1423</v>
      </c>
      <c r="E6655" s="372">
        <v>1</v>
      </c>
      <c r="F6655" s="360">
        <f>'UPAD-BAHAN-ALAT'!$I$525</f>
        <v>60000</v>
      </c>
      <c r="G6655" s="248">
        <f>F6655*E6655</f>
        <v>60000</v>
      </c>
    </row>
    <row r="6656" spans="1:8">
      <c r="A6656" s="247"/>
      <c r="B6656" s="295"/>
      <c r="C6656" s="296"/>
      <c r="D6656" s="296"/>
      <c r="E6656" s="1146" t="s">
        <v>702</v>
      </c>
      <c r="F6656" s="1146"/>
      <c r="G6656" s="248">
        <f>SUM(G6653:G6655)</f>
        <v>61123.9</v>
      </c>
    </row>
    <row r="6657" spans="1:8" s="265" customFormat="1">
      <c r="A6657" s="294" t="s">
        <v>703</v>
      </c>
      <c r="B6657" s="1147" t="s">
        <v>3910</v>
      </c>
      <c r="C6657" s="1147"/>
      <c r="D6657" s="1147"/>
      <c r="E6657" s="1147"/>
      <c r="F6657" s="1147"/>
      <c r="G6657" s="255">
        <f>G6651+G6656</f>
        <v>91518.9</v>
      </c>
    </row>
    <row r="6658" spans="1:8" s="265" customFormat="1">
      <c r="A6658" s="294" t="s">
        <v>706</v>
      </c>
      <c r="B6658" s="1148" t="s">
        <v>876</v>
      </c>
      <c r="C6658" s="1148"/>
      <c r="D6658" s="1148"/>
      <c r="E6658" s="1147" t="s">
        <v>4030</v>
      </c>
      <c r="F6658" s="1147"/>
      <c r="G6658" s="255">
        <f>G6657*0.15</f>
        <v>13727.834999999999</v>
      </c>
    </row>
    <row r="6659" spans="1:8" s="265" customFormat="1">
      <c r="A6659" s="294" t="s">
        <v>708</v>
      </c>
      <c r="B6659" s="1149" t="s">
        <v>3911</v>
      </c>
      <c r="C6659" s="1149"/>
      <c r="D6659" s="1149"/>
      <c r="E6659" s="1149"/>
      <c r="F6659" s="1149"/>
      <c r="G6659" s="255">
        <f>ROUND(SUM(G6657:G6658),2)</f>
        <v>105246.74</v>
      </c>
      <c r="H6659" s="255">
        <f>SUM(G6657:G6658)</f>
        <v>105246.73499999999</v>
      </c>
    </row>
    <row r="6660" spans="1:8">
      <c r="A6660" s="252"/>
      <c r="B6660" s="251"/>
      <c r="C6660" s="252"/>
      <c r="D6660" s="251"/>
      <c r="E6660" s="378"/>
      <c r="F6660" s="364"/>
      <c r="G6660" s="264"/>
      <c r="H6660" s="253"/>
    </row>
    <row r="6661" spans="1:8">
      <c r="A6661" s="286" t="s">
        <v>4404</v>
      </c>
      <c r="B6661" s="265" t="s">
        <v>3605</v>
      </c>
    </row>
    <row r="6662" spans="1:8" s="292" customFormat="1" ht="24.95" customHeight="1">
      <c r="A6662" s="290" t="s">
        <v>1003</v>
      </c>
      <c r="B6662" s="290" t="s">
        <v>1004</v>
      </c>
      <c r="C6662" s="290" t="s">
        <v>1005</v>
      </c>
      <c r="D6662" s="290" t="s">
        <v>1006</v>
      </c>
      <c r="E6662" s="373" t="s">
        <v>1007</v>
      </c>
      <c r="F6662" s="363" t="s">
        <v>2637</v>
      </c>
      <c r="G6662" s="291" t="s">
        <v>2638</v>
      </c>
    </row>
    <row r="6663" spans="1:8">
      <c r="A6663" s="294" t="s">
        <v>671</v>
      </c>
      <c r="B6663" s="410" t="s">
        <v>672</v>
      </c>
      <c r="C6663" s="247"/>
      <c r="D6663" s="247"/>
      <c r="E6663" s="372"/>
      <c r="F6663" s="360"/>
      <c r="G6663" s="248"/>
    </row>
    <row r="6664" spans="1:8">
      <c r="A6664" s="294"/>
      <c r="B6664" s="410" t="s">
        <v>673</v>
      </c>
      <c r="C6664" s="247" t="s">
        <v>674</v>
      </c>
      <c r="D6664" s="247" t="s">
        <v>675</v>
      </c>
      <c r="E6664" s="372">
        <v>8.1000000000000003E-2</v>
      </c>
      <c r="F6664" s="360">
        <f>'UPAD-BAHAN-ALAT'!$I$12</f>
        <v>110000</v>
      </c>
      <c r="G6664" s="248">
        <f>F6664*E6664</f>
        <v>8910</v>
      </c>
    </row>
    <row r="6665" spans="1:8">
      <c r="A6665" s="294"/>
      <c r="B6665" s="410" t="s">
        <v>731</v>
      </c>
      <c r="C6665" s="247" t="s">
        <v>678</v>
      </c>
      <c r="D6665" s="247" t="s">
        <v>675</v>
      </c>
      <c r="E6665" s="372">
        <v>0.13500000000000001</v>
      </c>
      <c r="F6665" s="360">
        <f>'UPAD-BAHAN-ALAT'!$I$13</f>
        <v>140000</v>
      </c>
      <c r="G6665" s="248">
        <f>F6665*E6665</f>
        <v>18900</v>
      </c>
    </row>
    <row r="6666" spans="1:8">
      <c r="A6666" s="294"/>
      <c r="B6666" s="410" t="s">
        <v>751</v>
      </c>
      <c r="C6666" s="247" t="s">
        <v>681</v>
      </c>
      <c r="D6666" s="247" t="s">
        <v>675</v>
      </c>
      <c r="E6666" s="372">
        <v>1.35E-2</v>
      </c>
      <c r="F6666" s="360">
        <f>'UPAD-BAHAN-ALAT'!$I$15</f>
        <v>150000</v>
      </c>
      <c r="G6666" s="248">
        <f>F6666*E6666</f>
        <v>2025</v>
      </c>
    </row>
    <row r="6667" spans="1:8">
      <c r="A6667" s="294"/>
      <c r="B6667" s="410" t="s">
        <v>683</v>
      </c>
      <c r="C6667" s="247" t="s">
        <v>684</v>
      </c>
      <c r="D6667" s="247" t="s">
        <v>675</v>
      </c>
      <c r="E6667" s="372">
        <v>4.0000000000000001E-3</v>
      </c>
      <c r="F6667" s="360">
        <f>'UPAD-BAHAN-ALAT'!$I$14</f>
        <v>140000</v>
      </c>
      <c r="G6667" s="248">
        <f>F6667*E6667</f>
        <v>560</v>
      </c>
    </row>
    <row r="6668" spans="1:8">
      <c r="A6668" s="294"/>
      <c r="B6668" s="410"/>
      <c r="C6668" s="247"/>
      <c r="D6668" s="247"/>
      <c r="E6668" s="1146" t="s">
        <v>685</v>
      </c>
      <c r="F6668" s="1146"/>
      <c r="G6668" s="248">
        <f>SUM(G6664:G6667)</f>
        <v>30395</v>
      </c>
    </row>
    <row r="6669" spans="1:8">
      <c r="A6669" s="294" t="s">
        <v>686</v>
      </c>
      <c r="B6669" s="410" t="s">
        <v>687</v>
      </c>
      <c r="C6669" s="247"/>
      <c r="D6669" s="247"/>
      <c r="E6669" s="372"/>
      <c r="F6669" s="360"/>
      <c r="G6669" s="248"/>
    </row>
    <row r="6670" spans="1:8">
      <c r="A6670" s="294"/>
      <c r="B6670" s="410" t="s">
        <v>3593</v>
      </c>
      <c r="C6670" s="247"/>
      <c r="D6670" s="247" t="s">
        <v>2958</v>
      </c>
      <c r="E6670" s="372">
        <v>1.35E-2</v>
      </c>
      <c r="F6670" s="360">
        <f>'UPAD-BAHAN-ALAT'!$I$76</f>
        <v>65000</v>
      </c>
      <c r="G6670" s="248">
        <f>F6670*E6670</f>
        <v>877.5</v>
      </c>
    </row>
    <row r="6671" spans="1:8">
      <c r="A6671" s="247"/>
      <c r="B6671" s="410" t="s">
        <v>808</v>
      </c>
      <c r="C6671" s="247"/>
      <c r="D6671" s="247" t="s">
        <v>2646</v>
      </c>
      <c r="E6671" s="372">
        <v>1.4E-3</v>
      </c>
      <c r="F6671" s="360">
        <f>'UPAD-BAHAN-ALAT'!$I$71</f>
        <v>176000</v>
      </c>
      <c r="G6671" s="248">
        <f>F6671*E6671</f>
        <v>246.4</v>
      </c>
    </row>
    <row r="6672" spans="1:8">
      <c r="A6672" s="247"/>
      <c r="B6672" s="410" t="s">
        <v>3606</v>
      </c>
      <c r="C6672" s="247"/>
      <c r="D6672" s="247" t="s">
        <v>1423</v>
      </c>
      <c r="E6672" s="372">
        <v>1</v>
      </c>
      <c r="F6672" s="360">
        <f>'UPAD-BAHAN-ALAT'!$I$526</f>
        <v>80000</v>
      </c>
      <c r="G6672" s="248">
        <f>F6672*E6672</f>
        <v>80000</v>
      </c>
    </row>
    <row r="6673" spans="1:8">
      <c r="A6673" s="247"/>
      <c r="B6673" s="295"/>
      <c r="C6673" s="296"/>
      <c r="D6673" s="296"/>
      <c r="E6673" s="1146" t="s">
        <v>702</v>
      </c>
      <c r="F6673" s="1146"/>
      <c r="G6673" s="248">
        <f>SUM(G6670:G6672)</f>
        <v>81123.899999999994</v>
      </c>
    </row>
    <row r="6674" spans="1:8" s="265" customFormat="1">
      <c r="A6674" s="294" t="s">
        <v>703</v>
      </c>
      <c r="B6674" s="1147" t="s">
        <v>3910</v>
      </c>
      <c r="C6674" s="1147"/>
      <c r="D6674" s="1147"/>
      <c r="E6674" s="1147"/>
      <c r="F6674" s="1147"/>
      <c r="G6674" s="255">
        <f>G6668+G6673</f>
        <v>111518.9</v>
      </c>
    </row>
    <row r="6675" spans="1:8" s="265" customFormat="1">
      <c r="A6675" s="294" t="s">
        <v>706</v>
      </c>
      <c r="B6675" s="1148" t="s">
        <v>876</v>
      </c>
      <c r="C6675" s="1148"/>
      <c r="D6675" s="1148"/>
      <c r="E6675" s="1147" t="s">
        <v>4030</v>
      </c>
      <c r="F6675" s="1147"/>
      <c r="G6675" s="255">
        <f>G6674*0.15</f>
        <v>16727.834999999999</v>
      </c>
    </row>
    <row r="6676" spans="1:8" s="265" customFormat="1">
      <c r="A6676" s="294" t="s">
        <v>708</v>
      </c>
      <c r="B6676" s="1149" t="s">
        <v>3911</v>
      </c>
      <c r="C6676" s="1149"/>
      <c r="D6676" s="1149"/>
      <c r="E6676" s="1149"/>
      <c r="F6676" s="1149"/>
      <c r="G6676" s="255">
        <f>ROUND(SUM(G6674:G6675),2)</f>
        <v>128246.74</v>
      </c>
      <c r="H6676" s="255">
        <f>SUM(G6674:G6675)</f>
        <v>128246.73499999999</v>
      </c>
    </row>
    <row r="6677" spans="1:8">
      <c r="A6677" s="268"/>
      <c r="B6677" s="269"/>
      <c r="C6677" s="268"/>
      <c r="D6677" s="268"/>
      <c r="E6677" s="380"/>
      <c r="F6677" s="365"/>
      <c r="G6677" s="270"/>
    </row>
    <row r="6678" spans="1:8">
      <c r="A6678" s="284" t="s">
        <v>4405</v>
      </c>
      <c r="B6678" s="250" t="s">
        <v>2714</v>
      </c>
      <c r="C6678" s="252"/>
      <c r="D6678" s="252"/>
      <c r="E6678" s="374"/>
      <c r="F6678" s="361"/>
      <c r="G6678" s="253"/>
    </row>
    <row r="6679" spans="1:8" s="292" customFormat="1" ht="24.95" customHeight="1">
      <c r="A6679" s="290" t="s">
        <v>1003</v>
      </c>
      <c r="B6679" s="290" t="s">
        <v>1004</v>
      </c>
      <c r="C6679" s="290" t="s">
        <v>1005</v>
      </c>
      <c r="D6679" s="290" t="s">
        <v>1006</v>
      </c>
      <c r="E6679" s="373" t="s">
        <v>1007</v>
      </c>
      <c r="F6679" s="363" t="s">
        <v>2637</v>
      </c>
      <c r="G6679" s="291" t="s">
        <v>2638</v>
      </c>
    </row>
    <row r="6680" spans="1:8">
      <c r="A6680" s="294" t="s">
        <v>671</v>
      </c>
      <c r="B6680" s="410" t="s">
        <v>672</v>
      </c>
      <c r="C6680" s="247"/>
      <c r="D6680" s="247"/>
      <c r="E6680" s="372"/>
      <c r="F6680" s="360"/>
      <c r="G6680" s="248"/>
    </row>
    <row r="6681" spans="1:8">
      <c r="A6681" s="294"/>
      <c r="B6681" s="410" t="s">
        <v>673</v>
      </c>
      <c r="C6681" s="247" t="s">
        <v>674</v>
      </c>
      <c r="D6681" s="247" t="s">
        <v>675</v>
      </c>
      <c r="E6681" s="372">
        <v>0.08</v>
      </c>
      <c r="F6681" s="360">
        <f>'UPAD-BAHAN-ALAT'!$I$12</f>
        <v>110000</v>
      </c>
      <c r="G6681" s="248">
        <f>F6681*E6681</f>
        <v>8800</v>
      </c>
    </row>
    <row r="6682" spans="1:8">
      <c r="A6682" s="294"/>
      <c r="B6682" s="410" t="s">
        <v>731</v>
      </c>
      <c r="C6682" s="247" t="s">
        <v>678</v>
      </c>
      <c r="D6682" s="247" t="s">
        <v>675</v>
      </c>
      <c r="E6682" s="372">
        <v>0.04</v>
      </c>
      <c r="F6682" s="360">
        <f>'UPAD-BAHAN-ALAT'!$I$13</f>
        <v>140000</v>
      </c>
      <c r="G6682" s="248">
        <f>F6682*E6682</f>
        <v>5600</v>
      </c>
    </row>
    <row r="6683" spans="1:8">
      <c r="A6683" s="294"/>
      <c r="B6683" s="410" t="s">
        <v>751</v>
      </c>
      <c r="C6683" s="247" t="s">
        <v>681</v>
      </c>
      <c r="D6683" s="247" t="s">
        <v>675</v>
      </c>
      <c r="E6683" s="372">
        <v>4.0000000000000001E-3</v>
      </c>
      <c r="F6683" s="360">
        <f>'UPAD-BAHAN-ALAT'!$I$15</f>
        <v>150000</v>
      </c>
      <c r="G6683" s="248">
        <f>F6683*E6683</f>
        <v>600</v>
      </c>
    </row>
    <row r="6684" spans="1:8">
      <c r="A6684" s="294"/>
      <c r="B6684" s="410" t="s">
        <v>683</v>
      </c>
      <c r="C6684" s="247" t="s">
        <v>684</v>
      </c>
      <c r="D6684" s="247" t="s">
        <v>675</v>
      </c>
      <c r="E6684" s="372">
        <v>4.0000000000000001E-3</v>
      </c>
      <c r="F6684" s="360">
        <f>'UPAD-BAHAN-ALAT'!$I$14</f>
        <v>140000</v>
      </c>
      <c r="G6684" s="248">
        <f>F6684*E6684</f>
        <v>560</v>
      </c>
    </row>
    <row r="6685" spans="1:8">
      <c r="A6685" s="294"/>
      <c r="B6685" s="410"/>
      <c r="C6685" s="247"/>
      <c r="D6685" s="247"/>
      <c r="E6685" s="1146" t="s">
        <v>685</v>
      </c>
      <c r="F6685" s="1146"/>
      <c r="G6685" s="248">
        <f>SUM(G6681:G6684)</f>
        <v>15560</v>
      </c>
    </row>
    <row r="6686" spans="1:8">
      <c r="A6686" s="294" t="s">
        <v>686</v>
      </c>
      <c r="B6686" s="410" t="s">
        <v>687</v>
      </c>
      <c r="C6686" s="247"/>
      <c r="D6686" s="247"/>
      <c r="E6686" s="372"/>
      <c r="F6686" s="360"/>
      <c r="G6686" s="248"/>
    </row>
    <row r="6687" spans="1:8">
      <c r="A6687" s="247"/>
      <c r="B6687" s="410" t="s">
        <v>1472</v>
      </c>
      <c r="C6687" s="247"/>
      <c r="D6687" s="247" t="s">
        <v>743</v>
      </c>
      <c r="E6687" s="372">
        <v>1.6</v>
      </c>
      <c r="F6687" s="360">
        <f>'UPAD-BAHAN-ALAT'!$I$556</f>
        <v>450000</v>
      </c>
      <c r="G6687" s="248">
        <f>F6687*E6687</f>
        <v>720000</v>
      </c>
    </row>
    <row r="6688" spans="1:8">
      <c r="A6688" s="247"/>
      <c r="B6688" s="410" t="s">
        <v>1420</v>
      </c>
      <c r="C6688" s="247"/>
      <c r="D6688" s="247" t="s">
        <v>690</v>
      </c>
      <c r="E6688" s="372">
        <v>35</v>
      </c>
      <c r="F6688" s="360">
        <f>'UPAD-BAHAN-ALAT'!$I$77</f>
        <v>1625</v>
      </c>
      <c r="G6688" s="248">
        <f>F6688*E6688</f>
        <v>56875</v>
      </c>
    </row>
    <row r="6689" spans="1:7">
      <c r="A6689" s="247"/>
      <c r="B6689" s="410" t="s">
        <v>739</v>
      </c>
      <c r="C6689" s="247"/>
      <c r="D6689" s="247" t="s">
        <v>881</v>
      </c>
      <c r="E6689" s="372">
        <v>1.4E-2</v>
      </c>
      <c r="F6689" s="360">
        <f>'UPAD-BAHAN-ALAT'!$I$71</f>
        <v>176000</v>
      </c>
      <c r="G6689" s="248">
        <f>F6689*E6689</f>
        <v>2464</v>
      </c>
    </row>
    <row r="6690" spans="1:7">
      <c r="A6690" s="247"/>
      <c r="B6690" s="410" t="s">
        <v>803</v>
      </c>
      <c r="C6690" s="247"/>
      <c r="D6690" s="247" t="s">
        <v>881</v>
      </c>
      <c r="E6690" s="372">
        <v>1.4E-2</v>
      </c>
      <c r="F6690" s="360">
        <f>'UPAD-BAHAN-ALAT'!$I$73</f>
        <v>126500</v>
      </c>
      <c r="G6690" s="248">
        <f>F6690*E6690</f>
        <v>1771</v>
      </c>
    </row>
    <row r="6691" spans="1:7">
      <c r="A6691" s="247"/>
      <c r="B6691" s="295"/>
      <c r="C6691" s="296"/>
      <c r="D6691" s="296"/>
      <c r="E6691" s="1146" t="s">
        <v>702</v>
      </c>
      <c r="F6691" s="1146"/>
      <c r="G6691" s="248">
        <f>SUM(G6687:G6690)</f>
        <v>781110</v>
      </c>
    </row>
    <row r="6692" spans="1:7" s="265" customFormat="1">
      <c r="A6692" s="294" t="s">
        <v>703</v>
      </c>
      <c r="B6692" s="1147" t="s">
        <v>3910</v>
      </c>
      <c r="C6692" s="1147"/>
      <c r="D6692" s="1147"/>
      <c r="E6692" s="1147"/>
      <c r="F6692" s="1147"/>
      <c r="G6692" s="255">
        <f>G6685+G6691</f>
        <v>796670</v>
      </c>
    </row>
    <row r="6693" spans="1:7" s="265" customFormat="1">
      <c r="A6693" s="294" t="s">
        <v>706</v>
      </c>
      <c r="B6693" s="1148" t="s">
        <v>876</v>
      </c>
      <c r="C6693" s="1148"/>
      <c r="D6693" s="1148"/>
      <c r="E6693" s="1147" t="s">
        <v>4030</v>
      </c>
      <c r="F6693" s="1147"/>
      <c r="G6693" s="255">
        <f>G6692*0.15</f>
        <v>119500.5</v>
      </c>
    </row>
    <row r="6694" spans="1:7" s="265" customFormat="1">
      <c r="A6694" s="294" t="s">
        <v>708</v>
      </c>
      <c r="B6694" s="1149" t="s">
        <v>3911</v>
      </c>
      <c r="C6694" s="1149"/>
      <c r="D6694" s="1149"/>
      <c r="E6694" s="1149"/>
      <c r="F6694" s="1149"/>
      <c r="G6694" s="255">
        <f>ROUND(SUM(G6692:G6693),2)</f>
        <v>916170.5</v>
      </c>
    </row>
    <row r="6696" spans="1:7">
      <c r="A6696" s="286" t="s">
        <v>4406</v>
      </c>
      <c r="B6696" s="265" t="s">
        <v>4576</v>
      </c>
    </row>
    <row r="6697" spans="1:7" s="292" customFormat="1" ht="24.95" customHeight="1">
      <c r="A6697" s="290" t="s">
        <v>1003</v>
      </c>
      <c r="B6697" s="290" t="s">
        <v>1004</v>
      </c>
      <c r="C6697" s="290" t="s">
        <v>1005</v>
      </c>
      <c r="D6697" s="290" t="s">
        <v>1006</v>
      </c>
      <c r="E6697" s="373" t="s">
        <v>1007</v>
      </c>
      <c r="F6697" s="363" t="s">
        <v>2637</v>
      </c>
      <c r="G6697" s="291" t="s">
        <v>2638</v>
      </c>
    </row>
    <row r="6698" spans="1:7">
      <c r="A6698" s="294" t="s">
        <v>671</v>
      </c>
      <c r="B6698" s="410" t="s">
        <v>672</v>
      </c>
      <c r="C6698" s="247"/>
      <c r="D6698" s="247"/>
      <c r="E6698" s="372"/>
      <c r="F6698" s="360"/>
      <c r="G6698" s="248"/>
    </row>
    <row r="6699" spans="1:7">
      <c r="A6699" s="294"/>
      <c r="B6699" s="410" t="s">
        <v>673</v>
      </c>
      <c r="C6699" s="247" t="s">
        <v>674</v>
      </c>
      <c r="D6699" s="247" t="s">
        <v>675</v>
      </c>
      <c r="E6699" s="372">
        <v>0.06</v>
      </c>
      <c r="F6699" s="360">
        <f>'UPAD-BAHAN-ALAT'!$I$12</f>
        <v>110000</v>
      </c>
      <c r="G6699" s="248">
        <f>F6699*E6699</f>
        <v>6600</v>
      </c>
    </row>
    <row r="6700" spans="1:7">
      <c r="A6700" s="294"/>
      <c r="B6700" s="410" t="s">
        <v>731</v>
      </c>
      <c r="C6700" s="247" t="s">
        <v>678</v>
      </c>
      <c r="D6700" s="247" t="s">
        <v>675</v>
      </c>
      <c r="E6700" s="372">
        <v>0.03</v>
      </c>
      <c r="F6700" s="360">
        <f>'UPAD-BAHAN-ALAT'!$I$13</f>
        <v>140000</v>
      </c>
      <c r="G6700" s="248">
        <f>F6700*E6700</f>
        <v>4200</v>
      </c>
    </row>
    <row r="6701" spans="1:7">
      <c r="A6701" s="294"/>
      <c r="B6701" s="410" t="s">
        <v>751</v>
      </c>
      <c r="C6701" s="247" t="s">
        <v>681</v>
      </c>
      <c r="D6701" s="247" t="s">
        <v>675</v>
      </c>
      <c r="E6701" s="372">
        <v>3.0000000000000001E-3</v>
      </c>
      <c r="F6701" s="360">
        <f>'UPAD-BAHAN-ALAT'!$I$15</f>
        <v>150000</v>
      </c>
      <c r="G6701" s="248">
        <f>F6701*E6701</f>
        <v>450</v>
      </c>
    </row>
    <row r="6702" spans="1:7">
      <c r="A6702" s="294"/>
      <c r="B6702" s="410" t="s">
        <v>683</v>
      </c>
      <c r="C6702" s="247" t="s">
        <v>684</v>
      </c>
      <c r="D6702" s="247" t="s">
        <v>675</v>
      </c>
      <c r="E6702" s="372">
        <v>3.0000000000000001E-3</v>
      </c>
      <c r="F6702" s="360">
        <f>'UPAD-BAHAN-ALAT'!$I$14</f>
        <v>140000</v>
      </c>
      <c r="G6702" s="248">
        <f>F6702*E6702</f>
        <v>420</v>
      </c>
    </row>
    <row r="6703" spans="1:7">
      <c r="A6703" s="294"/>
      <c r="B6703" s="410"/>
      <c r="C6703" s="247"/>
      <c r="D6703" s="247"/>
      <c r="E6703" s="1146" t="s">
        <v>685</v>
      </c>
      <c r="F6703" s="1146"/>
      <c r="G6703" s="248">
        <f>SUM(G6699:G6702)</f>
        <v>11670</v>
      </c>
    </row>
    <row r="6704" spans="1:7">
      <c r="A6704" s="294" t="s">
        <v>686</v>
      </c>
      <c r="B6704" s="410" t="s">
        <v>687</v>
      </c>
      <c r="C6704" s="247"/>
      <c r="D6704" s="247"/>
      <c r="E6704" s="372"/>
      <c r="F6704" s="360"/>
      <c r="G6704" s="248"/>
    </row>
    <row r="6705" spans="1:7">
      <c r="A6705" s="294"/>
      <c r="B6705" s="410" t="s">
        <v>1473</v>
      </c>
      <c r="C6705" s="247"/>
      <c r="D6705" s="247" t="s">
        <v>743</v>
      </c>
      <c r="E6705" s="372">
        <v>1.6</v>
      </c>
      <c r="F6705" s="360">
        <f>'UPAD-BAHAN-ALAT'!$I$555</f>
        <v>300000</v>
      </c>
      <c r="G6705" s="248">
        <f>F6705*E6705</f>
        <v>480000</v>
      </c>
    </row>
    <row r="6706" spans="1:7">
      <c r="A6706" s="247"/>
      <c r="B6706" s="410" t="s">
        <v>1420</v>
      </c>
      <c r="C6706" s="247"/>
      <c r="D6706" s="247" t="s">
        <v>690</v>
      </c>
      <c r="E6706" s="372">
        <v>0.68</v>
      </c>
      <c r="F6706" s="360">
        <f>'UPAD-BAHAN-ALAT'!$I$77</f>
        <v>1625</v>
      </c>
      <c r="G6706" s="248">
        <f>F6706*E6706</f>
        <v>1105</v>
      </c>
    </row>
    <row r="6707" spans="1:7">
      <c r="A6707" s="247"/>
      <c r="B6707" s="410" t="s">
        <v>739</v>
      </c>
      <c r="C6707" s="247"/>
      <c r="D6707" s="247" t="s">
        <v>881</v>
      </c>
      <c r="E6707" s="372">
        <v>1.2999999999999999E-2</v>
      </c>
      <c r="F6707" s="360">
        <f>'UPAD-BAHAN-ALAT'!$I$71</f>
        <v>176000</v>
      </c>
      <c r="G6707" s="248">
        <f>F6707*E6707</f>
        <v>2288</v>
      </c>
    </row>
    <row r="6708" spans="1:7">
      <c r="A6708" s="247"/>
      <c r="B6708" s="410" t="s">
        <v>803</v>
      </c>
      <c r="C6708" s="247"/>
      <c r="D6708" s="247" t="s">
        <v>881</v>
      </c>
      <c r="E6708" s="372">
        <v>1.0999999999999999E-2</v>
      </c>
      <c r="F6708" s="360">
        <f>'UPAD-BAHAN-ALAT'!$I$73</f>
        <v>126500</v>
      </c>
      <c r="G6708" s="248">
        <f>F6708*E6708</f>
        <v>1391.5</v>
      </c>
    </row>
    <row r="6709" spans="1:7">
      <c r="A6709" s="247"/>
      <c r="B6709" s="295"/>
      <c r="C6709" s="296"/>
      <c r="D6709" s="296"/>
      <c r="E6709" s="1146" t="s">
        <v>702</v>
      </c>
      <c r="F6709" s="1146"/>
      <c r="G6709" s="248">
        <f>SUM(G6705:G6708)</f>
        <v>484784.5</v>
      </c>
    </row>
    <row r="6710" spans="1:7" s="265" customFormat="1">
      <c r="A6710" s="294" t="s">
        <v>703</v>
      </c>
      <c r="B6710" s="1147" t="s">
        <v>3910</v>
      </c>
      <c r="C6710" s="1147"/>
      <c r="D6710" s="1147"/>
      <c r="E6710" s="1147"/>
      <c r="F6710" s="1147"/>
      <c r="G6710" s="255">
        <f>G6703+G6709</f>
        <v>496454.5</v>
      </c>
    </row>
    <row r="6711" spans="1:7" s="265" customFormat="1">
      <c r="A6711" s="294" t="s">
        <v>706</v>
      </c>
      <c r="B6711" s="1148" t="s">
        <v>876</v>
      </c>
      <c r="C6711" s="1148"/>
      <c r="D6711" s="1148"/>
      <c r="E6711" s="1147" t="s">
        <v>4030</v>
      </c>
      <c r="F6711" s="1147"/>
      <c r="G6711" s="255">
        <f>G6710*0.15</f>
        <v>74468.175000000003</v>
      </c>
    </row>
    <row r="6712" spans="1:7" s="265" customFormat="1">
      <c r="A6712" s="294" t="s">
        <v>708</v>
      </c>
      <c r="B6712" s="1149" t="s">
        <v>3911</v>
      </c>
      <c r="C6712" s="1149"/>
      <c r="D6712" s="1149"/>
      <c r="E6712" s="1149"/>
      <c r="F6712" s="1149"/>
      <c r="G6712" s="255">
        <f>ROUND(SUM(G6710:G6711),2)</f>
        <v>570922.68000000005</v>
      </c>
    </row>
    <row r="6713" spans="1:7">
      <c r="A6713" s="268"/>
      <c r="B6713" s="269"/>
      <c r="C6713" s="268"/>
      <c r="D6713" s="268"/>
      <c r="E6713" s="380"/>
      <c r="F6713" s="365"/>
      <c r="G6713" s="270"/>
    </row>
    <row r="6714" spans="1:7">
      <c r="A6714" s="284" t="s">
        <v>4407</v>
      </c>
      <c r="B6714" s="271" t="s">
        <v>2713</v>
      </c>
    </row>
    <row r="6715" spans="1:7">
      <c r="A6715" s="285" t="s">
        <v>3714</v>
      </c>
      <c r="B6715" s="250" t="s">
        <v>3715</v>
      </c>
      <c r="C6715" s="252"/>
      <c r="D6715" s="252"/>
      <c r="E6715" s="374"/>
      <c r="F6715" s="361"/>
      <c r="G6715" s="272"/>
    </row>
    <row r="6716" spans="1:7" s="292" customFormat="1" ht="24.95" customHeight="1">
      <c r="A6716" s="290" t="s">
        <v>1003</v>
      </c>
      <c r="B6716" s="290" t="s">
        <v>1004</v>
      </c>
      <c r="C6716" s="290" t="s">
        <v>1005</v>
      </c>
      <c r="D6716" s="290" t="s">
        <v>1006</v>
      </c>
      <c r="E6716" s="373" t="s">
        <v>1007</v>
      </c>
      <c r="F6716" s="363" t="s">
        <v>2637</v>
      </c>
      <c r="G6716" s="353" t="s">
        <v>2638</v>
      </c>
    </row>
    <row r="6717" spans="1:7">
      <c r="A6717" s="294" t="s">
        <v>671</v>
      </c>
      <c r="B6717" s="410" t="s">
        <v>672</v>
      </c>
      <c r="C6717" s="247"/>
      <c r="D6717" s="247"/>
      <c r="E6717" s="372"/>
      <c r="F6717" s="360"/>
      <c r="G6717" s="274"/>
    </row>
    <row r="6718" spans="1:7">
      <c r="A6718" s="294"/>
      <c r="B6718" s="410" t="s">
        <v>673</v>
      </c>
      <c r="C6718" s="247" t="s">
        <v>674</v>
      </c>
      <c r="D6718" s="247" t="s">
        <v>675</v>
      </c>
      <c r="E6718" s="372">
        <v>8.1000000000000003E-2</v>
      </c>
      <c r="F6718" s="360">
        <f>$F$6664</f>
        <v>110000</v>
      </c>
      <c r="G6718" s="274">
        <f>F6718*E6718</f>
        <v>8910</v>
      </c>
    </row>
    <row r="6719" spans="1:7">
      <c r="A6719" s="294"/>
      <c r="B6719" s="410" t="s">
        <v>1480</v>
      </c>
      <c r="C6719" s="247" t="s">
        <v>678</v>
      </c>
      <c r="D6719" s="247" t="s">
        <v>675</v>
      </c>
      <c r="E6719" s="372">
        <v>4.1000000000000002E-2</v>
      </c>
      <c r="F6719" s="360">
        <f>$F$6665</f>
        <v>140000</v>
      </c>
      <c r="G6719" s="274">
        <f>F6719*E6719</f>
        <v>5740</v>
      </c>
    </row>
    <row r="6720" spans="1:7">
      <c r="A6720" s="294"/>
      <c r="B6720" s="410" t="s">
        <v>751</v>
      </c>
      <c r="C6720" s="247" t="s">
        <v>681</v>
      </c>
      <c r="D6720" s="247" t="s">
        <v>675</v>
      </c>
      <c r="E6720" s="372">
        <v>4.1000000000000003E-3</v>
      </c>
      <c r="F6720" s="360">
        <f>$F$6666</f>
        <v>150000</v>
      </c>
      <c r="G6720" s="274">
        <f>F6720*E6720</f>
        <v>615</v>
      </c>
    </row>
    <row r="6721" spans="1:7">
      <c r="A6721" s="294"/>
      <c r="B6721" s="410" t="s">
        <v>683</v>
      </c>
      <c r="C6721" s="247" t="s">
        <v>684</v>
      </c>
      <c r="D6721" s="247" t="s">
        <v>675</v>
      </c>
      <c r="E6721" s="372">
        <v>8.0000000000000002E-3</v>
      </c>
      <c r="F6721" s="360">
        <f>$F$6667</f>
        <v>140000</v>
      </c>
      <c r="G6721" s="274">
        <f>F6721*E6721</f>
        <v>1120</v>
      </c>
    </row>
    <row r="6722" spans="1:7">
      <c r="A6722" s="294"/>
      <c r="B6722" s="410"/>
      <c r="C6722" s="247"/>
      <c r="D6722" s="247"/>
      <c r="E6722" s="1146" t="s">
        <v>685</v>
      </c>
      <c r="F6722" s="1146"/>
      <c r="G6722" s="274">
        <f>SUM(G6718:G6721)</f>
        <v>16385</v>
      </c>
    </row>
    <row r="6723" spans="1:7">
      <c r="A6723" s="294" t="s">
        <v>686</v>
      </c>
      <c r="B6723" s="410" t="s">
        <v>687</v>
      </c>
      <c r="C6723" s="247"/>
      <c r="D6723" s="247"/>
      <c r="E6723" s="372"/>
      <c r="F6723" s="360"/>
      <c r="G6723" s="274"/>
    </row>
    <row r="6724" spans="1:7">
      <c r="A6724" s="247"/>
      <c r="B6724" s="410" t="s">
        <v>1481</v>
      </c>
      <c r="C6724" s="247"/>
      <c r="D6724" s="247" t="s">
        <v>853</v>
      </c>
      <c r="E6724" s="372">
        <v>1</v>
      </c>
      <c r="F6724" s="360">
        <f>'UPAD-BAHAN-ALAT'!$I$590</f>
        <v>38160</v>
      </c>
      <c r="G6724" s="274">
        <f>F6724*E6724</f>
        <v>38160</v>
      </c>
    </row>
    <row r="6725" spans="1:7">
      <c r="A6725" s="247"/>
      <c r="B6725" s="410" t="s">
        <v>3716</v>
      </c>
      <c r="C6725" s="247"/>
      <c r="D6725" s="247" t="s">
        <v>773</v>
      </c>
      <c r="E6725" s="381">
        <v>0.01</v>
      </c>
      <c r="F6725" s="366">
        <f>'UPAD-BAHAN-ALAT'!$I$599</f>
        <v>125280</v>
      </c>
      <c r="G6725" s="274">
        <f>F6725*E6725</f>
        <v>1252.8</v>
      </c>
    </row>
    <row r="6726" spans="1:7">
      <c r="A6726" s="247"/>
      <c r="B6726" s="410"/>
      <c r="C6726" s="247"/>
      <c r="D6726" s="247"/>
      <c r="E6726" s="1146" t="s">
        <v>702</v>
      </c>
      <c r="F6726" s="1146"/>
      <c r="G6726" s="274">
        <f>SUM(G6724:G6725)</f>
        <v>39412.800000000003</v>
      </c>
    </row>
    <row r="6727" spans="1:7">
      <c r="A6727" s="294" t="s">
        <v>703</v>
      </c>
      <c r="B6727" s="410" t="s">
        <v>704</v>
      </c>
      <c r="C6727" s="247"/>
      <c r="D6727" s="247"/>
      <c r="E6727" s="372"/>
      <c r="F6727" s="360"/>
      <c r="G6727" s="274"/>
    </row>
    <row r="6728" spans="1:7">
      <c r="A6728" s="247"/>
      <c r="B6728" s="256" t="s">
        <v>3655</v>
      </c>
      <c r="C6728" s="247"/>
      <c r="D6728" s="257" t="s">
        <v>1011</v>
      </c>
      <c r="E6728" s="375">
        <v>1</v>
      </c>
      <c r="F6728" s="360">
        <v>7500</v>
      </c>
      <c r="G6728" s="274">
        <f>F6728*E6728</f>
        <v>7500</v>
      </c>
    </row>
    <row r="6729" spans="1:7">
      <c r="A6729" s="247"/>
      <c r="B6729" s="295"/>
      <c r="C6729" s="296"/>
      <c r="D6729" s="296"/>
      <c r="E6729" s="1146" t="s">
        <v>705</v>
      </c>
      <c r="F6729" s="1146"/>
      <c r="G6729" s="274">
        <f>SUM(G6728)</f>
        <v>7500</v>
      </c>
    </row>
    <row r="6730" spans="1:7" s="265" customFormat="1">
      <c r="A6730" s="294" t="s">
        <v>706</v>
      </c>
      <c r="B6730" s="1147" t="s">
        <v>707</v>
      </c>
      <c r="C6730" s="1147"/>
      <c r="D6730" s="1147"/>
      <c r="E6730" s="1147"/>
      <c r="F6730" s="1147"/>
      <c r="G6730" s="273">
        <f>G6722+G6726+G6729</f>
        <v>63297.8</v>
      </c>
    </row>
    <row r="6731" spans="1:7" s="265" customFormat="1">
      <c r="A6731" s="294" t="s">
        <v>708</v>
      </c>
      <c r="B6731" s="1147" t="s">
        <v>709</v>
      </c>
      <c r="C6731" s="1147"/>
      <c r="D6731" s="1147"/>
      <c r="E6731" s="1147" t="s">
        <v>710</v>
      </c>
      <c r="F6731" s="1147"/>
      <c r="G6731" s="255">
        <f>G6730*0.15</f>
        <v>9494.67</v>
      </c>
    </row>
    <row r="6732" spans="1:7" s="265" customFormat="1">
      <c r="A6732" s="294" t="s">
        <v>711</v>
      </c>
      <c r="B6732" s="1149" t="s">
        <v>712</v>
      </c>
      <c r="C6732" s="1149"/>
      <c r="D6732" s="1149"/>
      <c r="E6732" s="1149"/>
      <c r="F6732" s="1149"/>
      <c r="G6732" s="255">
        <f>ROUND(SUM(G6730:G6731),2)</f>
        <v>72792.47</v>
      </c>
    </row>
    <row r="6733" spans="1:7" s="265" customFormat="1">
      <c r="A6733" s="354"/>
      <c r="B6733" s="250"/>
      <c r="C6733" s="250"/>
      <c r="D6733" s="250"/>
      <c r="E6733" s="382"/>
      <c r="F6733" s="367"/>
      <c r="G6733" s="352"/>
    </row>
    <row r="6734" spans="1:7">
      <c r="A6734" s="285" t="s">
        <v>2712</v>
      </c>
      <c r="B6734" s="263" t="s">
        <v>3717</v>
      </c>
      <c r="C6734" s="276"/>
      <c r="D6734" s="276"/>
      <c r="E6734" s="383"/>
      <c r="G6734" s="277"/>
    </row>
    <row r="6735" spans="1:7" s="292" customFormat="1" ht="24.95" customHeight="1">
      <c r="A6735" s="290" t="s">
        <v>1003</v>
      </c>
      <c r="B6735" s="290" t="s">
        <v>1004</v>
      </c>
      <c r="C6735" s="290" t="s">
        <v>1005</v>
      </c>
      <c r="D6735" s="290" t="s">
        <v>1006</v>
      </c>
      <c r="E6735" s="373" t="s">
        <v>1007</v>
      </c>
      <c r="F6735" s="363" t="s">
        <v>2637</v>
      </c>
      <c r="G6735" s="353" t="s">
        <v>2638</v>
      </c>
    </row>
    <row r="6736" spans="1:7">
      <c r="A6736" s="294" t="s">
        <v>671</v>
      </c>
      <c r="B6736" s="410" t="s">
        <v>672</v>
      </c>
      <c r="C6736" s="247"/>
      <c r="D6736" s="247"/>
      <c r="E6736" s="372"/>
      <c r="F6736" s="360"/>
      <c r="G6736" s="274"/>
    </row>
    <row r="6737" spans="1:7">
      <c r="A6737" s="294"/>
      <c r="B6737" s="410" t="s">
        <v>673</v>
      </c>
      <c r="C6737" s="247" t="s">
        <v>674</v>
      </c>
      <c r="D6737" s="247" t="s">
        <v>675</v>
      </c>
      <c r="E6737" s="372">
        <v>9.4E-2</v>
      </c>
      <c r="F6737" s="360">
        <f>$F$6718</f>
        <v>110000</v>
      </c>
      <c r="G6737" s="274">
        <f>F6737*E6737</f>
        <v>10340</v>
      </c>
    </row>
    <row r="6738" spans="1:7">
      <c r="A6738" s="294"/>
      <c r="B6738" s="410" t="s">
        <v>1480</v>
      </c>
      <c r="C6738" s="247" t="s">
        <v>678</v>
      </c>
      <c r="D6738" s="247" t="s">
        <v>675</v>
      </c>
      <c r="E6738" s="372">
        <v>4.7E-2</v>
      </c>
      <c r="F6738" s="360">
        <f>$F$6719</f>
        <v>140000</v>
      </c>
      <c r="G6738" s="274">
        <f>F6738*E6738</f>
        <v>6580</v>
      </c>
    </row>
    <row r="6739" spans="1:7">
      <c r="A6739" s="294"/>
      <c r="B6739" s="410" t="s">
        <v>751</v>
      </c>
      <c r="C6739" s="247" t="s">
        <v>681</v>
      </c>
      <c r="D6739" s="247" t="s">
        <v>675</v>
      </c>
      <c r="E6739" s="372">
        <v>4.7000000000000002E-3</v>
      </c>
      <c r="F6739" s="360">
        <f>$F$6666</f>
        <v>150000</v>
      </c>
      <c r="G6739" s="274">
        <f>F6739*E6739</f>
        <v>705</v>
      </c>
    </row>
    <row r="6740" spans="1:7">
      <c r="A6740" s="294"/>
      <c r="B6740" s="410" t="s">
        <v>683</v>
      </c>
      <c r="C6740" s="247" t="s">
        <v>684</v>
      </c>
      <c r="D6740" s="247" t="s">
        <v>675</v>
      </c>
      <c r="E6740" s="372">
        <v>8.9999999999999993E-3</v>
      </c>
      <c r="F6740" s="360">
        <f>$F$6721</f>
        <v>140000</v>
      </c>
      <c r="G6740" s="274">
        <f>F6740*E6740</f>
        <v>1260</v>
      </c>
    </row>
    <row r="6741" spans="1:7">
      <c r="A6741" s="294"/>
      <c r="B6741" s="410"/>
      <c r="C6741" s="247"/>
      <c r="D6741" s="247"/>
      <c r="E6741" s="1146" t="s">
        <v>685</v>
      </c>
      <c r="F6741" s="1146"/>
      <c r="G6741" s="274">
        <f>SUM(G6737:G6740)</f>
        <v>18885</v>
      </c>
    </row>
    <row r="6742" spans="1:7">
      <c r="A6742" s="294" t="s">
        <v>686</v>
      </c>
      <c r="B6742" s="410" t="s">
        <v>687</v>
      </c>
      <c r="C6742" s="247"/>
      <c r="D6742" s="247"/>
      <c r="E6742" s="372"/>
      <c r="F6742" s="360"/>
      <c r="G6742" s="274"/>
    </row>
    <row r="6743" spans="1:7">
      <c r="A6743" s="294"/>
      <c r="B6743" s="410" t="s">
        <v>1487</v>
      </c>
      <c r="C6743" s="247"/>
      <c r="D6743" s="247" t="s">
        <v>853</v>
      </c>
      <c r="E6743" s="372">
        <v>1</v>
      </c>
      <c r="F6743" s="360">
        <f>'UPAD-BAHAN-ALAT'!$I$589</f>
        <v>79560</v>
      </c>
      <c r="G6743" s="274">
        <f>F6743*E6743</f>
        <v>79560</v>
      </c>
    </row>
    <row r="6744" spans="1:7">
      <c r="A6744" s="294"/>
      <c r="B6744" s="410" t="s">
        <v>3716</v>
      </c>
      <c r="C6744" s="247"/>
      <c r="D6744" s="247" t="s">
        <v>773</v>
      </c>
      <c r="E6744" s="381">
        <v>1.4999999999999999E-2</v>
      </c>
      <c r="F6744" s="366">
        <f>'UPAD-BAHAN-ALAT'!$I$599</f>
        <v>125280</v>
      </c>
      <c r="G6744" s="274">
        <f>F6744*E6744</f>
        <v>1879.1999999999998</v>
      </c>
    </row>
    <row r="6745" spans="1:7">
      <c r="A6745" s="294"/>
      <c r="B6745" s="410"/>
      <c r="C6745" s="247"/>
      <c r="D6745" s="247"/>
      <c r="E6745" s="1146" t="s">
        <v>702</v>
      </c>
      <c r="F6745" s="1146"/>
      <c r="G6745" s="274">
        <f>SUM(G6743:G6744)</f>
        <v>81439.199999999997</v>
      </c>
    </row>
    <row r="6746" spans="1:7">
      <c r="A6746" s="294" t="s">
        <v>703</v>
      </c>
      <c r="B6746" s="410" t="s">
        <v>704</v>
      </c>
      <c r="C6746" s="247"/>
      <c r="D6746" s="247"/>
      <c r="E6746" s="372"/>
      <c r="F6746" s="360"/>
      <c r="G6746" s="274"/>
    </row>
    <row r="6747" spans="1:7">
      <c r="A6747" s="294"/>
      <c r="B6747" s="256" t="s">
        <v>3655</v>
      </c>
      <c r="C6747" s="247"/>
      <c r="D6747" s="257" t="s">
        <v>1011</v>
      </c>
      <c r="E6747" s="375">
        <v>1</v>
      </c>
      <c r="F6747" s="360">
        <v>10000</v>
      </c>
      <c r="G6747" s="274">
        <f>F6747*E6747</f>
        <v>10000</v>
      </c>
    </row>
    <row r="6748" spans="1:7">
      <c r="A6748" s="247"/>
      <c r="B6748" s="295"/>
      <c r="C6748" s="296"/>
      <c r="D6748" s="296"/>
      <c r="E6748" s="1146" t="s">
        <v>705</v>
      </c>
      <c r="F6748" s="1146"/>
      <c r="G6748" s="274">
        <f>SUM(G6747)</f>
        <v>10000</v>
      </c>
    </row>
    <row r="6749" spans="1:7">
      <c r="A6749" s="294" t="s">
        <v>706</v>
      </c>
      <c r="B6749" s="1147" t="s">
        <v>707</v>
      </c>
      <c r="C6749" s="1147"/>
      <c r="D6749" s="1147"/>
      <c r="E6749" s="1147"/>
      <c r="F6749" s="1147"/>
      <c r="G6749" s="273">
        <f>G6741+G6745+G6748</f>
        <v>110324.2</v>
      </c>
    </row>
    <row r="6750" spans="1:7">
      <c r="A6750" s="294" t="s">
        <v>708</v>
      </c>
      <c r="B6750" s="1147" t="s">
        <v>709</v>
      </c>
      <c r="C6750" s="1147"/>
      <c r="D6750" s="1147"/>
      <c r="E6750" s="1147" t="s">
        <v>710</v>
      </c>
      <c r="F6750" s="1147"/>
      <c r="G6750" s="255">
        <f>G6749*0.15</f>
        <v>16548.629999999997</v>
      </c>
    </row>
    <row r="6751" spans="1:7">
      <c r="A6751" s="294" t="s">
        <v>711</v>
      </c>
      <c r="B6751" s="1149" t="s">
        <v>712</v>
      </c>
      <c r="C6751" s="1149"/>
      <c r="D6751" s="1149"/>
      <c r="E6751" s="1149"/>
      <c r="F6751" s="1149"/>
      <c r="G6751" s="255">
        <f>ROUND(SUM(G6749:G6750),2)</f>
        <v>126872.83</v>
      </c>
    </row>
    <row r="6752" spans="1:7">
      <c r="A6752" s="354"/>
      <c r="B6752" s="250"/>
      <c r="C6752" s="250"/>
      <c r="D6752" s="250"/>
      <c r="E6752" s="382"/>
      <c r="F6752" s="367"/>
      <c r="G6752" s="352"/>
    </row>
    <row r="6753" spans="1:7">
      <c r="A6753" s="285" t="s">
        <v>4408</v>
      </c>
      <c r="B6753" s="250" t="s">
        <v>3718</v>
      </c>
      <c r="C6753" s="252"/>
      <c r="D6753" s="252"/>
      <c r="E6753" s="374"/>
      <c r="F6753" s="361"/>
      <c r="G6753" s="272"/>
    </row>
    <row r="6754" spans="1:7" s="292" customFormat="1" ht="24.95" customHeight="1">
      <c r="A6754" s="290" t="s">
        <v>1003</v>
      </c>
      <c r="B6754" s="290" t="s">
        <v>1004</v>
      </c>
      <c r="C6754" s="290" t="s">
        <v>1005</v>
      </c>
      <c r="D6754" s="290" t="s">
        <v>1006</v>
      </c>
      <c r="E6754" s="373" t="s">
        <v>1007</v>
      </c>
      <c r="F6754" s="363" t="s">
        <v>2637</v>
      </c>
      <c r="G6754" s="353" t="s">
        <v>2638</v>
      </c>
    </row>
    <row r="6755" spans="1:7">
      <c r="A6755" s="294" t="s">
        <v>671</v>
      </c>
      <c r="B6755" s="410" t="s">
        <v>672</v>
      </c>
      <c r="C6755" s="247"/>
      <c r="D6755" s="247"/>
      <c r="E6755" s="372"/>
      <c r="F6755" s="360"/>
      <c r="G6755" s="274"/>
    </row>
    <row r="6756" spans="1:7">
      <c r="A6756" s="294"/>
      <c r="B6756" s="410" t="s">
        <v>673</v>
      </c>
      <c r="C6756" s="247" t="s">
        <v>674</v>
      </c>
      <c r="D6756" s="247" t="s">
        <v>675</v>
      </c>
      <c r="E6756" s="372">
        <v>0.105</v>
      </c>
      <c r="F6756" s="360">
        <f>$F$6737</f>
        <v>110000</v>
      </c>
      <c r="G6756" s="274">
        <f>F6756*E6756</f>
        <v>11550</v>
      </c>
    </row>
    <row r="6757" spans="1:7">
      <c r="A6757" s="294"/>
      <c r="B6757" s="410" t="s">
        <v>1480</v>
      </c>
      <c r="C6757" s="247" t="s">
        <v>678</v>
      </c>
      <c r="D6757" s="247" t="s">
        <v>675</v>
      </c>
      <c r="E6757" s="372">
        <v>5.2999999999999999E-2</v>
      </c>
      <c r="F6757" s="360">
        <f>$F$6738</f>
        <v>140000</v>
      </c>
      <c r="G6757" s="274">
        <f>F6757*E6757</f>
        <v>7420</v>
      </c>
    </row>
    <row r="6758" spans="1:7">
      <c r="A6758" s="294"/>
      <c r="B6758" s="410" t="s">
        <v>751</v>
      </c>
      <c r="C6758" s="247" t="s">
        <v>681</v>
      </c>
      <c r="D6758" s="247" t="s">
        <v>675</v>
      </c>
      <c r="E6758" s="372">
        <v>5.3E-3</v>
      </c>
      <c r="F6758" s="360">
        <f>$F$6666</f>
        <v>150000</v>
      </c>
      <c r="G6758" s="274">
        <f>F6758*E6758</f>
        <v>795</v>
      </c>
    </row>
    <row r="6759" spans="1:7">
      <c r="A6759" s="294"/>
      <c r="B6759" s="410" t="s">
        <v>683</v>
      </c>
      <c r="C6759" s="247" t="s">
        <v>684</v>
      </c>
      <c r="D6759" s="247" t="s">
        <v>675</v>
      </c>
      <c r="E6759" s="372">
        <v>1.0999999999999999E-2</v>
      </c>
      <c r="F6759" s="360">
        <f>$F$6740</f>
        <v>140000</v>
      </c>
      <c r="G6759" s="274">
        <f>F6759*E6759</f>
        <v>1540</v>
      </c>
    </row>
    <row r="6760" spans="1:7">
      <c r="A6760" s="294"/>
      <c r="B6760" s="410"/>
      <c r="C6760" s="247"/>
      <c r="D6760" s="247"/>
      <c r="E6760" s="1146" t="s">
        <v>685</v>
      </c>
      <c r="F6760" s="1146"/>
      <c r="G6760" s="274">
        <f>SUM(G6756:G6759)</f>
        <v>21305</v>
      </c>
    </row>
    <row r="6761" spans="1:7">
      <c r="A6761" s="294" t="s">
        <v>686</v>
      </c>
      <c r="B6761" s="410" t="s">
        <v>687</v>
      </c>
      <c r="C6761" s="247"/>
      <c r="D6761" s="247"/>
      <c r="E6761" s="372"/>
      <c r="F6761" s="360"/>
      <c r="G6761" s="274"/>
    </row>
    <row r="6762" spans="1:7">
      <c r="A6762" s="294"/>
      <c r="B6762" s="410" t="s">
        <v>1489</v>
      </c>
      <c r="C6762" s="247"/>
      <c r="D6762" s="247" t="s">
        <v>853</v>
      </c>
      <c r="E6762" s="372">
        <v>1</v>
      </c>
      <c r="F6762" s="360">
        <f>'UPAD-BAHAN-ALAT'!$I$588</f>
        <v>117120</v>
      </c>
      <c r="G6762" s="274">
        <f>F6762*E6762</f>
        <v>117120</v>
      </c>
    </row>
    <row r="6763" spans="1:7">
      <c r="A6763" s="294"/>
      <c r="B6763" s="410" t="s">
        <v>3716</v>
      </c>
      <c r="C6763" s="247"/>
      <c r="D6763" s="247" t="s">
        <v>773</v>
      </c>
      <c r="E6763" s="381">
        <v>1.7500000000000002E-2</v>
      </c>
      <c r="F6763" s="366">
        <f>'UPAD-BAHAN-ALAT'!$I$599</f>
        <v>125280</v>
      </c>
      <c r="G6763" s="274">
        <f>F6763*E6763</f>
        <v>2192.4</v>
      </c>
    </row>
    <row r="6764" spans="1:7">
      <c r="A6764" s="247"/>
      <c r="B6764" s="410"/>
      <c r="C6764" s="247"/>
      <c r="D6764" s="247"/>
      <c r="E6764" s="1146" t="s">
        <v>702</v>
      </c>
      <c r="F6764" s="1146"/>
      <c r="G6764" s="274">
        <f>SUM(G6762:G6763)</f>
        <v>119312.4</v>
      </c>
    </row>
    <row r="6765" spans="1:7">
      <c r="A6765" s="294" t="s">
        <v>703</v>
      </c>
      <c r="B6765" s="410" t="s">
        <v>704</v>
      </c>
      <c r="C6765" s="247"/>
      <c r="D6765" s="247"/>
      <c r="E6765" s="372"/>
      <c r="F6765" s="360"/>
      <c r="G6765" s="274"/>
    </row>
    <row r="6766" spans="1:7">
      <c r="A6766" s="294"/>
      <c r="B6766" s="256" t="s">
        <v>3655</v>
      </c>
      <c r="C6766" s="247"/>
      <c r="D6766" s="257" t="s">
        <v>1011</v>
      </c>
      <c r="E6766" s="375">
        <v>1</v>
      </c>
      <c r="F6766" s="360">
        <v>10000</v>
      </c>
      <c r="G6766" s="274">
        <f>F6766*E6766</f>
        <v>10000</v>
      </c>
    </row>
    <row r="6767" spans="1:7">
      <c r="A6767" s="294"/>
      <c r="B6767" s="295"/>
      <c r="C6767" s="296"/>
      <c r="D6767" s="296"/>
      <c r="E6767" s="1146" t="s">
        <v>705</v>
      </c>
      <c r="F6767" s="1146"/>
      <c r="G6767" s="274">
        <f>SUM(G6766)</f>
        <v>10000</v>
      </c>
    </row>
    <row r="6768" spans="1:7">
      <c r="A6768" s="294" t="s">
        <v>706</v>
      </c>
      <c r="B6768" s="1147" t="s">
        <v>707</v>
      </c>
      <c r="C6768" s="1147"/>
      <c r="D6768" s="1147"/>
      <c r="E6768" s="1147"/>
      <c r="F6768" s="1147"/>
      <c r="G6768" s="273">
        <f>G6760+G6764+G6767</f>
        <v>150617.4</v>
      </c>
    </row>
    <row r="6769" spans="1:7">
      <c r="A6769" s="294" t="s">
        <v>708</v>
      </c>
      <c r="B6769" s="1147" t="s">
        <v>709</v>
      </c>
      <c r="C6769" s="1147"/>
      <c r="D6769" s="1147"/>
      <c r="E6769" s="1147" t="s">
        <v>710</v>
      </c>
      <c r="F6769" s="1147"/>
      <c r="G6769" s="255">
        <f>G6768*0.15</f>
        <v>22592.609999999997</v>
      </c>
    </row>
    <row r="6770" spans="1:7">
      <c r="A6770" s="294" t="s">
        <v>711</v>
      </c>
      <c r="B6770" s="1149" t="s">
        <v>712</v>
      </c>
      <c r="C6770" s="1149"/>
      <c r="D6770" s="1149"/>
      <c r="E6770" s="1149"/>
      <c r="F6770" s="1149"/>
      <c r="G6770" s="255">
        <f>ROUND(SUM(G6768:G6769),2)</f>
        <v>173210.01</v>
      </c>
    </row>
    <row r="6771" spans="1:7">
      <c r="A6771" s="276"/>
      <c r="B6771" s="275"/>
      <c r="C6771" s="276"/>
      <c r="D6771" s="276"/>
      <c r="E6771" s="383"/>
      <c r="G6771" s="277"/>
    </row>
    <row r="6772" spans="1:7">
      <c r="A6772" s="285" t="s">
        <v>4409</v>
      </c>
      <c r="B6772" s="263" t="s">
        <v>3719</v>
      </c>
      <c r="C6772" s="276"/>
      <c r="D6772" s="276"/>
      <c r="E6772" s="383"/>
      <c r="G6772" s="277"/>
    </row>
    <row r="6773" spans="1:7" s="292" customFormat="1" ht="24.95" customHeight="1">
      <c r="A6773" s="290" t="s">
        <v>1003</v>
      </c>
      <c r="B6773" s="290" t="s">
        <v>1004</v>
      </c>
      <c r="C6773" s="290" t="s">
        <v>1005</v>
      </c>
      <c r="D6773" s="290" t="s">
        <v>1006</v>
      </c>
      <c r="E6773" s="373" t="s">
        <v>1007</v>
      </c>
      <c r="F6773" s="363" t="s">
        <v>2637</v>
      </c>
      <c r="G6773" s="353" t="s">
        <v>2638</v>
      </c>
    </row>
    <row r="6774" spans="1:7">
      <c r="A6774" s="294" t="s">
        <v>671</v>
      </c>
      <c r="B6774" s="410" t="s">
        <v>672</v>
      </c>
      <c r="C6774" s="247"/>
      <c r="D6774" s="247"/>
      <c r="E6774" s="372"/>
      <c r="F6774" s="360"/>
      <c r="G6774" s="274"/>
    </row>
    <row r="6775" spans="1:7">
      <c r="A6775" s="294"/>
      <c r="B6775" s="410" t="s">
        <v>673</v>
      </c>
      <c r="C6775" s="247" t="s">
        <v>674</v>
      </c>
      <c r="D6775" s="247" t="s">
        <v>675</v>
      </c>
      <c r="E6775" s="372">
        <v>0.11799999999999999</v>
      </c>
      <c r="F6775" s="360">
        <f>$F$6756</f>
        <v>110000</v>
      </c>
      <c r="G6775" s="274">
        <f>F6775*E6775</f>
        <v>12980</v>
      </c>
    </row>
    <row r="6776" spans="1:7">
      <c r="A6776" s="294"/>
      <c r="B6776" s="410" t="s">
        <v>1480</v>
      </c>
      <c r="C6776" s="247" t="s">
        <v>678</v>
      </c>
      <c r="D6776" s="247" t="s">
        <v>675</v>
      </c>
      <c r="E6776" s="372">
        <v>5.8999999999999997E-2</v>
      </c>
      <c r="F6776" s="360">
        <f>$F$6757</f>
        <v>140000</v>
      </c>
      <c r="G6776" s="274">
        <f>F6776*E6776</f>
        <v>8260</v>
      </c>
    </row>
    <row r="6777" spans="1:7">
      <c r="A6777" s="294"/>
      <c r="B6777" s="410" t="s">
        <v>751</v>
      </c>
      <c r="C6777" s="247" t="s">
        <v>681</v>
      </c>
      <c r="D6777" s="247" t="s">
        <v>675</v>
      </c>
      <c r="E6777" s="372">
        <v>5.8999999999999999E-3</v>
      </c>
      <c r="F6777" s="360">
        <f>$F$6666</f>
        <v>150000</v>
      </c>
      <c r="G6777" s="274">
        <f>F6777*E6777</f>
        <v>885</v>
      </c>
    </row>
    <row r="6778" spans="1:7">
      <c r="A6778" s="294"/>
      <c r="B6778" s="410" t="s">
        <v>683</v>
      </c>
      <c r="C6778" s="247" t="s">
        <v>684</v>
      </c>
      <c r="D6778" s="247" t="s">
        <v>675</v>
      </c>
      <c r="E6778" s="372">
        <v>1.2E-2</v>
      </c>
      <c r="F6778" s="360">
        <f>$F$6759</f>
        <v>140000</v>
      </c>
      <c r="G6778" s="274">
        <f>F6778*E6778</f>
        <v>1680</v>
      </c>
    </row>
    <row r="6779" spans="1:7">
      <c r="A6779" s="294"/>
      <c r="B6779" s="410"/>
      <c r="C6779" s="247"/>
      <c r="D6779" s="247"/>
      <c r="E6779" s="1146" t="s">
        <v>685</v>
      </c>
      <c r="F6779" s="1146"/>
      <c r="G6779" s="274">
        <f>SUM(G6775:G6778)</f>
        <v>23805</v>
      </c>
    </row>
    <row r="6780" spans="1:7">
      <c r="A6780" s="294" t="s">
        <v>686</v>
      </c>
      <c r="B6780" s="410" t="s">
        <v>687</v>
      </c>
      <c r="C6780" s="247"/>
      <c r="D6780" s="247"/>
      <c r="E6780" s="372"/>
      <c r="F6780" s="360"/>
      <c r="G6780" s="274"/>
    </row>
    <row r="6781" spans="1:7">
      <c r="A6781" s="294"/>
      <c r="B6781" s="410" t="s">
        <v>3720</v>
      </c>
      <c r="C6781" s="247"/>
      <c r="D6781" s="247" t="s">
        <v>853</v>
      </c>
      <c r="E6781" s="372">
        <v>1</v>
      </c>
      <c r="F6781" s="360">
        <f>'UPAD-BAHAN-ALAT'!$I$587</f>
        <v>252240</v>
      </c>
      <c r="G6781" s="274">
        <f>F6781*E6781</f>
        <v>252240</v>
      </c>
    </row>
    <row r="6782" spans="1:7">
      <c r="A6782" s="294"/>
      <c r="B6782" s="410" t="s">
        <v>3716</v>
      </c>
      <c r="C6782" s="247"/>
      <c r="D6782" s="247" t="s">
        <v>773</v>
      </c>
      <c r="E6782" s="381">
        <v>0.02</v>
      </c>
      <c r="F6782" s="366">
        <f>'UPAD-BAHAN-ALAT'!$I$599</f>
        <v>125280</v>
      </c>
      <c r="G6782" s="274">
        <f>F6782*E6782</f>
        <v>2505.6</v>
      </c>
    </row>
    <row r="6783" spans="1:7">
      <c r="A6783" s="294"/>
      <c r="B6783" s="410"/>
      <c r="C6783" s="247"/>
      <c r="D6783" s="247"/>
      <c r="E6783" s="1146" t="s">
        <v>702</v>
      </c>
      <c r="F6783" s="1146"/>
      <c r="G6783" s="274">
        <f>SUM(G6781:G6782)</f>
        <v>254745.60000000001</v>
      </c>
    </row>
    <row r="6784" spans="1:7">
      <c r="A6784" s="294" t="s">
        <v>703</v>
      </c>
      <c r="B6784" s="410" t="s">
        <v>704</v>
      </c>
      <c r="C6784" s="247"/>
      <c r="D6784" s="247"/>
      <c r="E6784" s="372"/>
      <c r="F6784" s="360"/>
      <c r="G6784" s="274"/>
    </row>
    <row r="6785" spans="1:7">
      <c r="A6785" s="294"/>
      <c r="B6785" s="256" t="s">
        <v>3655</v>
      </c>
      <c r="C6785" s="247"/>
      <c r="D6785" s="257" t="s">
        <v>1011</v>
      </c>
      <c r="E6785" s="375">
        <v>1</v>
      </c>
      <c r="F6785" s="360">
        <v>12000</v>
      </c>
      <c r="G6785" s="274">
        <f>F6785*E6785</f>
        <v>12000</v>
      </c>
    </row>
    <row r="6786" spans="1:7">
      <c r="A6786" s="294"/>
      <c r="B6786" s="295"/>
      <c r="C6786" s="296"/>
      <c r="D6786" s="296"/>
      <c r="E6786" s="1146" t="s">
        <v>705</v>
      </c>
      <c r="F6786" s="1146"/>
      <c r="G6786" s="274">
        <f>SUM(G6785)</f>
        <v>12000</v>
      </c>
    </row>
    <row r="6787" spans="1:7">
      <c r="A6787" s="294" t="s">
        <v>706</v>
      </c>
      <c r="B6787" s="1147" t="s">
        <v>707</v>
      </c>
      <c r="C6787" s="1147"/>
      <c r="D6787" s="1147"/>
      <c r="E6787" s="1147"/>
      <c r="F6787" s="1147"/>
      <c r="G6787" s="273">
        <f>G6779+G6783+G6786</f>
        <v>290550.59999999998</v>
      </c>
    </row>
    <row r="6788" spans="1:7">
      <c r="A6788" s="294" t="s">
        <v>708</v>
      </c>
      <c r="B6788" s="1147" t="s">
        <v>709</v>
      </c>
      <c r="C6788" s="1147"/>
      <c r="D6788" s="1147"/>
      <c r="E6788" s="1147" t="s">
        <v>710</v>
      </c>
      <c r="F6788" s="1147"/>
      <c r="G6788" s="255">
        <f>G6787*0.15</f>
        <v>43582.59</v>
      </c>
    </row>
    <row r="6789" spans="1:7">
      <c r="A6789" s="294" t="s">
        <v>711</v>
      </c>
      <c r="B6789" s="1149" t="s">
        <v>712</v>
      </c>
      <c r="C6789" s="1149"/>
      <c r="D6789" s="1149"/>
      <c r="E6789" s="1149"/>
      <c r="F6789" s="1149"/>
      <c r="G6789" s="255">
        <f>ROUND(SUM(G6787:G6788),2)</f>
        <v>334133.19</v>
      </c>
    </row>
    <row r="6790" spans="1:7">
      <c r="A6790" s="268"/>
      <c r="B6790" s="269"/>
      <c r="C6790" s="268"/>
      <c r="D6790" s="268"/>
      <c r="E6790" s="380"/>
      <c r="F6790" s="365"/>
      <c r="G6790" s="278"/>
    </row>
    <row r="6791" spans="1:7">
      <c r="A6791" s="285" t="s">
        <v>4410</v>
      </c>
      <c r="B6791" s="250" t="s">
        <v>4666</v>
      </c>
      <c r="C6791" s="252"/>
      <c r="D6791" s="252"/>
      <c r="E6791" s="374"/>
      <c r="F6791" s="361"/>
      <c r="G6791" s="272"/>
    </row>
    <row r="6792" spans="1:7" s="292" customFormat="1" ht="24.95" customHeight="1">
      <c r="A6792" s="290" t="s">
        <v>1003</v>
      </c>
      <c r="B6792" s="290" t="s">
        <v>1004</v>
      </c>
      <c r="C6792" s="290" t="s">
        <v>1005</v>
      </c>
      <c r="D6792" s="290" t="s">
        <v>1006</v>
      </c>
      <c r="E6792" s="373" t="s">
        <v>1007</v>
      </c>
      <c r="F6792" s="363" t="s">
        <v>2637</v>
      </c>
      <c r="G6792" s="353" t="s">
        <v>2638</v>
      </c>
    </row>
    <row r="6793" spans="1:7">
      <c r="A6793" s="294" t="s">
        <v>671</v>
      </c>
      <c r="B6793" s="410" t="s">
        <v>672</v>
      </c>
      <c r="C6793" s="247"/>
      <c r="D6793" s="247"/>
      <c r="E6793" s="372"/>
      <c r="F6793" s="360"/>
      <c r="G6793" s="274"/>
    </row>
    <row r="6794" spans="1:7">
      <c r="A6794" s="294"/>
      <c r="B6794" s="410" t="s">
        <v>673</v>
      </c>
      <c r="C6794" s="247" t="s">
        <v>674</v>
      </c>
      <c r="D6794" s="247" t="s">
        <v>675</v>
      </c>
      <c r="E6794" s="372">
        <v>0.189</v>
      </c>
      <c r="F6794" s="360">
        <f>$F$6775</f>
        <v>110000</v>
      </c>
      <c r="G6794" s="274">
        <f>F6794*E6794</f>
        <v>20790</v>
      </c>
    </row>
    <row r="6795" spans="1:7">
      <c r="A6795" s="294"/>
      <c r="B6795" s="410" t="s">
        <v>1480</v>
      </c>
      <c r="C6795" s="247" t="s">
        <v>678</v>
      </c>
      <c r="D6795" s="247" t="s">
        <v>675</v>
      </c>
      <c r="E6795" s="372">
        <v>9.5000000000000001E-2</v>
      </c>
      <c r="F6795" s="360">
        <f>$F$6776</f>
        <v>140000</v>
      </c>
      <c r="G6795" s="274">
        <f>F6795*E6795</f>
        <v>13300</v>
      </c>
    </row>
    <row r="6796" spans="1:7">
      <c r="A6796" s="294"/>
      <c r="B6796" s="410" t="s">
        <v>751</v>
      </c>
      <c r="C6796" s="247" t="s">
        <v>681</v>
      </c>
      <c r="D6796" s="247" t="s">
        <v>675</v>
      </c>
      <c r="E6796" s="372">
        <v>9.4999999999999998E-3</v>
      </c>
      <c r="F6796" s="360">
        <f>$F$6666</f>
        <v>150000</v>
      </c>
      <c r="G6796" s="274">
        <f>F6796*E6796</f>
        <v>1425</v>
      </c>
    </row>
    <row r="6797" spans="1:7">
      <c r="A6797" s="294"/>
      <c r="B6797" s="410" t="s">
        <v>683</v>
      </c>
      <c r="C6797" s="247" t="s">
        <v>684</v>
      </c>
      <c r="D6797" s="247" t="s">
        <v>675</v>
      </c>
      <c r="E6797" s="372">
        <v>1.9E-2</v>
      </c>
      <c r="F6797" s="360">
        <f>$F$6778</f>
        <v>140000</v>
      </c>
      <c r="G6797" s="274">
        <f>F6797*E6797</f>
        <v>2660</v>
      </c>
    </row>
    <row r="6798" spans="1:7">
      <c r="A6798" s="294"/>
      <c r="B6798" s="410"/>
      <c r="C6798" s="247"/>
      <c r="D6798" s="247"/>
      <c r="E6798" s="1146" t="s">
        <v>685</v>
      </c>
      <c r="F6798" s="1146"/>
      <c r="G6798" s="274">
        <f>SUM(G6794:G6797)</f>
        <v>38175</v>
      </c>
    </row>
    <row r="6799" spans="1:7">
      <c r="A6799" s="294" t="s">
        <v>686</v>
      </c>
      <c r="B6799" s="410" t="s">
        <v>687</v>
      </c>
      <c r="C6799" s="247"/>
      <c r="D6799" s="247"/>
      <c r="E6799" s="372"/>
      <c r="F6799" s="360"/>
      <c r="G6799" s="274"/>
    </row>
    <row r="6800" spans="1:7">
      <c r="A6800" s="294"/>
      <c r="B6800" s="410" t="s">
        <v>1497</v>
      </c>
      <c r="C6800" s="247"/>
      <c r="D6800" s="247" t="s">
        <v>853</v>
      </c>
      <c r="E6800" s="372">
        <v>1</v>
      </c>
      <c r="F6800" s="360">
        <f>'UPAD-BAHAN-ALAT'!$I$586</f>
        <v>392880</v>
      </c>
      <c r="G6800" s="274">
        <f>F6800*E6800</f>
        <v>392880</v>
      </c>
    </row>
    <row r="6801" spans="1:7">
      <c r="A6801" s="294"/>
      <c r="B6801" s="410" t="s">
        <v>3716</v>
      </c>
      <c r="C6801" s="247"/>
      <c r="D6801" s="247" t="s">
        <v>773</v>
      </c>
      <c r="E6801" s="381">
        <v>2.5000000000000001E-2</v>
      </c>
      <c r="F6801" s="366">
        <f>'UPAD-BAHAN-ALAT'!$I$599</f>
        <v>125280</v>
      </c>
      <c r="G6801" s="274">
        <f>F6801*E6801</f>
        <v>3132</v>
      </c>
    </row>
    <row r="6802" spans="1:7">
      <c r="A6802" s="247"/>
      <c r="B6802" s="410"/>
      <c r="C6802" s="247"/>
      <c r="D6802" s="247"/>
      <c r="E6802" s="1146" t="s">
        <v>702</v>
      </c>
      <c r="F6802" s="1146"/>
      <c r="G6802" s="274">
        <f>SUM(G6800:G6801)</f>
        <v>396012</v>
      </c>
    </row>
    <row r="6803" spans="1:7">
      <c r="A6803" s="294" t="s">
        <v>703</v>
      </c>
      <c r="B6803" s="410" t="s">
        <v>704</v>
      </c>
      <c r="C6803" s="247"/>
      <c r="D6803" s="247"/>
      <c r="E6803" s="372"/>
      <c r="F6803" s="360"/>
      <c r="G6803" s="274"/>
    </row>
    <row r="6804" spans="1:7">
      <c r="A6804" s="294"/>
      <c r="B6804" s="256" t="s">
        <v>3655</v>
      </c>
      <c r="C6804" s="247"/>
      <c r="D6804" s="257" t="s">
        <v>1011</v>
      </c>
      <c r="E6804" s="375">
        <v>1</v>
      </c>
      <c r="F6804" s="360">
        <v>15000</v>
      </c>
      <c r="G6804" s="274">
        <f>F6804*E6804</f>
        <v>15000</v>
      </c>
    </row>
    <row r="6805" spans="1:7">
      <c r="A6805" s="294"/>
      <c r="B6805" s="410"/>
      <c r="C6805" s="247"/>
      <c r="D6805" s="247"/>
      <c r="E6805" s="1146" t="s">
        <v>705</v>
      </c>
      <c r="F6805" s="1146"/>
      <c r="G6805" s="274">
        <f>SUM(G6804)</f>
        <v>15000</v>
      </c>
    </row>
    <row r="6806" spans="1:7">
      <c r="A6806" s="294" t="s">
        <v>706</v>
      </c>
      <c r="B6806" s="1147" t="s">
        <v>707</v>
      </c>
      <c r="C6806" s="1147"/>
      <c r="D6806" s="1147"/>
      <c r="E6806" s="1147"/>
      <c r="F6806" s="1147"/>
      <c r="G6806" s="273">
        <f>G6798+G6802+G6805</f>
        <v>449187</v>
      </c>
    </row>
    <row r="6807" spans="1:7">
      <c r="A6807" s="294" t="s">
        <v>708</v>
      </c>
      <c r="B6807" s="1147" t="s">
        <v>709</v>
      </c>
      <c r="C6807" s="1147"/>
      <c r="D6807" s="1147"/>
      <c r="E6807" s="1147" t="s">
        <v>710</v>
      </c>
      <c r="F6807" s="1147"/>
      <c r="G6807" s="255">
        <f>G6806*0.15</f>
        <v>67378.05</v>
      </c>
    </row>
    <row r="6808" spans="1:7">
      <c r="A6808" s="294" t="s">
        <v>711</v>
      </c>
      <c r="B6808" s="1149" t="s">
        <v>712</v>
      </c>
      <c r="C6808" s="1149"/>
      <c r="D6808" s="1149"/>
      <c r="E6808" s="1149"/>
      <c r="F6808" s="1149"/>
      <c r="G6808" s="255">
        <f>ROUND(SUM(G6806:G6807),2)</f>
        <v>516565.05</v>
      </c>
    </row>
    <row r="6809" spans="1:7">
      <c r="A6809" s="354"/>
      <c r="B6809" s="250"/>
      <c r="C6809" s="250"/>
      <c r="D6809" s="250"/>
      <c r="E6809" s="382"/>
      <c r="F6809" s="367"/>
      <c r="G6809" s="352"/>
    </row>
    <row r="6810" spans="1:7">
      <c r="A6810" s="284" t="s">
        <v>4411</v>
      </c>
      <c r="B6810" s="263" t="s">
        <v>3721</v>
      </c>
      <c r="C6810" s="276"/>
      <c r="D6810" s="276"/>
      <c r="E6810" s="383"/>
      <c r="G6810" s="277"/>
    </row>
    <row r="6811" spans="1:7" s="292" customFormat="1" ht="24.95" customHeight="1">
      <c r="A6811" s="290" t="s">
        <v>1003</v>
      </c>
      <c r="B6811" s="290" t="s">
        <v>1004</v>
      </c>
      <c r="C6811" s="290" t="s">
        <v>1005</v>
      </c>
      <c r="D6811" s="290" t="s">
        <v>1006</v>
      </c>
      <c r="E6811" s="373" t="s">
        <v>1007</v>
      </c>
      <c r="F6811" s="363" t="s">
        <v>2637</v>
      </c>
      <c r="G6811" s="353" t="s">
        <v>2638</v>
      </c>
    </row>
    <row r="6812" spans="1:7">
      <c r="A6812" s="294" t="s">
        <v>671</v>
      </c>
      <c r="B6812" s="410" t="s">
        <v>672</v>
      </c>
      <c r="C6812" s="247"/>
      <c r="D6812" s="247"/>
      <c r="E6812" s="372"/>
      <c r="F6812" s="360"/>
      <c r="G6812" s="274"/>
    </row>
    <row r="6813" spans="1:7">
      <c r="A6813" s="294"/>
      <c r="B6813" s="410" t="s">
        <v>673</v>
      </c>
      <c r="C6813" s="247" t="s">
        <v>674</v>
      </c>
      <c r="D6813" s="247" t="s">
        <v>675</v>
      </c>
      <c r="E6813" s="372">
        <v>0.25600000000000001</v>
      </c>
      <c r="F6813" s="360">
        <f>$F$6794</f>
        <v>110000</v>
      </c>
      <c r="G6813" s="274">
        <f>F6813*E6813</f>
        <v>28160</v>
      </c>
    </row>
    <row r="6814" spans="1:7">
      <c r="A6814" s="294"/>
      <c r="B6814" s="410" t="s">
        <v>1480</v>
      </c>
      <c r="C6814" s="247" t="s">
        <v>678</v>
      </c>
      <c r="D6814" s="247" t="s">
        <v>675</v>
      </c>
      <c r="E6814" s="372">
        <v>0.128</v>
      </c>
      <c r="F6814" s="360">
        <f>$F$6795</f>
        <v>140000</v>
      </c>
      <c r="G6814" s="274">
        <f>F6814*E6814</f>
        <v>17920</v>
      </c>
    </row>
    <row r="6815" spans="1:7">
      <c r="A6815" s="294"/>
      <c r="B6815" s="410" t="s">
        <v>751</v>
      </c>
      <c r="C6815" s="247" t="s">
        <v>681</v>
      </c>
      <c r="D6815" s="247" t="s">
        <v>675</v>
      </c>
      <c r="E6815" s="372">
        <v>1.2800000000000001E-2</v>
      </c>
      <c r="F6815" s="360">
        <f>$F$6666</f>
        <v>150000</v>
      </c>
      <c r="G6815" s="274">
        <f>F6815*E6815</f>
        <v>1920</v>
      </c>
    </row>
    <row r="6816" spans="1:7">
      <c r="A6816" s="294"/>
      <c r="B6816" s="410" t="s">
        <v>683</v>
      </c>
      <c r="C6816" s="247" t="s">
        <v>684</v>
      </c>
      <c r="D6816" s="247" t="s">
        <v>675</v>
      </c>
      <c r="E6816" s="372">
        <v>2.5999999999999999E-2</v>
      </c>
      <c r="F6816" s="360">
        <f>$F$6797</f>
        <v>140000</v>
      </c>
      <c r="G6816" s="274">
        <f>F6816*E6816</f>
        <v>3640</v>
      </c>
    </row>
    <row r="6817" spans="1:7">
      <c r="A6817" s="294"/>
      <c r="B6817" s="410"/>
      <c r="C6817" s="247"/>
      <c r="D6817" s="247"/>
      <c r="E6817" s="1146" t="s">
        <v>685</v>
      </c>
      <c r="F6817" s="1146"/>
      <c r="G6817" s="274">
        <f>SUM(G6813:G6816)</f>
        <v>51640</v>
      </c>
    </row>
    <row r="6818" spans="1:7">
      <c r="A6818" s="294" t="s">
        <v>686</v>
      </c>
      <c r="B6818" s="410" t="s">
        <v>687</v>
      </c>
      <c r="C6818" s="247"/>
      <c r="D6818" s="279"/>
      <c r="E6818" s="372"/>
      <c r="F6818" s="360"/>
      <c r="G6818" s="274"/>
    </row>
    <row r="6819" spans="1:7">
      <c r="A6819" s="294"/>
      <c r="B6819" s="410" t="s">
        <v>1500</v>
      </c>
      <c r="C6819" s="247"/>
      <c r="D6819" s="247" t="s">
        <v>853</v>
      </c>
      <c r="E6819" s="372">
        <v>1</v>
      </c>
      <c r="F6819" s="360">
        <f>'UPAD-BAHAN-ALAT'!$I$585</f>
        <v>625080</v>
      </c>
      <c r="G6819" s="274">
        <f>F6819*E6819</f>
        <v>625080</v>
      </c>
    </row>
    <row r="6820" spans="1:7">
      <c r="A6820" s="294"/>
      <c r="B6820" s="410" t="s">
        <v>3716</v>
      </c>
      <c r="C6820" s="247"/>
      <c r="D6820" s="247" t="s">
        <v>773</v>
      </c>
      <c r="E6820" s="381">
        <v>0.03</v>
      </c>
      <c r="F6820" s="366">
        <f>'UPAD-BAHAN-ALAT'!$I$599</f>
        <v>125280</v>
      </c>
      <c r="G6820" s="274">
        <f>F6820*E6820</f>
        <v>3758.3999999999996</v>
      </c>
    </row>
    <row r="6821" spans="1:7">
      <c r="A6821" s="294"/>
      <c r="B6821" s="410"/>
      <c r="C6821" s="247"/>
      <c r="D6821" s="247"/>
      <c r="E6821" s="1146" t="s">
        <v>702</v>
      </c>
      <c r="F6821" s="1146"/>
      <c r="G6821" s="274">
        <f>SUM(G6819:G6820)</f>
        <v>628838.40000000002</v>
      </c>
    </row>
    <row r="6822" spans="1:7">
      <c r="A6822" s="294" t="s">
        <v>703</v>
      </c>
      <c r="B6822" s="410" t="s">
        <v>704</v>
      </c>
      <c r="C6822" s="247"/>
      <c r="D6822" s="247"/>
      <c r="E6822" s="372"/>
      <c r="F6822" s="360"/>
      <c r="G6822" s="274"/>
    </row>
    <row r="6823" spans="1:7">
      <c r="A6823" s="247"/>
      <c r="B6823" s="256" t="s">
        <v>3655</v>
      </c>
      <c r="C6823" s="247"/>
      <c r="D6823" s="257" t="s">
        <v>1011</v>
      </c>
      <c r="E6823" s="375">
        <v>1</v>
      </c>
      <c r="F6823" s="360">
        <v>15000</v>
      </c>
      <c r="G6823" s="274">
        <f>F6823*E6823</f>
        <v>15000</v>
      </c>
    </row>
    <row r="6824" spans="1:7">
      <c r="A6824" s="247"/>
      <c r="B6824" s="410"/>
      <c r="C6824" s="247"/>
      <c r="D6824" s="247"/>
      <c r="E6824" s="1146" t="s">
        <v>705</v>
      </c>
      <c r="F6824" s="1146"/>
      <c r="G6824" s="274">
        <f>SUM(G6823)</f>
        <v>15000</v>
      </c>
    </row>
    <row r="6825" spans="1:7">
      <c r="A6825" s="294" t="s">
        <v>706</v>
      </c>
      <c r="B6825" s="1147" t="s">
        <v>707</v>
      </c>
      <c r="C6825" s="1147"/>
      <c r="D6825" s="1147"/>
      <c r="E6825" s="1147"/>
      <c r="F6825" s="1147"/>
      <c r="G6825" s="273">
        <f>G6817+G6821+G6824</f>
        <v>695478.4</v>
      </c>
    </row>
    <row r="6826" spans="1:7">
      <c r="A6826" s="294" t="s">
        <v>708</v>
      </c>
      <c r="B6826" s="1147" t="s">
        <v>709</v>
      </c>
      <c r="C6826" s="1147"/>
      <c r="D6826" s="1147"/>
      <c r="E6826" s="1147" t="s">
        <v>710</v>
      </c>
      <c r="F6826" s="1147"/>
      <c r="G6826" s="255">
        <f>G6825*0.15</f>
        <v>104321.76</v>
      </c>
    </row>
    <row r="6827" spans="1:7">
      <c r="A6827" s="294" t="s">
        <v>711</v>
      </c>
      <c r="B6827" s="1149" t="s">
        <v>712</v>
      </c>
      <c r="C6827" s="1149"/>
      <c r="D6827" s="1149"/>
      <c r="E6827" s="1149"/>
      <c r="F6827" s="1149"/>
      <c r="G6827" s="255">
        <f>ROUND(SUM(G6825:G6826),2)</f>
        <v>799800.16</v>
      </c>
    </row>
    <row r="6828" spans="1:7">
      <c r="A6828" s="268"/>
      <c r="B6828" s="269"/>
      <c r="C6828" s="268"/>
      <c r="D6828" s="268"/>
      <c r="E6828" s="380"/>
      <c r="F6828" s="365"/>
      <c r="G6828" s="278"/>
    </row>
    <row r="6829" spans="1:7">
      <c r="A6829" s="285" t="s">
        <v>4412</v>
      </c>
      <c r="B6829" s="250" t="s">
        <v>3722</v>
      </c>
      <c r="C6829" s="252"/>
      <c r="D6829" s="252"/>
      <c r="E6829" s="374"/>
      <c r="F6829" s="361"/>
      <c r="G6829" s="272"/>
    </row>
    <row r="6830" spans="1:7" s="292" customFormat="1" ht="24.95" customHeight="1">
      <c r="A6830" s="290" t="s">
        <v>1003</v>
      </c>
      <c r="B6830" s="290" t="s">
        <v>1004</v>
      </c>
      <c r="C6830" s="290" t="s">
        <v>1005</v>
      </c>
      <c r="D6830" s="290" t="s">
        <v>1006</v>
      </c>
      <c r="E6830" s="373" t="s">
        <v>1007</v>
      </c>
      <c r="F6830" s="363" t="s">
        <v>2637</v>
      </c>
      <c r="G6830" s="353" t="s">
        <v>2638</v>
      </c>
    </row>
    <row r="6831" spans="1:7">
      <c r="A6831" s="294" t="s">
        <v>671</v>
      </c>
      <c r="B6831" s="410" t="s">
        <v>672</v>
      </c>
      <c r="C6831" s="247"/>
      <c r="D6831" s="247"/>
      <c r="E6831" s="372"/>
      <c r="F6831" s="360"/>
      <c r="G6831" s="274"/>
    </row>
    <row r="6832" spans="1:7">
      <c r="A6832" s="294"/>
      <c r="B6832" s="410" t="s">
        <v>673</v>
      </c>
      <c r="C6832" s="247" t="s">
        <v>674</v>
      </c>
      <c r="D6832" s="247" t="s">
        <v>675</v>
      </c>
      <c r="E6832" s="372">
        <v>0.29399999999999998</v>
      </c>
      <c r="F6832" s="360">
        <f>$F$6813</f>
        <v>110000</v>
      </c>
      <c r="G6832" s="274">
        <f>F6832*E6832</f>
        <v>32340</v>
      </c>
    </row>
    <row r="6833" spans="1:7">
      <c r="A6833" s="294"/>
      <c r="B6833" s="410" t="s">
        <v>1480</v>
      </c>
      <c r="C6833" s="247" t="s">
        <v>678</v>
      </c>
      <c r="D6833" s="247" t="s">
        <v>675</v>
      </c>
      <c r="E6833" s="372">
        <v>0.14699999999999999</v>
      </c>
      <c r="F6833" s="360">
        <f>$F$6814</f>
        <v>140000</v>
      </c>
      <c r="G6833" s="274">
        <f>F6833*E6833</f>
        <v>20580</v>
      </c>
    </row>
    <row r="6834" spans="1:7">
      <c r="A6834" s="294"/>
      <c r="B6834" s="410" t="s">
        <v>751</v>
      </c>
      <c r="C6834" s="247" t="s">
        <v>681</v>
      </c>
      <c r="D6834" s="247" t="s">
        <v>675</v>
      </c>
      <c r="E6834" s="372">
        <v>1.47E-2</v>
      </c>
      <c r="F6834" s="360">
        <f>$F$6666</f>
        <v>150000</v>
      </c>
      <c r="G6834" s="274">
        <f>F6834*E6834</f>
        <v>2205</v>
      </c>
    </row>
    <row r="6835" spans="1:7">
      <c r="A6835" s="294"/>
      <c r="B6835" s="410" t="s">
        <v>683</v>
      </c>
      <c r="C6835" s="247" t="s">
        <v>684</v>
      </c>
      <c r="D6835" s="247" t="s">
        <v>675</v>
      </c>
      <c r="E6835" s="372">
        <v>2.9000000000000001E-2</v>
      </c>
      <c r="F6835" s="360">
        <f>$F$6816</f>
        <v>140000</v>
      </c>
      <c r="G6835" s="274">
        <f>F6835*E6835</f>
        <v>4060</v>
      </c>
    </row>
    <row r="6836" spans="1:7">
      <c r="A6836" s="294"/>
      <c r="B6836" s="410"/>
      <c r="C6836" s="247"/>
      <c r="D6836" s="247"/>
      <c r="E6836" s="1146" t="s">
        <v>685</v>
      </c>
      <c r="F6836" s="1146"/>
      <c r="G6836" s="274">
        <f>SUM(G6832:G6835)</f>
        <v>59185</v>
      </c>
    </row>
    <row r="6837" spans="1:7">
      <c r="A6837" s="294" t="s">
        <v>686</v>
      </c>
      <c r="B6837" s="410" t="s">
        <v>687</v>
      </c>
      <c r="C6837" s="247"/>
      <c r="D6837" s="247"/>
      <c r="E6837" s="372"/>
      <c r="F6837" s="360"/>
      <c r="G6837" s="274"/>
    </row>
    <row r="6838" spans="1:7">
      <c r="A6838" s="247"/>
      <c r="B6838" s="410" t="s">
        <v>1503</v>
      </c>
      <c r="C6838" s="247"/>
      <c r="D6838" s="247" t="s">
        <v>853</v>
      </c>
      <c r="E6838" s="372">
        <v>1</v>
      </c>
      <c r="F6838" s="360">
        <f>'UPAD-BAHAN-ALAT'!$I$584</f>
        <v>1001880</v>
      </c>
      <c r="G6838" s="274">
        <f>F6838*E6838</f>
        <v>1001880</v>
      </c>
    </row>
    <row r="6839" spans="1:7">
      <c r="A6839" s="247"/>
      <c r="B6839" s="410" t="s">
        <v>3716</v>
      </c>
      <c r="C6839" s="247"/>
      <c r="D6839" s="247" t="s">
        <v>773</v>
      </c>
      <c r="E6839" s="381">
        <v>3.5000000000000003E-2</v>
      </c>
      <c r="F6839" s="366">
        <f>'UPAD-BAHAN-ALAT'!$I$599</f>
        <v>125280</v>
      </c>
      <c r="G6839" s="274">
        <f>F6839*E6839</f>
        <v>4384.8</v>
      </c>
    </row>
    <row r="6840" spans="1:7">
      <c r="A6840" s="247"/>
      <c r="B6840" s="410"/>
      <c r="C6840" s="247"/>
      <c r="D6840" s="247"/>
      <c r="E6840" s="1146" t="s">
        <v>702</v>
      </c>
      <c r="F6840" s="1146"/>
      <c r="G6840" s="274">
        <f>SUM(G6838:G6839)</f>
        <v>1006264.8</v>
      </c>
    </row>
    <row r="6841" spans="1:7">
      <c r="A6841" s="294" t="s">
        <v>703</v>
      </c>
      <c r="B6841" s="410" t="s">
        <v>704</v>
      </c>
      <c r="C6841" s="247"/>
      <c r="D6841" s="247"/>
      <c r="E6841" s="372"/>
      <c r="F6841" s="360"/>
      <c r="G6841" s="274"/>
    </row>
    <row r="6842" spans="1:7">
      <c r="A6842" s="294"/>
      <c r="B6842" s="256" t="s">
        <v>3655</v>
      </c>
      <c r="C6842" s="247"/>
      <c r="D6842" s="257" t="s">
        <v>1011</v>
      </c>
      <c r="E6842" s="375">
        <v>1</v>
      </c>
      <c r="F6842" s="360">
        <v>15000</v>
      </c>
      <c r="G6842" s="274">
        <f>F6842*E6842</f>
        <v>15000</v>
      </c>
    </row>
    <row r="6843" spans="1:7">
      <c r="A6843" s="294"/>
      <c r="B6843" s="410"/>
      <c r="C6843" s="247"/>
      <c r="D6843" s="247"/>
      <c r="E6843" s="1146" t="s">
        <v>705</v>
      </c>
      <c r="F6843" s="1146"/>
      <c r="G6843" s="274">
        <f>SUM(G6842)</f>
        <v>15000</v>
      </c>
    </row>
    <row r="6844" spans="1:7">
      <c r="A6844" s="294" t="s">
        <v>706</v>
      </c>
      <c r="B6844" s="1147" t="s">
        <v>707</v>
      </c>
      <c r="C6844" s="1147"/>
      <c r="D6844" s="1147"/>
      <c r="E6844" s="1147"/>
      <c r="F6844" s="1147"/>
      <c r="G6844" s="273">
        <f>G6836+G6840+G6843</f>
        <v>1080449.8</v>
      </c>
    </row>
    <row r="6845" spans="1:7">
      <c r="A6845" s="294" t="s">
        <v>708</v>
      </c>
      <c r="B6845" s="1147" t="s">
        <v>709</v>
      </c>
      <c r="C6845" s="1147"/>
      <c r="D6845" s="1147"/>
      <c r="E6845" s="1147" t="s">
        <v>710</v>
      </c>
      <c r="F6845" s="1147"/>
      <c r="G6845" s="255">
        <f>G6844*0.15</f>
        <v>162067.47</v>
      </c>
    </row>
    <row r="6846" spans="1:7">
      <c r="A6846" s="294" t="s">
        <v>711</v>
      </c>
      <c r="B6846" s="1149" t="s">
        <v>712</v>
      </c>
      <c r="C6846" s="1149"/>
      <c r="D6846" s="1149"/>
      <c r="E6846" s="1149"/>
      <c r="F6846" s="1149"/>
      <c r="G6846" s="255">
        <f>ROUND(SUM(G6844:G6845),2)</f>
        <v>1242517.27</v>
      </c>
    </row>
    <row r="6847" spans="1:7">
      <c r="A6847" s="268"/>
      <c r="B6847" s="269"/>
      <c r="C6847" s="268"/>
      <c r="D6847" s="268"/>
      <c r="E6847" s="380"/>
      <c r="F6847" s="365"/>
      <c r="G6847" s="278"/>
    </row>
    <row r="6848" spans="1:7">
      <c r="A6848" s="285" t="s">
        <v>3723</v>
      </c>
      <c r="B6848" s="250" t="s">
        <v>3724</v>
      </c>
      <c r="C6848" s="252"/>
      <c r="D6848" s="252"/>
      <c r="E6848" s="374"/>
      <c r="F6848" s="361"/>
      <c r="G6848" s="272"/>
    </row>
    <row r="6849" spans="1:7" s="292" customFormat="1" ht="24.95" customHeight="1">
      <c r="A6849" s="290" t="s">
        <v>1003</v>
      </c>
      <c r="B6849" s="290" t="s">
        <v>1004</v>
      </c>
      <c r="C6849" s="290" t="s">
        <v>1005</v>
      </c>
      <c r="D6849" s="290" t="s">
        <v>1006</v>
      </c>
      <c r="E6849" s="373" t="s">
        <v>1007</v>
      </c>
      <c r="F6849" s="363" t="s">
        <v>2637</v>
      </c>
      <c r="G6849" s="353" t="s">
        <v>2638</v>
      </c>
    </row>
    <row r="6850" spans="1:7">
      <c r="A6850" s="294" t="s">
        <v>671</v>
      </c>
      <c r="B6850" s="410" t="s">
        <v>672</v>
      </c>
      <c r="C6850" s="247"/>
      <c r="D6850" s="247"/>
      <c r="E6850" s="372"/>
      <c r="F6850" s="360"/>
      <c r="G6850" s="274"/>
    </row>
    <row r="6851" spans="1:7">
      <c r="A6851" s="294"/>
      <c r="B6851" s="410" t="s">
        <v>673</v>
      </c>
      <c r="C6851" s="247" t="s">
        <v>674</v>
      </c>
      <c r="D6851" s="247" t="s">
        <v>675</v>
      </c>
      <c r="E6851" s="372">
        <v>0.105</v>
      </c>
      <c r="F6851" s="360">
        <f>$F$6832</f>
        <v>110000</v>
      </c>
      <c r="G6851" s="274">
        <f>F6851*E6851</f>
        <v>11550</v>
      </c>
    </row>
    <row r="6852" spans="1:7">
      <c r="A6852" s="294"/>
      <c r="B6852" s="410" t="s">
        <v>1480</v>
      </c>
      <c r="C6852" s="247" t="s">
        <v>678</v>
      </c>
      <c r="D6852" s="247" t="s">
        <v>675</v>
      </c>
      <c r="E6852" s="372">
        <v>5.2999999999999999E-2</v>
      </c>
      <c r="F6852" s="360">
        <f>$F$6833</f>
        <v>140000</v>
      </c>
      <c r="G6852" s="274">
        <f>F6852*E6852</f>
        <v>7420</v>
      </c>
    </row>
    <row r="6853" spans="1:7">
      <c r="A6853" s="294"/>
      <c r="B6853" s="410" t="s">
        <v>751</v>
      </c>
      <c r="C6853" s="247" t="s">
        <v>681</v>
      </c>
      <c r="D6853" s="247" t="s">
        <v>675</v>
      </c>
      <c r="E6853" s="372">
        <v>5.3E-3</v>
      </c>
      <c r="F6853" s="360">
        <f>$F$6666</f>
        <v>150000</v>
      </c>
      <c r="G6853" s="274">
        <f>F6853*E6853</f>
        <v>795</v>
      </c>
    </row>
    <row r="6854" spans="1:7">
      <c r="A6854" s="294"/>
      <c r="B6854" s="410" t="s">
        <v>683</v>
      </c>
      <c r="C6854" s="247" t="s">
        <v>684</v>
      </c>
      <c r="D6854" s="247" t="s">
        <v>675</v>
      </c>
      <c r="E6854" s="372">
        <v>1.0999999999999999E-2</v>
      </c>
      <c r="F6854" s="360">
        <f>$F$6835</f>
        <v>140000</v>
      </c>
      <c r="G6854" s="274">
        <f>F6854*E6854</f>
        <v>1540</v>
      </c>
    </row>
    <row r="6855" spans="1:7">
      <c r="A6855" s="294"/>
      <c r="B6855" s="410"/>
      <c r="C6855" s="247"/>
      <c r="D6855" s="247"/>
      <c r="E6855" s="1159" t="s">
        <v>685</v>
      </c>
      <c r="F6855" s="1160"/>
      <c r="G6855" s="274">
        <f>SUM(G6851:G6854)</f>
        <v>21305</v>
      </c>
    </row>
    <row r="6856" spans="1:7">
      <c r="A6856" s="294" t="s">
        <v>686</v>
      </c>
      <c r="B6856" s="410" t="s">
        <v>687</v>
      </c>
      <c r="C6856" s="247"/>
      <c r="D6856" s="247"/>
      <c r="E6856" s="372"/>
      <c r="F6856" s="360"/>
      <c r="G6856" s="274"/>
    </row>
    <row r="6857" spans="1:7">
      <c r="A6857" s="294"/>
      <c r="B6857" s="410" t="s">
        <v>3974</v>
      </c>
      <c r="C6857" s="247"/>
      <c r="D6857" s="247" t="s">
        <v>853</v>
      </c>
      <c r="E6857" s="372">
        <v>1</v>
      </c>
      <c r="F6857" s="360">
        <f>'UPAD-BAHAN-ALAT'!$I$595</f>
        <v>104640</v>
      </c>
      <c r="G6857" s="274">
        <f>F6857*E6857</f>
        <v>104640</v>
      </c>
    </row>
    <row r="6858" spans="1:7">
      <c r="A6858" s="294"/>
      <c r="B6858" s="410" t="s">
        <v>3716</v>
      </c>
      <c r="C6858" s="247"/>
      <c r="D6858" s="247" t="s">
        <v>773</v>
      </c>
      <c r="E6858" s="381">
        <v>1.7500000000000002E-2</v>
      </c>
      <c r="F6858" s="366">
        <f>'UPAD-BAHAN-ALAT'!$I$599</f>
        <v>125280</v>
      </c>
      <c r="G6858" s="274">
        <f>F6858*E6858</f>
        <v>2192.4</v>
      </c>
    </row>
    <row r="6859" spans="1:7">
      <c r="A6859" s="294"/>
      <c r="B6859" s="410"/>
      <c r="C6859" s="247"/>
      <c r="D6859" s="247"/>
      <c r="E6859" s="1146" t="s">
        <v>702</v>
      </c>
      <c r="F6859" s="1146"/>
      <c r="G6859" s="274">
        <f>SUM(G6857:G6858)</f>
        <v>106832.4</v>
      </c>
    </row>
    <row r="6860" spans="1:7">
      <c r="A6860" s="294" t="s">
        <v>703</v>
      </c>
      <c r="B6860" s="410" t="s">
        <v>704</v>
      </c>
      <c r="C6860" s="247"/>
      <c r="D6860" s="247"/>
      <c r="E6860" s="372"/>
      <c r="F6860" s="360"/>
      <c r="G6860" s="274"/>
    </row>
    <row r="6861" spans="1:7">
      <c r="A6861" s="294"/>
      <c r="B6861" s="256" t="s">
        <v>3655</v>
      </c>
      <c r="C6861" s="247"/>
      <c r="D6861" s="257" t="s">
        <v>1011</v>
      </c>
      <c r="E6861" s="375">
        <v>1</v>
      </c>
      <c r="F6861" s="360">
        <v>10000</v>
      </c>
      <c r="G6861" s="274">
        <f>F6861*E6861</f>
        <v>10000</v>
      </c>
    </row>
    <row r="6862" spans="1:7">
      <c r="A6862" s="294"/>
      <c r="B6862" s="410"/>
      <c r="C6862" s="247"/>
      <c r="D6862" s="247"/>
      <c r="E6862" s="1146" t="s">
        <v>705</v>
      </c>
      <c r="F6862" s="1146"/>
      <c r="G6862" s="274">
        <f>SUM(G6861)</f>
        <v>10000</v>
      </c>
    </row>
    <row r="6863" spans="1:7">
      <c r="A6863" s="294" t="s">
        <v>706</v>
      </c>
      <c r="B6863" s="1147" t="s">
        <v>707</v>
      </c>
      <c r="C6863" s="1147"/>
      <c r="D6863" s="1147"/>
      <c r="E6863" s="1147"/>
      <c r="F6863" s="1147"/>
      <c r="G6863" s="273">
        <f>G6855+G6859+G6862</f>
        <v>138137.4</v>
      </c>
    </row>
    <row r="6864" spans="1:7">
      <c r="A6864" s="294" t="s">
        <v>708</v>
      </c>
      <c r="B6864" s="1147" t="s">
        <v>709</v>
      </c>
      <c r="C6864" s="1147"/>
      <c r="D6864" s="1147"/>
      <c r="E6864" s="1147" t="s">
        <v>710</v>
      </c>
      <c r="F6864" s="1147"/>
      <c r="G6864" s="255">
        <f>G6863*0.15</f>
        <v>20720.609999999997</v>
      </c>
    </row>
    <row r="6865" spans="1:7">
      <c r="A6865" s="294" t="s">
        <v>711</v>
      </c>
      <c r="B6865" s="1149" t="s">
        <v>712</v>
      </c>
      <c r="C6865" s="1149"/>
      <c r="D6865" s="1149"/>
      <c r="E6865" s="1149"/>
      <c r="F6865" s="1149"/>
      <c r="G6865" s="255">
        <f>ROUND(SUM(G6863:G6864),2)</f>
        <v>158858.01</v>
      </c>
    </row>
    <row r="6866" spans="1:7">
      <c r="A6866" s="276"/>
      <c r="B6866" s="275"/>
      <c r="C6866" s="276"/>
      <c r="D6866" s="276"/>
      <c r="E6866" s="383"/>
      <c r="G6866" s="277"/>
    </row>
    <row r="6867" spans="1:7">
      <c r="A6867" s="285" t="s">
        <v>3725</v>
      </c>
      <c r="B6867" s="263" t="s">
        <v>3726</v>
      </c>
      <c r="C6867" s="276"/>
      <c r="D6867" s="276"/>
      <c r="E6867" s="383"/>
      <c r="G6867" s="277"/>
    </row>
    <row r="6868" spans="1:7" s="292" customFormat="1" ht="24.95" customHeight="1">
      <c r="A6868" s="290" t="s">
        <v>1003</v>
      </c>
      <c r="B6868" s="290" t="s">
        <v>1004</v>
      </c>
      <c r="C6868" s="290" t="s">
        <v>1005</v>
      </c>
      <c r="D6868" s="290" t="s">
        <v>1006</v>
      </c>
      <c r="E6868" s="373" t="s">
        <v>1007</v>
      </c>
      <c r="F6868" s="363" t="s">
        <v>2637</v>
      </c>
      <c r="G6868" s="353" t="s">
        <v>2638</v>
      </c>
    </row>
    <row r="6869" spans="1:7">
      <c r="A6869" s="294" t="s">
        <v>671</v>
      </c>
      <c r="B6869" s="410" t="s">
        <v>672</v>
      </c>
      <c r="C6869" s="247"/>
      <c r="D6869" s="247"/>
      <c r="E6869" s="372"/>
      <c r="F6869" s="360"/>
      <c r="G6869" s="274"/>
    </row>
    <row r="6870" spans="1:7">
      <c r="A6870" s="294"/>
      <c r="B6870" s="410" t="s">
        <v>673</v>
      </c>
      <c r="C6870" s="247" t="s">
        <v>674</v>
      </c>
      <c r="D6870" s="247" t="s">
        <v>675</v>
      </c>
      <c r="E6870" s="372">
        <v>0.11799999999999999</v>
      </c>
      <c r="F6870" s="360">
        <f>$F$6851</f>
        <v>110000</v>
      </c>
      <c r="G6870" s="274">
        <f>F6870*E6870</f>
        <v>12980</v>
      </c>
    </row>
    <row r="6871" spans="1:7">
      <c r="A6871" s="294"/>
      <c r="B6871" s="410" t="s">
        <v>1480</v>
      </c>
      <c r="C6871" s="247" t="s">
        <v>678</v>
      </c>
      <c r="D6871" s="247" t="s">
        <v>675</v>
      </c>
      <c r="E6871" s="372">
        <v>5.8999999999999997E-2</v>
      </c>
      <c r="F6871" s="360">
        <f>$F$6852</f>
        <v>140000</v>
      </c>
      <c r="G6871" s="274">
        <f>F6871*E6871</f>
        <v>8260</v>
      </c>
    </row>
    <row r="6872" spans="1:7">
      <c r="A6872" s="294"/>
      <c r="B6872" s="410" t="s">
        <v>751</v>
      </c>
      <c r="C6872" s="247" t="s">
        <v>681</v>
      </c>
      <c r="D6872" s="247" t="s">
        <v>675</v>
      </c>
      <c r="E6872" s="372">
        <v>5.8999999999999999E-3</v>
      </c>
      <c r="F6872" s="360">
        <f>$F$6666</f>
        <v>150000</v>
      </c>
      <c r="G6872" s="274">
        <f>F6872*E6872</f>
        <v>885</v>
      </c>
    </row>
    <row r="6873" spans="1:7">
      <c r="A6873" s="294"/>
      <c r="B6873" s="410" t="s">
        <v>683</v>
      </c>
      <c r="C6873" s="247" t="s">
        <v>684</v>
      </c>
      <c r="D6873" s="247" t="s">
        <v>675</v>
      </c>
      <c r="E6873" s="372">
        <v>1.2E-2</v>
      </c>
      <c r="F6873" s="360">
        <f>$F$6854</f>
        <v>140000</v>
      </c>
      <c r="G6873" s="274">
        <f>F6873*E6873</f>
        <v>1680</v>
      </c>
    </row>
    <row r="6874" spans="1:7">
      <c r="A6874" s="294"/>
      <c r="B6874" s="410"/>
      <c r="C6874" s="247"/>
      <c r="D6874" s="247"/>
      <c r="E6874" s="1146" t="s">
        <v>685</v>
      </c>
      <c r="F6874" s="1146"/>
      <c r="G6874" s="274">
        <f>SUM(G6870:G6873)</f>
        <v>23805</v>
      </c>
    </row>
    <row r="6875" spans="1:7">
      <c r="A6875" s="294" t="s">
        <v>686</v>
      </c>
      <c r="B6875" s="410" t="s">
        <v>687</v>
      </c>
      <c r="C6875" s="247"/>
      <c r="D6875" s="247"/>
      <c r="E6875" s="372"/>
      <c r="F6875" s="360"/>
      <c r="G6875" s="274"/>
    </row>
    <row r="6876" spans="1:7">
      <c r="A6876" s="294"/>
      <c r="B6876" s="410" t="s">
        <v>3975</v>
      </c>
      <c r="C6876" s="247"/>
      <c r="D6876" s="247" t="s">
        <v>853</v>
      </c>
      <c r="E6876" s="372">
        <v>1</v>
      </c>
      <c r="F6876" s="360">
        <f>'UPAD-BAHAN-ALAT'!$I$594</f>
        <v>191880</v>
      </c>
      <c r="G6876" s="274">
        <f>F6876*E6876</f>
        <v>191880</v>
      </c>
    </row>
    <row r="6877" spans="1:7">
      <c r="A6877" s="294"/>
      <c r="B6877" s="410" t="s">
        <v>3716</v>
      </c>
      <c r="C6877" s="247"/>
      <c r="D6877" s="247" t="s">
        <v>773</v>
      </c>
      <c r="E6877" s="381">
        <v>0.02</v>
      </c>
      <c r="F6877" s="366">
        <f>'UPAD-BAHAN-ALAT'!$I$599</f>
        <v>125280</v>
      </c>
      <c r="G6877" s="274">
        <f>F6877*E6877</f>
        <v>2505.6</v>
      </c>
    </row>
    <row r="6878" spans="1:7">
      <c r="A6878" s="294"/>
      <c r="B6878" s="410"/>
      <c r="C6878" s="247"/>
      <c r="D6878" s="247"/>
      <c r="E6878" s="1146" t="s">
        <v>702</v>
      </c>
      <c r="F6878" s="1146"/>
      <c r="G6878" s="274">
        <f>SUM(G6876:G6877)</f>
        <v>194385.6</v>
      </c>
    </row>
    <row r="6879" spans="1:7">
      <c r="A6879" s="294" t="s">
        <v>703</v>
      </c>
      <c r="B6879" s="410" t="s">
        <v>704</v>
      </c>
      <c r="C6879" s="247"/>
      <c r="D6879" s="247"/>
      <c r="E6879" s="372"/>
      <c r="F6879" s="360"/>
      <c r="G6879" s="274"/>
    </row>
    <row r="6880" spans="1:7">
      <c r="A6880" s="294"/>
      <c r="B6880" s="256" t="s">
        <v>3655</v>
      </c>
      <c r="C6880" s="247"/>
      <c r="D6880" s="257" t="s">
        <v>1011</v>
      </c>
      <c r="E6880" s="375">
        <v>1</v>
      </c>
      <c r="F6880" s="360">
        <v>12000</v>
      </c>
      <c r="G6880" s="274">
        <f>F6880*E6880</f>
        <v>12000</v>
      </c>
    </row>
    <row r="6881" spans="1:7">
      <c r="A6881" s="294"/>
      <c r="B6881" s="410"/>
      <c r="C6881" s="247"/>
      <c r="D6881" s="247"/>
      <c r="E6881" s="1146" t="s">
        <v>705</v>
      </c>
      <c r="F6881" s="1146"/>
      <c r="G6881" s="274">
        <f>SUM(G6880)</f>
        <v>12000</v>
      </c>
    </row>
    <row r="6882" spans="1:7">
      <c r="A6882" s="294" t="s">
        <v>706</v>
      </c>
      <c r="B6882" s="1147" t="s">
        <v>707</v>
      </c>
      <c r="C6882" s="1147"/>
      <c r="D6882" s="1147"/>
      <c r="E6882" s="1147"/>
      <c r="F6882" s="1147"/>
      <c r="G6882" s="273">
        <f>G6874+G6878+G6881</f>
        <v>230190.6</v>
      </c>
    </row>
    <row r="6883" spans="1:7">
      <c r="A6883" s="294" t="s">
        <v>708</v>
      </c>
      <c r="B6883" s="1147" t="s">
        <v>709</v>
      </c>
      <c r="C6883" s="1147"/>
      <c r="D6883" s="1147"/>
      <c r="E6883" s="1147" t="s">
        <v>710</v>
      </c>
      <c r="F6883" s="1147"/>
      <c r="G6883" s="255">
        <f>G6882*0.15</f>
        <v>34528.589999999997</v>
      </c>
    </row>
    <row r="6884" spans="1:7">
      <c r="A6884" s="294" t="s">
        <v>711</v>
      </c>
      <c r="B6884" s="1149" t="s">
        <v>712</v>
      </c>
      <c r="C6884" s="1149"/>
      <c r="D6884" s="1149"/>
      <c r="E6884" s="1149"/>
      <c r="F6884" s="1149"/>
      <c r="G6884" s="255">
        <f>ROUND(SUM(G6882:G6883),2)</f>
        <v>264719.19</v>
      </c>
    </row>
    <row r="6885" spans="1:7">
      <c r="A6885" s="268"/>
      <c r="B6885" s="269"/>
      <c r="C6885" s="268"/>
      <c r="D6885" s="268"/>
      <c r="E6885" s="380"/>
      <c r="F6885" s="365"/>
      <c r="G6885" s="278"/>
    </row>
    <row r="6886" spans="1:7">
      <c r="A6886" s="285" t="s">
        <v>3727</v>
      </c>
      <c r="B6886" s="250" t="s">
        <v>3728</v>
      </c>
      <c r="C6886" s="252"/>
      <c r="D6886" s="252"/>
      <c r="E6886" s="374"/>
      <c r="F6886" s="361"/>
      <c r="G6886" s="272"/>
    </row>
    <row r="6887" spans="1:7" s="292" customFormat="1" ht="24.95" customHeight="1">
      <c r="A6887" s="290" t="s">
        <v>1003</v>
      </c>
      <c r="B6887" s="290" t="s">
        <v>1004</v>
      </c>
      <c r="C6887" s="290" t="s">
        <v>1005</v>
      </c>
      <c r="D6887" s="290" t="s">
        <v>1006</v>
      </c>
      <c r="E6887" s="373" t="s">
        <v>1007</v>
      </c>
      <c r="F6887" s="363" t="s">
        <v>2637</v>
      </c>
      <c r="G6887" s="353" t="s">
        <v>2638</v>
      </c>
    </row>
    <row r="6888" spans="1:7">
      <c r="A6888" s="294" t="s">
        <v>671</v>
      </c>
      <c r="B6888" s="410" t="s">
        <v>672</v>
      </c>
      <c r="C6888" s="247"/>
      <c r="D6888" s="247"/>
      <c r="E6888" s="372"/>
      <c r="F6888" s="360"/>
      <c r="G6888" s="274"/>
    </row>
    <row r="6889" spans="1:7">
      <c r="A6889" s="294"/>
      <c r="B6889" s="410" t="s">
        <v>673</v>
      </c>
      <c r="C6889" s="247" t="s">
        <v>674</v>
      </c>
      <c r="D6889" s="247" t="s">
        <v>675</v>
      </c>
      <c r="E6889" s="372">
        <v>0.189</v>
      </c>
      <c r="F6889" s="360">
        <f>$F$6870</f>
        <v>110000</v>
      </c>
      <c r="G6889" s="274">
        <f>F6889*E6889</f>
        <v>20790</v>
      </c>
    </row>
    <row r="6890" spans="1:7">
      <c r="A6890" s="294"/>
      <c r="B6890" s="410" t="s">
        <v>1480</v>
      </c>
      <c r="C6890" s="247" t="s">
        <v>678</v>
      </c>
      <c r="D6890" s="247" t="s">
        <v>675</v>
      </c>
      <c r="E6890" s="372">
        <v>9.5000000000000001E-2</v>
      </c>
      <c r="F6890" s="360">
        <f>$F$6871</f>
        <v>140000</v>
      </c>
      <c r="G6890" s="274">
        <f>F6890*E6890</f>
        <v>13300</v>
      </c>
    </row>
    <row r="6891" spans="1:7">
      <c r="A6891" s="294"/>
      <c r="B6891" s="410" t="s">
        <v>751</v>
      </c>
      <c r="C6891" s="247" t="s">
        <v>681</v>
      </c>
      <c r="D6891" s="247" t="s">
        <v>675</v>
      </c>
      <c r="E6891" s="372">
        <v>9.4999999999999998E-3</v>
      </c>
      <c r="F6891" s="360">
        <f>$F$6666</f>
        <v>150000</v>
      </c>
      <c r="G6891" s="274">
        <f>F6891*E6891</f>
        <v>1425</v>
      </c>
    </row>
    <row r="6892" spans="1:7">
      <c r="A6892" s="294"/>
      <c r="B6892" s="410" t="s">
        <v>683</v>
      </c>
      <c r="C6892" s="247" t="s">
        <v>684</v>
      </c>
      <c r="D6892" s="247" t="s">
        <v>675</v>
      </c>
      <c r="E6892" s="372">
        <v>1.9E-2</v>
      </c>
      <c r="F6892" s="360">
        <f>$F$6873</f>
        <v>140000</v>
      </c>
      <c r="G6892" s="274">
        <f>F6892*E6892</f>
        <v>2660</v>
      </c>
    </row>
    <row r="6893" spans="1:7">
      <c r="A6893" s="294"/>
      <c r="B6893" s="410"/>
      <c r="C6893" s="247"/>
      <c r="D6893" s="247"/>
      <c r="E6893" s="1146" t="s">
        <v>685</v>
      </c>
      <c r="F6893" s="1146"/>
      <c r="G6893" s="274">
        <f>SUM(G6889:G6892)</f>
        <v>38175</v>
      </c>
    </row>
    <row r="6894" spans="1:7">
      <c r="A6894" s="294" t="s">
        <v>686</v>
      </c>
      <c r="B6894" s="410" t="s">
        <v>687</v>
      </c>
      <c r="C6894" s="247"/>
      <c r="D6894" s="247"/>
      <c r="E6894" s="372"/>
      <c r="F6894" s="360"/>
      <c r="G6894" s="274"/>
    </row>
    <row r="6895" spans="1:7">
      <c r="A6895" s="294"/>
      <c r="B6895" s="410" t="s">
        <v>3976</v>
      </c>
      <c r="C6895" s="247"/>
      <c r="D6895" s="247" t="s">
        <v>853</v>
      </c>
      <c r="E6895" s="372">
        <v>1</v>
      </c>
      <c r="F6895" s="360">
        <f>'UPAD-BAHAN-ALAT'!$I$593</f>
        <v>293520</v>
      </c>
      <c r="G6895" s="274">
        <f>F6895*E6895</f>
        <v>293520</v>
      </c>
    </row>
    <row r="6896" spans="1:7">
      <c r="A6896" s="294"/>
      <c r="B6896" s="410" t="s">
        <v>3716</v>
      </c>
      <c r="C6896" s="247"/>
      <c r="D6896" s="247" t="s">
        <v>773</v>
      </c>
      <c r="E6896" s="381">
        <v>2.5000000000000001E-2</v>
      </c>
      <c r="F6896" s="366">
        <f>'UPAD-BAHAN-ALAT'!$I$599</f>
        <v>125280</v>
      </c>
      <c r="G6896" s="274">
        <f>F6896*E6896</f>
        <v>3132</v>
      </c>
    </row>
    <row r="6897" spans="1:7">
      <c r="A6897" s="294"/>
      <c r="B6897" s="410"/>
      <c r="C6897" s="247"/>
      <c r="D6897" s="247"/>
      <c r="E6897" s="1146" t="s">
        <v>702</v>
      </c>
      <c r="F6897" s="1146"/>
      <c r="G6897" s="274">
        <f>SUM(G6895:G6896)</f>
        <v>296652</v>
      </c>
    </row>
    <row r="6898" spans="1:7">
      <c r="A6898" s="294" t="s">
        <v>703</v>
      </c>
      <c r="B6898" s="410" t="s">
        <v>704</v>
      </c>
      <c r="C6898" s="247"/>
      <c r="D6898" s="247"/>
      <c r="E6898" s="372"/>
      <c r="F6898" s="360"/>
      <c r="G6898" s="274"/>
    </row>
    <row r="6899" spans="1:7">
      <c r="A6899" s="294"/>
      <c r="B6899" s="256" t="s">
        <v>3655</v>
      </c>
      <c r="C6899" s="247"/>
      <c r="D6899" s="257" t="s">
        <v>1011</v>
      </c>
      <c r="E6899" s="375">
        <v>1</v>
      </c>
      <c r="F6899" s="360">
        <v>25000</v>
      </c>
      <c r="G6899" s="274">
        <f>F6899*E6899</f>
        <v>25000</v>
      </c>
    </row>
    <row r="6900" spans="1:7">
      <c r="A6900" s="294"/>
      <c r="B6900" s="410"/>
      <c r="C6900" s="247"/>
      <c r="D6900" s="247"/>
      <c r="E6900" s="1146" t="s">
        <v>705</v>
      </c>
      <c r="F6900" s="1146"/>
      <c r="G6900" s="274">
        <f>SUM(G6899)</f>
        <v>25000</v>
      </c>
    </row>
    <row r="6901" spans="1:7">
      <c r="A6901" s="294" t="s">
        <v>706</v>
      </c>
      <c r="B6901" s="1147" t="s">
        <v>707</v>
      </c>
      <c r="C6901" s="1147"/>
      <c r="D6901" s="1147"/>
      <c r="E6901" s="1147"/>
      <c r="F6901" s="1147"/>
      <c r="G6901" s="273">
        <f>G6893+G6897+G6900</f>
        <v>359827</v>
      </c>
    </row>
    <row r="6902" spans="1:7">
      <c r="A6902" s="294" t="s">
        <v>708</v>
      </c>
      <c r="B6902" s="1147" t="s">
        <v>709</v>
      </c>
      <c r="C6902" s="1147"/>
      <c r="D6902" s="1147"/>
      <c r="E6902" s="1147" t="s">
        <v>710</v>
      </c>
      <c r="F6902" s="1147"/>
      <c r="G6902" s="255">
        <f>G6901*0.15</f>
        <v>53974.049999999996</v>
      </c>
    </row>
    <row r="6903" spans="1:7">
      <c r="A6903" s="294" t="s">
        <v>711</v>
      </c>
      <c r="B6903" s="1149" t="s">
        <v>712</v>
      </c>
      <c r="C6903" s="1149"/>
      <c r="D6903" s="1149"/>
      <c r="E6903" s="1149"/>
      <c r="F6903" s="1149"/>
      <c r="G6903" s="255">
        <f>ROUND(SUM(G6901:G6902),2)</f>
        <v>413801.05</v>
      </c>
    </row>
    <row r="6904" spans="1:7">
      <c r="A6904" s="354"/>
      <c r="B6904" s="250"/>
      <c r="C6904" s="250"/>
      <c r="D6904" s="250"/>
      <c r="E6904" s="382"/>
      <c r="F6904" s="367"/>
      <c r="G6904" s="352"/>
    </row>
    <row r="6905" spans="1:7">
      <c r="A6905" s="284" t="s">
        <v>3729</v>
      </c>
      <c r="B6905" s="263" t="s">
        <v>3730</v>
      </c>
      <c r="C6905" s="276"/>
      <c r="D6905" s="276"/>
      <c r="E6905" s="383"/>
      <c r="G6905" s="277"/>
    </row>
    <row r="6906" spans="1:7" s="292" customFormat="1" ht="24.95" customHeight="1">
      <c r="A6906" s="290" t="s">
        <v>1003</v>
      </c>
      <c r="B6906" s="290" t="s">
        <v>1004</v>
      </c>
      <c r="C6906" s="290" t="s">
        <v>1005</v>
      </c>
      <c r="D6906" s="290" t="s">
        <v>1006</v>
      </c>
      <c r="E6906" s="373" t="s">
        <v>1007</v>
      </c>
      <c r="F6906" s="363" t="s">
        <v>2637</v>
      </c>
      <c r="G6906" s="353" t="s">
        <v>2638</v>
      </c>
    </row>
    <row r="6907" spans="1:7">
      <c r="A6907" s="294" t="s">
        <v>671</v>
      </c>
      <c r="B6907" s="410" t="s">
        <v>672</v>
      </c>
      <c r="C6907" s="247"/>
      <c r="D6907" s="247"/>
      <c r="E6907" s="372"/>
      <c r="F6907" s="360"/>
      <c r="G6907" s="274"/>
    </row>
    <row r="6908" spans="1:7">
      <c r="A6908" s="294"/>
      <c r="B6908" s="410" t="s">
        <v>673</v>
      </c>
      <c r="C6908" s="247" t="s">
        <v>674</v>
      </c>
      <c r="D6908" s="247" t="s">
        <v>675</v>
      </c>
      <c r="E6908" s="372">
        <v>0.25600000000000001</v>
      </c>
      <c r="F6908" s="360">
        <f>F6889</f>
        <v>110000</v>
      </c>
      <c r="G6908" s="274">
        <f>F6908*E6908</f>
        <v>28160</v>
      </c>
    </row>
    <row r="6909" spans="1:7">
      <c r="A6909" s="294"/>
      <c r="B6909" s="410" t="s">
        <v>1480</v>
      </c>
      <c r="C6909" s="247" t="s">
        <v>678</v>
      </c>
      <c r="D6909" s="247" t="s">
        <v>675</v>
      </c>
      <c r="E6909" s="372">
        <v>0.128</v>
      </c>
      <c r="F6909" s="360">
        <f>F6890</f>
        <v>140000</v>
      </c>
      <c r="G6909" s="274">
        <f>F6909*E6909</f>
        <v>17920</v>
      </c>
    </row>
    <row r="6910" spans="1:7">
      <c r="A6910" s="294"/>
      <c r="B6910" s="410" t="s">
        <v>751</v>
      </c>
      <c r="C6910" s="247" t="s">
        <v>681</v>
      </c>
      <c r="D6910" s="247" t="s">
        <v>675</v>
      </c>
      <c r="E6910" s="372">
        <v>1.2800000000000001E-2</v>
      </c>
      <c r="F6910" s="360">
        <f>$F$6666</f>
        <v>150000</v>
      </c>
      <c r="G6910" s="274">
        <f>F6910*E6910</f>
        <v>1920</v>
      </c>
    </row>
    <row r="6911" spans="1:7">
      <c r="A6911" s="294"/>
      <c r="B6911" s="410" t="s">
        <v>683</v>
      </c>
      <c r="C6911" s="247" t="s">
        <v>684</v>
      </c>
      <c r="D6911" s="247" t="s">
        <v>675</v>
      </c>
      <c r="E6911" s="372">
        <v>2.5999999999999999E-2</v>
      </c>
      <c r="F6911" s="360">
        <f>F6892</f>
        <v>140000</v>
      </c>
      <c r="G6911" s="274">
        <f>F6911*E6911</f>
        <v>3640</v>
      </c>
    </row>
    <row r="6912" spans="1:7">
      <c r="A6912" s="294"/>
      <c r="B6912" s="410"/>
      <c r="C6912" s="247"/>
      <c r="D6912" s="247"/>
      <c r="E6912" s="1146" t="s">
        <v>685</v>
      </c>
      <c r="F6912" s="1146"/>
      <c r="G6912" s="274">
        <f>SUM(G6908:G6911)</f>
        <v>51640</v>
      </c>
    </row>
    <row r="6913" spans="1:7">
      <c r="A6913" s="294" t="s">
        <v>686</v>
      </c>
      <c r="B6913" s="410" t="s">
        <v>687</v>
      </c>
      <c r="C6913" s="247"/>
      <c r="D6913" s="279"/>
      <c r="E6913" s="372"/>
      <c r="F6913" s="360"/>
      <c r="G6913" s="274"/>
    </row>
    <row r="6914" spans="1:7">
      <c r="A6914" s="294"/>
      <c r="B6914" s="410" t="s">
        <v>3977</v>
      </c>
      <c r="C6914" s="247"/>
      <c r="D6914" s="247" t="s">
        <v>853</v>
      </c>
      <c r="E6914" s="372">
        <v>1</v>
      </c>
      <c r="F6914" s="360">
        <f>'UPAD-BAHAN-ALAT'!$I$592</f>
        <v>463440</v>
      </c>
      <c r="G6914" s="274">
        <f>F6914*E6914</f>
        <v>463440</v>
      </c>
    </row>
    <row r="6915" spans="1:7">
      <c r="A6915" s="294"/>
      <c r="B6915" s="410" t="s">
        <v>3716</v>
      </c>
      <c r="C6915" s="247"/>
      <c r="D6915" s="247" t="s">
        <v>773</v>
      </c>
      <c r="E6915" s="381">
        <v>0.03</v>
      </c>
      <c r="F6915" s="366">
        <f>'UPAD-BAHAN-ALAT'!$I$599</f>
        <v>125280</v>
      </c>
      <c r="G6915" s="274">
        <f>F6915*E6915</f>
        <v>3758.3999999999996</v>
      </c>
    </row>
    <row r="6916" spans="1:7">
      <c r="A6916" s="294"/>
      <c r="B6916" s="410"/>
      <c r="C6916" s="247"/>
      <c r="D6916" s="247"/>
      <c r="E6916" s="1146" t="s">
        <v>702</v>
      </c>
      <c r="F6916" s="1146"/>
      <c r="G6916" s="274">
        <f>SUM(G6914:G6915)</f>
        <v>467198.4</v>
      </c>
    </row>
    <row r="6917" spans="1:7">
      <c r="A6917" s="294" t="s">
        <v>703</v>
      </c>
      <c r="B6917" s="410" t="s">
        <v>704</v>
      </c>
      <c r="C6917" s="247"/>
      <c r="D6917" s="247"/>
      <c r="E6917" s="372"/>
      <c r="F6917" s="360"/>
      <c r="G6917" s="274"/>
    </row>
    <row r="6918" spans="1:7">
      <c r="A6918" s="294"/>
      <c r="B6918" s="256" t="s">
        <v>3655</v>
      </c>
      <c r="C6918" s="247"/>
      <c r="D6918" s="257" t="s">
        <v>1011</v>
      </c>
      <c r="E6918" s="375">
        <v>1</v>
      </c>
      <c r="F6918" s="360">
        <v>50000</v>
      </c>
      <c r="G6918" s="274">
        <f>F6918*E6918</f>
        <v>50000</v>
      </c>
    </row>
    <row r="6919" spans="1:7">
      <c r="A6919" s="294"/>
      <c r="B6919" s="410"/>
      <c r="C6919" s="247"/>
      <c r="D6919" s="247"/>
      <c r="E6919" s="1146" t="s">
        <v>705</v>
      </c>
      <c r="F6919" s="1146"/>
      <c r="G6919" s="274">
        <f>SUM(G6918)</f>
        <v>50000</v>
      </c>
    </row>
    <row r="6920" spans="1:7">
      <c r="A6920" s="294" t="s">
        <v>706</v>
      </c>
      <c r="B6920" s="1147" t="s">
        <v>707</v>
      </c>
      <c r="C6920" s="1147"/>
      <c r="D6920" s="1147"/>
      <c r="E6920" s="1147"/>
      <c r="F6920" s="1147"/>
      <c r="G6920" s="273">
        <f>G6912+G6916+G6919</f>
        <v>568838.40000000002</v>
      </c>
    </row>
    <row r="6921" spans="1:7">
      <c r="A6921" s="294" t="s">
        <v>708</v>
      </c>
      <c r="B6921" s="1147" t="s">
        <v>709</v>
      </c>
      <c r="C6921" s="1147"/>
      <c r="D6921" s="1147"/>
      <c r="E6921" s="1147" t="s">
        <v>710</v>
      </c>
      <c r="F6921" s="1147"/>
      <c r="G6921" s="255">
        <f>G6920*0.15</f>
        <v>85325.759999999995</v>
      </c>
    </row>
    <row r="6922" spans="1:7">
      <c r="A6922" s="294" t="s">
        <v>711</v>
      </c>
      <c r="B6922" s="1149" t="s">
        <v>712</v>
      </c>
      <c r="C6922" s="1149"/>
      <c r="D6922" s="1149"/>
      <c r="E6922" s="1149"/>
      <c r="F6922" s="1149"/>
      <c r="G6922" s="255">
        <f>ROUND(SUM(G6920:G6921),2)</f>
        <v>654164.16</v>
      </c>
    </row>
    <row r="6923" spans="1:7">
      <c r="A6923" s="268"/>
      <c r="B6923" s="269"/>
      <c r="C6923" s="268"/>
      <c r="D6923" s="268"/>
      <c r="E6923" s="380"/>
      <c r="F6923" s="365"/>
      <c r="G6923" s="278"/>
    </row>
    <row r="6924" spans="1:7">
      <c r="A6924" s="285" t="s">
        <v>3731</v>
      </c>
      <c r="B6924" s="250" t="s">
        <v>3732</v>
      </c>
      <c r="C6924" s="252"/>
      <c r="D6924" s="252"/>
      <c r="E6924" s="374"/>
      <c r="F6924" s="361"/>
      <c r="G6924" s="272"/>
    </row>
    <row r="6925" spans="1:7" s="292" customFormat="1" ht="24.95" customHeight="1">
      <c r="A6925" s="290" t="s">
        <v>1003</v>
      </c>
      <c r="B6925" s="290" t="s">
        <v>1004</v>
      </c>
      <c r="C6925" s="290" t="s">
        <v>1005</v>
      </c>
      <c r="D6925" s="290" t="s">
        <v>1006</v>
      </c>
      <c r="E6925" s="373" t="s">
        <v>1007</v>
      </c>
      <c r="F6925" s="363" t="s">
        <v>2637</v>
      </c>
      <c r="G6925" s="353" t="s">
        <v>2638</v>
      </c>
    </row>
    <row r="6926" spans="1:7">
      <c r="A6926" s="294" t="s">
        <v>671</v>
      </c>
      <c r="B6926" s="410" t="s">
        <v>672</v>
      </c>
      <c r="C6926" s="247"/>
      <c r="D6926" s="247"/>
      <c r="E6926" s="372"/>
      <c r="F6926" s="360"/>
      <c r="G6926" s="274"/>
    </row>
    <row r="6927" spans="1:7">
      <c r="A6927" s="294"/>
      <c r="B6927" s="410" t="s">
        <v>673</v>
      </c>
      <c r="C6927" s="247" t="s">
        <v>674</v>
      </c>
      <c r="D6927" s="247" t="s">
        <v>675</v>
      </c>
      <c r="E6927" s="372">
        <v>0.29399999999999998</v>
      </c>
      <c r="F6927" s="360">
        <f>$F$6908</f>
        <v>110000</v>
      </c>
      <c r="G6927" s="274">
        <f>F6927*E6927</f>
        <v>32340</v>
      </c>
    </row>
    <row r="6928" spans="1:7">
      <c r="A6928" s="294"/>
      <c r="B6928" s="410" t="s">
        <v>1480</v>
      </c>
      <c r="C6928" s="247" t="s">
        <v>678</v>
      </c>
      <c r="D6928" s="247" t="s">
        <v>675</v>
      </c>
      <c r="E6928" s="372">
        <v>0.14699999999999999</v>
      </c>
      <c r="F6928" s="360">
        <f>$F$6909</f>
        <v>140000</v>
      </c>
      <c r="G6928" s="274">
        <f>F6928*E6928</f>
        <v>20580</v>
      </c>
    </row>
    <row r="6929" spans="1:7">
      <c r="A6929" s="294"/>
      <c r="B6929" s="410" t="s">
        <v>751</v>
      </c>
      <c r="C6929" s="247" t="s">
        <v>681</v>
      </c>
      <c r="D6929" s="247" t="s">
        <v>675</v>
      </c>
      <c r="E6929" s="372">
        <v>1.47E-2</v>
      </c>
      <c r="F6929" s="360">
        <f>$F$6666</f>
        <v>150000</v>
      </c>
      <c r="G6929" s="274">
        <f>F6929*E6929</f>
        <v>2205</v>
      </c>
    </row>
    <row r="6930" spans="1:7">
      <c r="A6930" s="294"/>
      <c r="B6930" s="410" t="s">
        <v>683</v>
      </c>
      <c r="C6930" s="247" t="s">
        <v>684</v>
      </c>
      <c r="D6930" s="247" t="s">
        <v>675</v>
      </c>
      <c r="E6930" s="372">
        <v>2.9000000000000001E-2</v>
      </c>
      <c r="F6930" s="360">
        <f>$F$6911</f>
        <v>140000</v>
      </c>
      <c r="G6930" s="274">
        <f>F6930*E6930</f>
        <v>4060</v>
      </c>
    </row>
    <row r="6931" spans="1:7">
      <c r="A6931" s="294"/>
      <c r="B6931" s="410"/>
      <c r="C6931" s="247"/>
      <c r="D6931" s="247"/>
      <c r="E6931" s="1146" t="s">
        <v>685</v>
      </c>
      <c r="F6931" s="1146"/>
      <c r="G6931" s="274">
        <f>SUM(G6927:G6930)</f>
        <v>59185</v>
      </c>
    </row>
    <row r="6932" spans="1:7">
      <c r="A6932" s="294" t="s">
        <v>686</v>
      </c>
      <c r="B6932" s="410" t="s">
        <v>687</v>
      </c>
      <c r="C6932" s="247"/>
      <c r="D6932" s="247"/>
      <c r="E6932" s="372"/>
      <c r="F6932" s="360"/>
      <c r="G6932" s="274"/>
    </row>
    <row r="6933" spans="1:7">
      <c r="A6933" s="294"/>
      <c r="B6933" s="410" t="s">
        <v>3978</v>
      </c>
      <c r="C6933" s="247"/>
      <c r="D6933" s="247" t="s">
        <v>853</v>
      </c>
      <c r="E6933" s="372">
        <v>1</v>
      </c>
      <c r="F6933" s="360">
        <f>'UPAD-BAHAN-ALAT'!$I$591</f>
        <v>730560</v>
      </c>
      <c r="G6933" s="274">
        <f>F6933*E6933</f>
        <v>730560</v>
      </c>
    </row>
    <row r="6934" spans="1:7">
      <c r="A6934" s="294"/>
      <c r="B6934" s="410" t="s">
        <v>3716</v>
      </c>
      <c r="C6934" s="247"/>
      <c r="D6934" s="247" t="s">
        <v>773</v>
      </c>
      <c r="E6934" s="381">
        <v>3.5000000000000003E-2</v>
      </c>
      <c r="F6934" s="366">
        <f>'UPAD-BAHAN-ALAT'!$I$599</f>
        <v>125280</v>
      </c>
      <c r="G6934" s="274">
        <f>F6934*E6934</f>
        <v>4384.8</v>
      </c>
    </row>
    <row r="6935" spans="1:7">
      <c r="A6935" s="294"/>
      <c r="B6935" s="410"/>
      <c r="C6935" s="247"/>
      <c r="D6935" s="247"/>
      <c r="E6935" s="1146" t="s">
        <v>702</v>
      </c>
      <c r="F6935" s="1146"/>
      <c r="G6935" s="274">
        <f>SUM(G6933:G6934)</f>
        <v>734944.8</v>
      </c>
    </row>
    <row r="6936" spans="1:7">
      <c r="A6936" s="294" t="s">
        <v>703</v>
      </c>
      <c r="B6936" s="410" t="s">
        <v>704</v>
      </c>
      <c r="C6936" s="247"/>
      <c r="D6936" s="247"/>
      <c r="E6936" s="372"/>
      <c r="F6936" s="360"/>
      <c r="G6936" s="274"/>
    </row>
    <row r="6937" spans="1:7">
      <c r="A6937" s="294"/>
      <c r="B6937" s="256" t="s">
        <v>3655</v>
      </c>
      <c r="C6937" s="247"/>
      <c r="D6937" s="257" t="s">
        <v>1011</v>
      </c>
      <c r="E6937" s="375">
        <v>1</v>
      </c>
      <c r="F6937" s="360">
        <v>100000</v>
      </c>
      <c r="G6937" s="274">
        <f>F6937*E6937</f>
        <v>100000</v>
      </c>
    </row>
    <row r="6938" spans="1:7">
      <c r="A6938" s="294"/>
      <c r="B6938" s="410"/>
      <c r="C6938" s="247"/>
      <c r="D6938" s="247"/>
      <c r="E6938" s="1146" t="s">
        <v>705</v>
      </c>
      <c r="F6938" s="1146"/>
      <c r="G6938" s="274">
        <f>SUM(G6937)</f>
        <v>100000</v>
      </c>
    </row>
    <row r="6939" spans="1:7">
      <c r="A6939" s="294" t="s">
        <v>706</v>
      </c>
      <c r="B6939" s="1147" t="s">
        <v>707</v>
      </c>
      <c r="C6939" s="1147"/>
      <c r="D6939" s="1147"/>
      <c r="E6939" s="1147"/>
      <c r="F6939" s="1147"/>
      <c r="G6939" s="273">
        <f>G6931+G6935+G6938</f>
        <v>894129.8</v>
      </c>
    </row>
    <row r="6940" spans="1:7">
      <c r="A6940" s="294" t="s">
        <v>708</v>
      </c>
      <c r="B6940" s="1147" t="s">
        <v>709</v>
      </c>
      <c r="C6940" s="1147"/>
      <c r="D6940" s="1147"/>
      <c r="E6940" s="1147" t="s">
        <v>710</v>
      </c>
      <c r="F6940" s="1147"/>
      <c r="G6940" s="255">
        <f>G6939*0.15</f>
        <v>134119.47</v>
      </c>
    </row>
    <row r="6941" spans="1:7">
      <c r="A6941" s="294" t="s">
        <v>711</v>
      </c>
      <c r="B6941" s="1149" t="s">
        <v>712</v>
      </c>
      <c r="C6941" s="1149"/>
      <c r="D6941" s="1149"/>
      <c r="E6941" s="1149"/>
      <c r="F6941" s="1149"/>
      <c r="G6941" s="255">
        <f>ROUND(SUM(G6939:G6940),2)</f>
        <v>1028249.27</v>
      </c>
    </row>
    <row r="6942" spans="1:7">
      <c r="A6942" s="268"/>
      <c r="B6942" s="269"/>
      <c r="C6942" s="268"/>
      <c r="D6942" s="268"/>
      <c r="E6942" s="380"/>
      <c r="F6942" s="365"/>
      <c r="G6942" s="278"/>
    </row>
    <row r="6943" spans="1:7">
      <c r="A6943" s="285" t="s">
        <v>4413</v>
      </c>
      <c r="B6943" s="250" t="s">
        <v>3733</v>
      </c>
      <c r="C6943" s="252"/>
      <c r="D6943" s="252"/>
      <c r="E6943" s="374"/>
      <c r="F6943" s="361"/>
      <c r="G6943" s="272"/>
    </row>
    <row r="6944" spans="1:7" s="292" customFormat="1" ht="24.95" customHeight="1">
      <c r="A6944" s="290" t="s">
        <v>1003</v>
      </c>
      <c r="B6944" s="290" t="s">
        <v>1004</v>
      </c>
      <c r="C6944" s="290" t="s">
        <v>1005</v>
      </c>
      <c r="D6944" s="290" t="s">
        <v>1006</v>
      </c>
      <c r="E6944" s="373" t="s">
        <v>1007</v>
      </c>
      <c r="F6944" s="363" t="s">
        <v>2637</v>
      </c>
      <c r="G6944" s="353" t="s">
        <v>2638</v>
      </c>
    </row>
    <row r="6945" spans="1:7">
      <c r="A6945" s="294" t="s">
        <v>671</v>
      </c>
      <c r="B6945" s="410" t="s">
        <v>672</v>
      </c>
      <c r="C6945" s="247"/>
      <c r="D6945" s="247"/>
      <c r="E6945" s="372"/>
      <c r="F6945" s="360"/>
      <c r="G6945" s="274"/>
    </row>
    <row r="6946" spans="1:7">
      <c r="A6946" s="294"/>
      <c r="B6946" s="410" t="s">
        <v>673</v>
      </c>
      <c r="C6946" s="247" t="s">
        <v>674</v>
      </c>
      <c r="D6946" s="247" t="s">
        <v>675</v>
      </c>
      <c r="E6946" s="372">
        <v>3.5000000000000003E-2</v>
      </c>
      <c r="F6946" s="360">
        <f>$F$6927</f>
        <v>110000</v>
      </c>
      <c r="G6946" s="274">
        <f>F6946*E6946</f>
        <v>3850.0000000000005</v>
      </c>
    </row>
    <row r="6947" spans="1:7">
      <c r="A6947" s="294"/>
      <c r="B6947" s="410" t="s">
        <v>1480</v>
      </c>
      <c r="C6947" s="247" t="s">
        <v>678</v>
      </c>
      <c r="D6947" s="247" t="s">
        <v>675</v>
      </c>
      <c r="E6947" s="372">
        <v>1.7000000000000001E-2</v>
      </c>
      <c r="F6947" s="360">
        <f>$F$6928</f>
        <v>140000</v>
      </c>
      <c r="G6947" s="274">
        <f>F6947*E6947</f>
        <v>2380</v>
      </c>
    </row>
    <row r="6948" spans="1:7">
      <c r="A6948" s="294"/>
      <c r="B6948" s="410" t="s">
        <v>751</v>
      </c>
      <c r="C6948" s="247" t="s">
        <v>681</v>
      </c>
      <c r="D6948" s="247" t="s">
        <v>675</v>
      </c>
      <c r="E6948" s="372">
        <v>1.7000000000000001E-3</v>
      </c>
      <c r="F6948" s="360">
        <f>$F$6666</f>
        <v>150000</v>
      </c>
      <c r="G6948" s="274">
        <f>F6948*E6948</f>
        <v>255.00000000000003</v>
      </c>
    </row>
    <row r="6949" spans="1:7">
      <c r="A6949" s="294"/>
      <c r="B6949" s="410" t="s">
        <v>683</v>
      </c>
      <c r="C6949" s="247" t="s">
        <v>684</v>
      </c>
      <c r="D6949" s="247" t="s">
        <v>675</v>
      </c>
      <c r="E6949" s="372">
        <v>3.0000000000000001E-3</v>
      </c>
      <c r="F6949" s="360">
        <f>$F$6930</f>
        <v>140000</v>
      </c>
      <c r="G6949" s="274">
        <f>F6949*E6949</f>
        <v>420</v>
      </c>
    </row>
    <row r="6950" spans="1:7">
      <c r="A6950" s="294"/>
      <c r="B6950" s="410"/>
      <c r="C6950" s="247"/>
      <c r="D6950" s="247"/>
      <c r="E6950" s="1146" t="s">
        <v>685</v>
      </c>
      <c r="F6950" s="1146"/>
      <c r="G6950" s="274">
        <f>SUM(G6946:G6949)</f>
        <v>6905</v>
      </c>
    </row>
    <row r="6951" spans="1:7">
      <c r="A6951" s="294" t="s">
        <v>686</v>
      </c>
      <c r="B6951" s="410" t="s">
        <v>687</v>
      </c>
      <c r="C6951" s="247"/>
      <c r="D6951" s="247"/>
      <c r="E6951" s="372"/>
      <c r="F6951" s="360"/>
      <c r="G6951" s="274"/>
    </row>
    <row r="6952" spans="1:7">
      <c r="A6952" s="294"/>
      <c r="B6952" s="410" t="s">
        <v>3734</v>
      </c>
      <c r="C6952" s="247"/>
      <c r="D6952" s="247" t="s">
        <v>853</v>
      </c>
      <c r="E6952" s="372">
        <v>1</v>
      </c>
      <c r="F6952" s="360">
        <f>'UPAD-BAHAN-ALAT'!$I$666</f>
        <v>57000</v>
      </c>
      <c r="G6952" s="274">
        <f>F6952*E6952</f>
        <v>57000</v>
      </c>
    </row>
    <row r="6953" spans="1:7">
      <c r="A6953" s="294"/>
      <c r="B6953" s="410"/>
      <c r="C6953" s="247"/>
      <c r="D6953" s="247"/>
      <c r="E6953" s="1146" t="s">
        <v>702</v>
      </c>
      <c r="F6953" s="1146"/>
      <c r="G6953" s="274">
        <f>SUM(G6952)</f>
        <v>57000</v>
      </c>
    </row>
    <row r="6954" spans="1:7">
      <c r="A6954" s="294" t="s">
        <v>703</v>
      </c>
      <c r="B6954" s="410" t="s">
        <v>704</v>
      </c>
      <c r="C6954" s="247"/>
      <c r="D6954" s="247"/>
      <c r="E6954" s="372"/>
      <c r="F6954" s="360"/>
      <c r="G6954" s="274"/>
    </row>
    <row r="6955" spans="1:7">
      <c r="A6955" s="294"/>
      <c r="B6955" s="256" t="s">
        <v>3655</v>
      </c>
      <c r="C6955" s="247"/>
      <c r="D6955" s="257" t="s">
        <v>1011</v>
      </c>
      <c r="E6955" s="375">
        <v>1</v>
      </c>
      <c r="F6955" s="360">
        <v>2500</v>
      </c>
      <c r="G6955" s="274">
        <f>F6955*E6955</f>
        <v>2500</v>
      </c>
    </row>
    <row r="6956" spans="1:7">
      <c r="A6956" s="294"/>
      <c r="B6956" s="410"/>
      <c r="C6956" s="247"/>
      <c r="D6956" s="247"/>
      <c r="E6956" s="1146" t="s">
        <v>705</v>
      </c>
      <c r="F6956" s="1146"/>
      <c r="G6956" s="274">
        <f>SUM(G6955)</f>
        <v>2500</v>
      </c>
    </row>
    <row r="6957" spans="1:7">
      <c r="A6957" s="294" t="s">
        <v>706</v>
      </c>
      <c r="B6957" s="1147" t="s">
        <v>707</v>
      </c>
      <c r="C6957" s="1147"/>
      <c r="D6957" s="1147"/>
      <c r="E6957" s="1147"/>
      <c r="F6957" s="1147"/>
      <c r="G6957" s="273">
        <f>G6950+G6953+G6956</f>
        <v>66405</v>
      </c>
    </row>
    <row r="6958" spans="1:7">
      <c r="A6958" s="294" t="s">
        <v>708</v>
      </c>
      <c r="B6958" s="1147" t="s">
        <v>709</v>
      </c>
      <c r="C6958" s="1147"/>
      <c r="D6958" s="1147"/>
      <c r="E6958" s="1147" t="s">
        <v>710</v>
      </c>
      <c r="F6958" s="1147"/>
      <c r="G6958" s="255">
        <f>G6957*0.15</f>
        <v>9960.75</v>
      </c>
    </row>
    <row r="6959" spans="1:7">
      <c r="A6959" s="294" t="s">
        <v>711</v>
      </c>
      <c r="B6959" s="1149" t="s">
        <v>712</v>
      </c>
      <c r="C6959" s="1149"/>
      <c r="D6959" s="1149"/>
      <c r="E6959" s="1149"/>
      <c r="F6959" s="1149"/>
      <c r="G6959" s="255">
        <f>ROUND(SUM(G6957:G6958),2)</f>
        <v>76365.75</v>
      </c>
    </row>
    <row r="6960" spans="1:7">
      <c r="A6960" s="276"/>
      <c r="B6960" s="275"/>
      <c r="C6960" s="276"/>
      <c r="D6960" s="276"/>
      <c r="E6960" s="383"/>
      <c r="G6960" s="277"/>
    </row>
    <row r="6961" spans="1:7">
      <c r="A6961" s="285" t="s">
        <v>4414</v>
      </c>
      <c r="B6961" s="263" t="s">
        <v>3735</v>
      </c>
      <c r="C6961" s="276"/>
      <c r="D6961" s="276"/>
      <c r="E6961" s="383"/>
      <c r="G6961" s="277"/>
    </row>
    <row r="6962" spans="1:7" s="292" customFormat="1" ht="24.95" customHeight="1">
      <c r="A6962" s="290" t="s">
        <v>1003</v>
      </c>
      <c r="B6962" s="290" t="s">
        <v>1004</v>
      </c>
      <c r="C6962" s="290" t="s">
        <v>1005</v>
      </c>
      <c r="D6962" s="290" t="s">
        <v>1006</v>
      </c>
      <c r="E6962" s="373" t="s">
        <v>1007</v>
      </c>
      <c r="F6962" s="363" t="s">
        <v>2637</v>
      </c>
      <c r="G6962" s="353" t="s">
        <v>2638</v>
      </c>
    </row>
    <row r="6963" spans="1:7">
      <c r="A6963" s="294" t="s">
        <v>671</v>
      </c>
      <c r="B6963" s="410" t="s">
        <v>672</v>
      </c>
      <c r="C6963" s="247"/>
      <c r="D6963" s="247"/>
      <c r="E6963" s="372"/>
      <c r="F6963" s="360"/>
      <c r="G6963" s="274"/>
    </row>
    <row r="6964" spans="1:7">
      <c r="A6964" s="294"/>
      <c r="B6964" s="410" t="s">
        <v>673</v>
      </c>
      <c r="C6964" s="247" t="s">
        <v>674</v>
      </c>
      <c r="D6964" s="247" t="s">
        <v>675</v>
      </c>
      <c r="E6964" s="372">
        <v>0.04</v>
      </c>
      <c r="F6964" s="360">
        <f>$F$6946</f>
        <v>110000</v>
      </c>
      <c r="G6964" s="274">
        <f>F6964*E6964</f>
        <v>4400</v>
      </c>
    </row>
    <row r="6965" spans="1:7">
      <c r="A6965" s="294"/>
      <c r="B6965" s="410" t="s">
        <v>1480</v>
      </c>
      <c r="C6965" s="247" t="s">
        <v>678</v>
      </c>
      <c r="D6965" s="247" t="s">
        <v>675</v>
      </c>
      <c r="E6965" s="372">
        <v>0.02</v>
      </c>
      <c r="F6965" s="360">
        <f>$F$6947</f>
        <v>140000</v>
      </c>
      <c r="G6965" s="274">
        <f>F6965*E6965</f>
        <v>2800</v>
      </c>
    </row>
    <row r="6966" spans="1:7">
      <c r="A6966" s="294"/>
      <c r="B6966" s="410" t="s">
        <v>751</v>
      </c>
      <c r="C6966" s="247" t="s">
        <v>681</v>
      </c>
      <c r="D6966" s="247" t="s">
        <v>675</v>
      </c>
      <c r="E6966" s="372">
        <v>2E-3</v>
      </c>
      <c r="F6966" s="360">
        <f>$F$6666</f>
        <v>150000</v>
      </c>
      <c r="G6966" s="274">
        <f>F6966*E6966</f>
        <v>300</v>
      </c>
    </row>
    <row r="6967" spans="1:7">
      <c r="A6967" s="294"/>
      <c r="B6967" s="410" t="s">
        <v>683</v>
      </c>
      <c r="C6967" s="247" t="s">
        <v>684</v>
      </c>
      <c r="D6967" s="247" t="s">
        <v>675</v>
      </c>
      <c r="E6967" s="372">
        <v>4.0000000000000001E-3</v>
      </c>
      <c r="F6967" s="360">
        <f>$F$6949</f>
        <v>140000</v>
      </c>
      <c r="G6967" s="274">
        <f>F6967*E6967</f>
        <v>560</v>
      </c>
    </row>
    <row r="6968" spans="1:7">
      <c r="A6968" s="294"/>
      <c r="B6968" s="410"/>
      <c r="C6968" s="247"/>
      <c r="D6968" s="247"/>
      <c r="E6968" s="1146" t="s">
        <v>685</v>
      </c>
      <c r="F6968" s="1146"/>
      <c r="G6968" s="274">
        <f>SUM(G6964:G6967)</f>
        <v>8060</v>
      </c>
    </row>
    <row r="6969" spans="1:7">
      <c r="A6969" s="294" t="s">
        <v>686</v>
      </c>
      <c r="B6969" s="410" t="s">
        <v>687</v>
      </c>
      <c r="C6969" s="247"/>
      <c r="D6969" s="247"/>
      <c r="E6969" s="372"/>
      <c r="F6969" s="360"/>
      <c r="G6969" s="274"/>
    </row>
    <row r="6970" spans="1:7">
      <c r="A6970" s="294"/>
      <c r="B6970" s="410" t="s">
        <v>3736</v>
      </c>
      <c r="C6970" s="247"/>
      <c r="D6970" s="247" t="s">
        <v>853</v>
      </c>
      <c r="E6970" s="372">
        <v>1</v>
      </c>
      <c r="F6970" s="360">
        <f>'UPAD-BAHAN-ALAT'!$I$665</f>
        <v>115560</v>
      </c>
      <c r="G6970" s="274">
        <f>F6970*E6970</f>
        <v>115560</v>
      </c>
    </row>
    <row r="6971" spans="1:7">
      <c r="A6971" s="294"/>
      <c r="B6971" s="410"/>
      <c r="C6971" s="247"/>
      <c r="D6971" s="247"/>
      <c r="E6971" s="1146" t="s">
        <v>702</v>
      </c>
      <c r="F6971" s="1146"/>
      <c r="G6971" s="274">
        <f>SUM(G6970)</f>
        <v>115560</v>
      </c>
    </row>
    <row r="6972" spans="1:7">
      <c r="A6972" s="294" t="s">
        <v>703</v>
      </c>
      <c r="B6972" s="410" t="s">
        <v>704</v>
      </c>
      <c r="C6972" s="247"/>
      <c r="D6972" s="247"/>
      <c r="E6972" s="372"/>
      <c r="F6972" s="360"/>
      <c r="G6972" s="274"/>
    </row>
    <row r="6973" spans="1:7">
      <c r="A6973" s="294"/>
      <c r="B6973" s="256" t="s">
        <v>3655</v>
      </c>
      <c r="C6973" s="247"/>
      <c r="D6973" s="257" t="s">
        <v>1011</v>
      </c>
      <c r="E6973" s="375">
        <v>1</v>
      </c>
      <c r="F6973" s="360">
        <v>2500</v>
      </c>
      <c r="G6973" s="274">
        <f>F6973*E6973</f>
        <v>2500</v>
      </c>
    </row>
    <row r="6974" spans="1:7">
      <c r="A6974" s="294"/>
      <c r="B6974" s="410"/>
      <c r="C6974" s="247"/>
      <c r="D6974" s="247"/>
      <c r="E6974" s="1146" t="s">
        <v>705</v>
      </c>
      <c r="F6974" s="1146"/>
      <c r="G6974" s="274">
        <f>SUM(G6973)</f>
        <v>2500</v>
      </c>
    </row>
    <row r="6975" spans="1:7">
      <c r="A6975" s="294" t="s">
        <v>706</v>
      </c>
      <c r="B6975" s="1147" t="s">
        <v>707</v>
      </c>
      <c r="C6975" s="1147"/>
      <c r="D6975" s="1147"/>
      <c r="E6975" s="1147"/>
      <c r="F6975" s="1147"/>
      <c r="G6975" s="273">
        <f>G6968+G6971+G6974</f>
        <v>126120</v>
      </c>
    </row>
    <row r="6976" spans="1:7">
      <c r="A6976" s="294" t="s">
        <v>708</v>
      </c>
      <c r="B6976" s="1147" t="s">
        <v>709</v>
      </c>
      <c r="C6976" s="1147"/>
      <c r="D6976" s="1147"/>
      <c r="E6976" s="1147" t="s">
        <v>710</v>
      </c>
      <c r="F6976" s="1147"/>
      <c r="G6976" s="255">
        <f>G6975*0.15</f>
        <v>18918</v>
      </c>
    </row>
    <row r="6977" spans="1:7">
      <c r="A6977" s="294" t="s">
        <v>711</v>
      </c>
      <c r="B6977" s="1149" t="s">
        <v>712</v>
      </c>
      <c r="C6977" s="1149"/>
      <c r="D6977" s="1149"/>
      <c r="E6977" s="1149"/>
      <c r="F6977" s="1149"/>
      <c r="G6977" s="255">
        <f>ROUND(SUM(G6975:G6976),2)</f>
        <v>145038</v>
      </c>
    </row>
    <row r="6978" spans="1:7">
      <c r="A6978" s="268"/>
      <c r="B6978" s="269"/>
      <c r="C6978" s="268"/>
      <c r="D6978" s="268"/>
      <c r="E6978" s="380"/>
      <c r="F6978" s="365"/>
      <c r="G6978" s="278"/>
    </row>
    <row r="6979" spans="1:7">
      <c r="A6979" s="285" t="s">
        <v>4415</v>
      </c>
      <c r="B6979" s="250" t="s">
        <v>3737</v>
      </c>
      <c r="C6979" s="252"/>
      <c r="D6979" s="252"/>
      <c r="E6979" s="374"/>
      <c r="F6979" s="361"/>
      <c r="G6979" s="272"/>
    </row>
    <row r="6980" spans="1:7" s="292" customFormat="1" ht="24.95" customHeight="1">
      <c r="A6980" s="290" t="s">
        <v>1003</v>
      </c>
      <c r="B6980" s="290" t="s">
        <v>1004</v>
      </c>
      <c r="C6980" s="290" t="s">
        <v>1005</v>
      </c>
      <c r="D6980" s="290" t="s">
        <v>1006</v>
      </c>
      <c r="E6980" s="373" t="s">
        <v>1007</v>
      </c>
      <c r="F6980" s="363" t="s">
        <v>2637</v>
      </c>
      <c r="G6980" s="353" t="s">
        <v>2638</v>
      </c>
    </row>
    <row r="6981" spans="1:7">
      <c r="A6981" s="294" t="s">
        <v>671</v>
      </c>
      <c r="B6981" s="410" t="s">
        <v>672</v>
      </c>
      <c r="C6981" s="247"/>
      <c r="D6981" s="247"/>
      <c r="E6981" s="372"/>
      <c r="F6981" s="360"/>
      <c r="G6981" s="274"/>
    </row>
    <row r="6982" spans="1:7">
      <c r="A6982" s="294"/>
      <c r="B6982" s="410" t="s">
        <v>673</v>
      </c>
      <c r="C6982" s="247" t="s">
        <v>674</v>
      </c>
      <c r="D6982" s="247" t="s">
        <v>675</v>
      </c>
      <c r="E6982" s="372">
        <v>4.4999999999999998E-2</v>
      </c>
      <c r="F6982" s="360">
        <f>$F$6964</f>
        <v>110000</v>
      </c>
      <c r="G6982" s="274">
        <f>F6982*E6982</f>
        <v>4950</v>
      </c>
    </row>
    <row r="6983" spans="1:7">
      <c r="A6983" s="294"/>
      <c r="B6983" s="410" t="s">
        <v>1480</v>
      </c>
      <c r="C6983" s="247" t="s">
        <v>678</v>
      </c>
      <c r="D6983" s="247" t="s">
        <v>675</v>
      </c>
      <c r="E6983" s="372">
        <v>2.3E-2</v>
      </c>
      <c r="F6983" s="360">
        <f>$F$6965</f>
        <v>140000</v>
      </c>
      <c r="G6983" s="274">
        <f>F6983*E6983</f>
        <v>3220</v>
      </c>
    </row>
    <row r="6984" spans="1:7">
      <c r="A6984" s="294"/>
      <c r="B6984" s="410" t="s">
        <v>751</v>
      </c>
      <c r="C6984" s="247" t="s">
        <v>681</v>
      </c>
      <c r="D6984" s="247" t="s">
        <v>675</v>
      </c>
      <c r="E6984" s="372">
        <v>2.3E-3</v>
      </c>
      <c r="F6984" s="360">
        <f>$F$6666</f>
        <v>150000</v>
      </c>
      <c r="G6984" s="274">
        <f>F6984*E6984</f>
        <v>345</v>
      </c>
    </row>
    <row r="6985" spans="1:7">
      <c r="A6985" s="294"/>
      <c r="B6985" s="410" t="s">
        <v>683</v>
      </c>
      <c r="C6985" s="247" t="s">
        <v>684</v>
      </c>
      <c r="D6985" s="247" t="s">
        <v>675</v>
      </c>
      <c r="E6985" s="372">
        <v>5.0000000000000001E-3</v>
      </c>
      <c r="F6985" s="360">
        <f>$F$6967</f>
        <v>140000</v>
      </c>
      <c r="G6985" s="274">
        <f>F6985*E6985</f>
        <v>700</v>
      </c>
    </row>
    <row r="6986" spans="1:7">
      <c r="A6986" s="294"/>
      <c r="B6986" s="410"/>
      <c r="C6986" s="247"/>
      <c r="D6986" s="247"/>
      <c r="E6986" s="1159" t="s">
        <v>685</v>
      </c>
      <c r="F6986" s="1160"/>
      <c r="G6986" s="274">
        <f>SUM(G6982:G6985)</f>
        <v>9215</v>
      </c>
    </row>
    <row r="6987" spans="1:7">
      <c r="A6987" s="294" t="s">
        <v>686</v>
      </c>
      <c r="B6987" s="410" t="s">
        <v>687</v>
      </c>
      <c r="C6987" s="247"/>
      <c r="D6987" s="247"/>
      <c r="E6987" s="372"/>
      <c r="F6987" s="360"/>
      <c r="G6987" s="274"/>
    </row>
    <row r="6988" spans="1:7">
      <c r="A6988" s="294"/>
      <c r="B6988" s="410" t="s">
        <v>3738</v>
      </c>
      <c r="C6988" s="247"/>
      <c r="D6988" s="247" t="s">
        <v>853</v>
      </c>
      <c r="E6988" s="372">
        <v>1</v>
      </c>
      <c r="F6988" s="360">
        <f>'UPAD-BAHAN-ALAT'!$I$664</f>
        <v>172560</v>
      </c>
      <c r="G6988" s="274">
        <f>F6988*E6988</f>
        <v>172560</v>
      </c>
    </row>
    <row r="6989" spans="1:7">
      <c r="A6989" s="294"/>
      <c r="B6989" s="410"/>
      <c r="C6989" s="247"/>
      <c r="D6989" s="247"/>
      <c r="E6989" s="1159" t="s">
        <v>702</v>
      </c>
      <c r="F6989" s="1160"/>
      <c r="G6989" s="274">
        <f>SUM(G6988)</f>
        <v>172560</v>
      </c>
    </row>
    <row r="6990" spans="1:7">
      <c r="A6990" s="294" t="s">
        <v>703</v>
      </c>
      <c r="B6990" s="410" t="s">
        <v>704</v>
      </c>
      <c r="C6990" s="247"/>
      <c r="D6990" s="247"/>
      <c r="E6990" s="372"/>
      <c r="F6990" s="360"/>
      <c r="G6990" s="274"/>
    </row>
    <row r="6991" spans="1:7">
      <c r="A6991" s="294"/>
      <c r="B6991" s="256" t="s">
        <v>3655</v>
      </c>
      <c r="C6991" s="247"/>
      <c r="D6991" s="257" t="s">
        <v>1011</v>
      </c>
      <c r="E6991" s="375">
        <v>1</v>
      </c>
      <c r="F6991" s="360">
        <v>2500</v>
      </c>
      <c r="G6991" s="274">
        <f>F6991*E6991</f>
        <v>2500</v>
      </c>
    </row>
    <row r="6992" spans="1:7">
      <c r="A6992" s="294"/>
      <c r="B6992" s="410"/>
      <c r="C6992" s="247"/>
      <c r="D6992" s="247"/>
      <c r="E6992" s="1146" t="s">
        <v>705</v>
      </c>
      <c r="F6992" s="1146"/>
      <c r="G6992" s="274">
        <f>SUM(G6991)</f>
        <v>2500</v>
      </c>
    </row>
    <row r="6993" spans="1:7">
      <c r="A6993" s="294" t="s">
        <v>706</v>
      </c>
      <c r="B6993" s="1147" t="s">
        <v>707</v>
      </c>
      <c r="C6993" s="1147"/>
      <c r="D6993" s="1147"/>
      <c r="E6993" s="1147"/>
      <c r="F6993" s="1147"/>
      <c r="G6993" s="273">
        <f>G6986+G6989+G6992</f>
        <v>184275</v>
      </c>
    </row>
    <row r="6994" spans="1:7">
      <c r="A6994" s="294" t="s">
        <v>708</v>
      </c>
      <c r="B6994" s="1147" t="s">
        <v>709</v>
      </c>
      <c r="C6994" s="1147"/>
      <c r="D6994" s="1147"/>
      <c r="E6994" s="1147" t="s">
        <v>710</v>
      </c>
      <c r="F6994" s="1147"/>
      <c r="G6994" s="255">
        <f>G6993*0.15</f>
        <v>27641.25</v>
      </c>
    </row>
    <row r="6995" spans="1:7">
      <c r="A6995" s="294" t="s">
        <v>711</v>
      </c>
      <c r="B6995" s="1149" t="s">
        <v>712</v>
      </c>
      <c r="C6995" s="1149"/>
      <c r="D6995" s="1149"/>
      <c r="E6995" s="1149"/>
      <c r="F6995" s="1149"/>
      <c r="G6995" s="255">
        <f>ROUND(SUM(G6993:G6994),2)</f>
        <v>211916.25</v>
      </c>
    </row>
    <row r="6996" spans="1:7">
      <c r="A6996" s="276"/>
      <c r="B6996" s="275"/>
      <c r="C6996" s="276"/>
      <c r="D6996" s="276"/>
      <c r="E6996" s="383"/>
      <c r="G6996" s="277"/>
    </row>
    <row r="6997" spans="1:7">
      <c r="A6997" s="285" t="s">
        <v>4416</v>
      </c>
      <c r="B6997" s="263" t="s">
        <v>3739</v>
      </c>
      <c r="C6997" s="276"/>
      <c r="D6997" s="276"/>
      <c r="E6997" s="383"/>
      <c r="G6997" s="277"/>
    </row>
    <row r="6998" spans="1:7" s="292" customFormat="1" ht="24.95" customHeight="1">
      <c r="A6998" s="290" t="s">
        <v>1003</v>
      </c>
      <c r="B6998" s="290" t="s">
        <v>1004</v>
      </c>
      <c r="C6998" s="290" t="s">
        <v>1005</v>
      </c>
      <c r="D6998" s="290" t="s">
        <v>1006</v>
      </c>
      <c r="E6998" s="373" t="s">
        <v>1007</v>
      </c>
      <c r="F6998" s="363" t="s">
        <v>2637</v>
      </c>
      <c r="G6998" s="353" t="s">
        <v>2638</v>
      </c>
    </row>
    <row r="6999" spans="1:7">
      <c r="A6999" s="294" t="s">
        <v>671</v>
      </c>
      <c r="B6999" s="410" t="s">
        <v>672</v>
      </c>
      <c r="C6999" s="247"/>
      <c r="D6999" s="247"/>
      <c r="E6999" s="372"/>
      <c r="F6999" s="360"/>
      <c r="G6999" s="274"/>
    </row>
    <row r="7000" spans="1:7">
      <c r="A7000" s="294"/>
      <c r="B7000" s="410" t="s">
        <v>673</v>
      </c>
      <c r="C7000" s="247" t="s">
        <v>674</v>
      </c>
      <c r="D7000" s="247" t="s">
        <v>675</v>
      </c>
      <c r="E7000" s="372">
        <v>6.2E-2</v>
      </c>
      <c r="F7000" s="360">
        <f>$F$6982</f>
        <v>110000</v>
      </c>
      <c r="G7000" s="274">
        <f>F7000*E7000</f>
        <v>6820</v>
      </c>
    </row>
    <row r="7001" spans="1:7">
      <c r="A7001" s="294"/>
      <c r="B7001" s="410" t="s">
        <v>1480</v>
      </c>
      <c r="C7001" s="247" t="s">
        <v>678</v>
      </c>
      <c r="D7001" s="247" t="s">
        <v>675</v>
      </c>
      <c r="E7001" s="372">
        <v>3.1E-2</v>
      </c>
      <c r="F7001" s="360">
        <f>$F$6983</f>
        <v>140000</v>
      </c>
      <c r="G7001" s="274">
        <f>F7001*E7001</f>
        <v>4340</v>
      </c>
    </row>
    <row r="7002" spans="1:7">
      <c r="A7002" s="294"/>
      <c r="B7002" s="410" t="s">
        <v>751</v>
      </c>
      <c r="C7002" s="247" t="s">
        <v>681</v>
      </c>
      <c r="D7002" s="247" t="s">
        <v>675</v>
      </c>
      <c r="E7002" s="372">
        <v>3.0999999999999999E-3</v>
      </c>
      <c r="F7002" s="360">
        <f>$F$6666</f>
        <v>150000</v>
      </c>
      <c r="G7002" s="274">
        <f>F7002*E7002</f>
        <v>465</v>
      </c>
    </row>
    <row r="7003" spans="1:7">
      <c r="A7003" s="294"/>
      <c r="B7003" s="410" t="s">
        <v>683</v>
      </c>
      <c r="C7003" s="247" t="s">
        <v>684</v>
      </c>
      <c r="D7003" s="247" t="s">
        <v>675</v>
      </c>
      <c r="E7003" s="372">
        <v>6.0000000000000001E-3</v>
      </c>
      <c r="F7003" s="360">
        <f>$F$6985</f>
        <v>140000</v>
      </c>
      <c r="G7003" s="274">
        <f>F7003*E7003</f>
        <v>840</v>
      </c>
    </row>
    <row r="7004" spans="1:7">
      <c r="A7004" s="294"/>
      <c r="B7004" s="410"/>
      <c r="C7004" s="247"/>
      <c r="D7004" s="247"/>
      <c r="E7004" s="1146" t="s">
        <v>685</v>
      </c>
      <c r="F7004" s="1146"/>
      <c r="G7004" s="274">
        <f>SUM(G7000:G7003)</f>
        <v>12465</v>
      </c>
    </row>
    <row r="7005" spans="1:7">
      <c r="A7005" s="294" t="s">
        <v>686</v>
      </c>
      <c r="B7005" s="410" t="s">
        <v>687</v>
      </c>
      <c r="C7005" s="247"/>
      <c r="D7005" s="247"/>
      <c r="E7005" s="372"/>
      <c r="F7005" s="360"/>
      <c r="G7005" s="274"/>
    </row>
    <row r="7006" spans="1:7">
      <c r="A7006" s="294"/>
      <c r="B7006" s="410" t="s">
        <v>3740</v>
      </c>
      <c r="C7006" s="247"/>
      <c r="D7006" s="247" t="s">
        <v>853</v>
      </c>
      <c r="E7006" s="372">
        <v>1</v>
      </c>
      <c r="F7006" s="360">
        <f>'UPAD-BAHAN-ALAT'!$I$663</f>
        <v>360240</v>
      </c>
      <c r="G7006" s="274">
        <f>F7006*E7006</f>
        <v>360240</v>
      </c>
    </row>
    <row r="7007" spans="1:7">
      <c r="A7007" s="294"/>
      <c r="B7007" s="410"/>
      <c r="C7007" s="247"/>
      <c r="D7007" s="247"/>
      <c r="E7007" s="1146" t="s">
        <v>702</v>
      </c>
      <c r="F7007" s="1146"/>
      <c r="G7007" s="274">
        <f>SUM(G7006)</f>
        <v>360240</v>
      </c>
    </row>
    <row r="7008" spans="1:7">
      <c r="A7008" s="294" t="s">
        <v>703</v>
      </c>
      <c r="B7008" s="410" t="s">
        <v>704</v>
      </c>
      <c r="C7008" s="247"/>
      <c r="D7008" s="247"/>
      <c r="E7008" s="372"/>
      <c r="F7008" s="360"/>
      <c r="G7008" s="274"/>
    </row>
    <row r="7009" spans="1:7">
      <c r="A7009" s="294"/>
      <c r="B7009" s="256" t="s">
        <v>3655</v>
      </c>
      <c r="C7009" s="247"/>
      <c r="D7009" s="257" t="s">
        <v>1011</v>
      </c>
      <c r="E7009" s="375">
        <v>1</v>
      </c>
      <c r="F7009" s="360">
        <v>3000</v>
      </c>
      <c r="G7009" s="274">
        <f>F7009*E7009</f>
        <v>3000</v>
      </c>
    </row>
    <row r="7010" spans="1:7">
      <c r="A7010" s="294"/>
      <c r="B7010" s="410"/>
      <c r="C7010" s="247"/>
      <c r="D7010" s="247"/>
      <c r="E7010" s="1146" t="s">
        <v>705</v>
      </c>
      <c r="F7010" s="1146"/>
      <c r="G7010" s="274">
        <f>SUM(G7009)</f>
        <v>3000</v>
      </c>
    </row>
    <row r="7011" spans="1:7">
      <c r="A7011" s="294" t="s">
        <v>706</v>
      </c>
      <c r="B7011" s="1147" t="s">
        <v>707</v>
      </c>
      <c r="C7011" s="1147"/>
      <c r="D7011" s="1147"/>
      <c r="E7011" s="1147"/>
      <c r="F7011" s="1147"/>
      <c r="G7011" s="273">
        <f>G7004+G7007+G7010</f>
        <v>375705</v>
      </c>
    </row>
    <row r="7012" spans="1:7">
      <c r="A7012" s="294" t="s">
        <v>708</v>
      </c>
      <c r="B7012" s="1147" t="s">
        <v>709</v>
      </c>
      <c r="C7012" s="1147"/>
      <c r="D7012" s="1147"/>
      <c r="E7012" s="1147" t="s">
        <v>710</v>
      </c>
      <c r="F7012" s="1147"/>
      <c r="G7012" s="255">
        <f>G7011*0.15</f>
        <v>56355.75</v>
      </c>
    </row>
    <row r="7013" spans="1:7">
      <c r="A7013" s="294" t="s">
        <v>711</v>
      </c>
      <c r="B7013" s="1149" t="s">
        <v>712</v>
      </c>
      <c r="C7013" s="1149"/>
      <c r="D7013" s="1149"/>
      <c r="E7013" s="1149"/>
      <c r="F7013" s="1149"/>
      <c r="G7013" s="255">
        <f>ROUND(SUM(G7011:G7012),2)</f>
        <v>432060.75</v>
      </c>
    </row>
    <row r="7014" spans="1:7">
      <c r="A7014" s="268"/>
      <c r="B7014" s="269"/>
      <c r="C7014" s="268"/>
      <c r="D7014" s="268"/>
      <c r="E7014" s="380"/>
      <c r="F7014" s="365"/>
      <c r="G7014" s="278"/>
    </row>
    <row r="7015" spans="1:7">
      <c r="A7015" s="285" t="s">
        <v>2711</v>
      </c>
      <c r="B7015" s="263" t="s">
        <v>3741</v>
      </c>
      <c r="C7015" s="276"/>
      <c r="D7015" s="276"/>
      <c r="E7015" s="383"/>
      <c r="G7015" s="277"/>
    </row>
    <row r="7016" spans="1:7">
      <c r="A7016" s="285" t="s">
        <v>3742</v>
      </c>
      <c r="B7016" s="263" t="s">
        <v>4422</v>
      </c>
      <c r="C7016" s="276"/>
      <c r="D7016" s="276"/>
      <c r="E7016" s="383"/>
      <c r="G7016" s="277"/>
    </row>
    <row r="7017" spans="1:7" s="292" customFormat="1" ht="24.95" customHeight="1">
      <c r="A7017" s="290" t="s">
        <v>1003</v>
      </c>
      <c r="B7017" s="290" t="s">
        <v>1004</v>
      </c>
      <c r="C7017" s="290" t="s">
        <v>1005</v>
      </c>
      <c r="D7017" s="290" t="s">
        <v>1006</v>
      </c>
      <c r="E7017" s="373" t="s">
        <v>1007</v>
      </c>
      <c r="F7017" s="363" t="s">
        <v>2637</v>
      </c>
      <c r="G7017" s="353" t="s">
        <v>2638</v>
      </c>
    </row>
    <row r="7018" spans="1:7">
      <c r="A7018" s="294" t="s">
        <v>671</v>
      </c>
      <c r="B7018" s="410" t="s">
        <v>672</v>
      </c>
      <c r="C7018" s="247"/>
      <c r="D7018" s="247"/>
      <c r="E7018" s="372"/>
      <c r="F7018" s="360"/>
      <c r="G7018" s="274"/>
    </row>
    <row r="7019" spans="1:7">
      <c r="A7019" s="294"/>
      <c r="B7019" s="410" t="s">
        <v>673</v>
      </c>
      <c r="C7019" s="247" t="s">
        <v>674</v>
      </c>
      <c r="D7019" s="247" t="s">
        <v>675</v>
      </c>
      <c r="E7019" s="372">
        <v>1.429</v>
      </c>
      <c r="F7019" s="360">
        <f>$F$7000</f>
        <v>110000</v>
      </c>
      <c r="G7019" s="274">
        <f>F7019*E7019</f>
        <v>157190</v>
      </c>
    </row>
    <row r="7020" spans="1:7">
      <c r="A7020" s="294"/>
      <c r="B7020" s="410" t="s">
        <v>1480</v>
      </c>
      <c r="C7020" s="247" t="s">
        <v>678</v>
      </c>
      <c r="D7020" s="247" t="s">
        <v>675</v>
      </c>
      <c r="E7020" s="372">
        <v>0.71499999999999997</v>
      </c>
      <c r="F7020" s="360">
        <f>$F$7001</f>
        <v>140000</v>
      </c>
      <c r="G7020" s="274">
        <f>F7020*E7020</f>
        <v>100100</v>
      </c>
    </row>
    <row r="7021" spans="1:7">
      <c r="A7021" s="294"/>
      <c r="B7021" s="410" t="s">
        <v>751</v>
      </c>
      <c r="C7021" s="247" t="s">
        <v>681</v>
      </c>
      <c r="D7021" s="247" t="s">
        <v>675</v>
      </c>
      <c r="E7021" s="372">
        <v>7.1499999999999994E-2</v>
      </c>
      <c r="F7021" s="360">
        <f>$F$6666</f>
        <v>150000</v>
      </c>
      <c r="G7021" s="274">
        <f>F7021*E7021</f>
        <v>10725</v>
      </c>
    </row>
    <row r="7022" spans="1:7">
      <c r="A7022" s="294"/>
      <c r="B7022" s="410" t="s">
        <v>683</v>
      </c>
      <c r="C7022" s="247" t="s">
        <v>684</v>
      </c>
      <c r="D7022" s="247" t="s">
        <v>675</v>
      </c>
      <c r="E7022" s="372">
        <v>0.14299999999999999</v>
      </c>
      <c r="F7022" s="360">
        <f>$F$7003</f>
        <v>140000</v>
      </c>
      <c r="G7022" s="274">
        <f>F7022*E7022</f>
        <v>20020</v>
      </c>
    </row>
    <row r="7023" spans="1:7">
      <c r="A7023" s="357"/>
      <c r="B7023" s="356"/>
      <c r="C7023" s="356"/>
      <c r="D7023" s="356"/>
      <c r="E7023" s="384" t="s">
        <v>685</v>
      </c>
      <c r="F7023" s="391"/>
      <c r="G7023" s="274">
        <f>SUM(G7019:G7022)</f>
        <v>288035</v>
      </c>
    </row>
    <row r="7024" spans="1:7">
      <c r="A7024" s="294" t="s">
        <v>686</v>
      </c>
      <c r="B7024" s="410" t="s">
        <v>687</v>
      </c>
      <c r="C7024" s="247"/>
      <c r="D7024" s="247"/>
      <c r="E7024" s="372"/>
      <c r="F7024" s="360"/>
      <c r="G7024" s="274"/>
    </row>
    <row r="7025" spans="1:7">
      <c r="A7025" s="294"/>
      <c r="B7025" s="410" t="s">
        <v>3743</v>
      </c>
      <c r="C7025" s="247"/>
      <c r="D7025" s="247" t="s">
        <v>1423</v>
      </c>
      <c r="E7025" s="372">
        <v>1</v>
      </c>
      <c r="F7025" s="360">
        <f>'UPAD-BAHAN-ALAT'!$I$625</f>
        <v>1530000</v>
      </c>
      <c r="G7025" s="274">
        <f>F7025*E7025</f>
        <v>1530000</v>
      </c>
    </row>
    <row r="7026" spans="1:7">
      <c r="A7026" s="294"/>
      <c r="B7026" s="410" t="s">
        <v>3744</v>
      </c>
      <c r="C7026" s="247"/>
      <c r="D7026" s="247" t="s">
        <v>1423</v>
      </c>
      <c r="E7026" s="372">
        <v>2</v>
      </c>
      <c r="F7026" s="360">
        <f>'UPAD-BAHAN-ALAT'!$I$619</f>
        <v>252000</v>
      </c>
      <c r="G7026" s="274">
        <f>F7026*E7026</f>
        <v>504000</v>
      </c>
    </row>
    <row r="7027" spans="1:7">
      <c r="A7027" s="294"/>
      <c r="B7027" s="410"/>
      <c r="C7027" s="247"/>
      <c r="D7027" s="247"/>
      <c r="E7027" s="1146" t="s">
        <v>702</v>
      </c>
      <c r="F7027" s="1146"/>
      <c r="G7027" s="274">
        <f>SUM(G7025:G7026)</f>
        <v>2034000</v>
      </c>
    </row>
    <row r="7028" spans="1:7">
      <c r="A7028" s="294" t="s">
        <v>703</v>
      </c>
      <c r="B7028" s="410" t="s">
        <v>704</v>
      </c>
      <c r="C7028" s="247"/>
      <c r="D7028" s="247"/>
      <c r="E7028" s="372"/>
      <c r="F7028" s="360"/>
      <c r="G7028" s="274"/>
    </row>
    <row r="7029" spans="1:7">
      <c r="A7029" s="294"/>
      <c r="B7029" s="256" t="s">
        <v>3655</v>
      </c>
      <c r="C7029" s="247"/>
      <c r="D7029" s="257" t="s">
        <v>1011</v>
      </c>
      <c r="E7029" s="375">
        <v>1</v>
      </c>
      <c r="F7029" s="360">
        <v>50000</v>
      </c>
      <c r="G7029" s="274">
        <f>F7029*E7029</f>
        <v>50000</v>
      </c>
    </row>
    <row r="7030" spans="1:7">
      <c r="A7030" s="294"/>
      <c r="B7030" s="410"/>
      <c r="C7030" s="247"/>
      <c r="D7030" s="247"/>
      <c r="E7030" s="1146" t="s">
        <v>705</v>
      </c>
      <c r="F7030" s="1146"/>
      <c r="G7030" s="274">
        <f>SUM(G7029)</f>
        <v>50000</v>
      </c>
    </row>
    <row r="7031" spans="1:7">
      <c r="A7031" s="294" t="s">
        <v>706</v>
      </c>
      <c r="B7031" s="1147" t="s">
        <v>707</v>
      </c>
      <c r="C7031" s="1147"/>
      <c r="D7031" s="1147"/>
      <c r="E7031" s="1147"/>
      <c r="F7031" s="1147"/>
      <c r="G7031" s="273">
        <f>G7023+G7027+G7030</f>
        <v>2372035</v>
      </c>
    </row>
    <row r="7032" spans="1:7">
      <c r="A7032" s="294" t="s">
        <v>708</v>
      </c>
      <c r="B7032" s="1147" t="s">
        <v>709</v>
      </c>
      <c r="C7032" s="1147"/>
      <c r="D7032" s="1147"/>
      <c r="E7032" s="1147" t="s">
        <v>710</v>
      </c>
      <c r="F7032" s="1147"/>
      <c r="G7032" s="255">
        <f>G7031*0.15</f>
        <v>355805.25</v>
      </c>
    </row>
    <row r="7033" spans="1:7">
      <c r="A7033" s="294" t="s">
        <v>711</v>
      </c>
      <c r="B7033" s="1149" t="s">
        <v>712</v>
      </c>
      <c r="C7033" s="1149"/>
      <c r="D7033" s="1149"/>
      <c r="E7033" s="1149"/>
      <c r="F7033" s="1149"/>
      <c r="G7033" s="255">
        <f>ROUND(SUM(G7031:G7032),2)</f>
        <v>2727840.25</v>
      </c>
    </row>
    <row r="7034" spans="1:7">
      <c r="A7034" s="287"/>
      <c r="B7034" s="275"/>
      <c r="C7034" s="276"/>
      <c r="D7034" s="276"/>
      <c r="E7034" s="383"/>
      <c r="G7034" s="277"/>
    </row>
    <row r="7035" spans="1:7">
      <c r="A7035" s="285" t="s">
        <v>3745</v>
      </c>
      <c r="B7035" s="263" t="s">
        <v>4421</v>
      </c>
      <c r="C7035" s="276"/>
      <c r="D7035" s="276"/>
      <c r="E7035" s="383"/>
      <c r="G7035" s="277"/>
    </row>
    <row r="7036" spans="1:7" s="292" customFormat="1" ht="24.95" customHeight="1">
      <c r="A7036" s="290" t="s">
        <v>1003</v>
      </c>
      <c r="B7036" s="290" t="s">
        <v>1004</v>
      </c>
      <c r="C7036" s="290" t="s">
        <v>1005</v>
      </c>
      <c r="D7036" s="290" t="s">
        <v>1006</v>
      </c>
      <c r="E7036" s="373" t="s">
        <v>1007</v>
      </c>
      <c r="F7036" s="363" t="s">
        <v>2637</v>
      </c>
      <c r="G7036" s="353" t="s">
        <v>2638</v>
      </c>
    </row>
    <row r="7037" spans="1:7">
      <c r="A7037" s="294" t="s">
        <v>671</v>
      </c>
      <c r="B7037" s="410" t="s">
        <v>672</v>
      </c>
      <c r="C7037" s="247"/>
      <c r="D7037" s="247"/>
      <c r="E7037" s="372"/>
      <c r="F7037" s="360"/>
      <c r="G7037" s="274"/>
    </row>
    <row r="7038" spans="1:7">
      <c r="A7038" s="294"/>
      <c r="B7038" s="410" t="s">
        <v>673</v>
      </c>
      <c r="C7038" s="247" t="s">
        <v>674</v>
      </c>
      <c r="D7038" s="247" t="s">
        <v>675</v>
      </c>
      <c r="E7038" s="372">
        <v>1.429</v>
      </c>
      <c r="F7038" s="360">
        <f>$F$7019</f>
        <v>110000</v>
      </c>
      <c r="G7038" s="274">
        <f>F7038*E7038</f>
        <v>157190</v>
      </c>
    </row>
    <row r="7039" spans="1:7">
      <c r="A7039" s="294"/>
      <c r="B7039" s="410" t="s">
        <v>1480</v>
      </c>
      <c r="C7039" s="247" t="s">
        <v>678</v>
      </c>
      <c r="D7039" s="247" t="s">
        <v>675</v>
      </c>
      <c r="E7039" s="372">
        <v>0.71499999999999997</v>
      </c>
      <c r="F7039" s="360">
        <f>$F$7020</f>
        <v>140000</v>
      </c>
      <c r="G7039" s="274">
        <f>F7039*E7039</f>
        <v>100100</v>
      </c>
    </row>
    <row r="7040" spans="1:7">
      <c r="A7040" s="294"/>
      <c r="B7040" s="410" t="s">
        <v>751</v>
      </c>
      <c r="C7040" s="247" t="s">
        <v>681</v>
      </c>
      <c r="D7040" s="247" t="s">
        <v>675</v>
      </c>
      <c r="E7040" s="372">
        <v>7.1499999999999994E-2</v>
      </c>
      <c r="F7040" s="360">
        <f>$F$6666</f>
        <v>150000</v>
      </c>
      <c r="G7040" s="274">
        <f>F7040*E7040</f>
        <v>10725</v>
      </c>
    </row>
    <row r="7041" spans="1:7">
      <c r="A7041" s="294"/>
      <c r="B7041" s="410" t="s">
        <v>683</v>
      </c>
      <c r="C7041" s="247" t="s">
        <v>684</v>
      </c>
      <c r="D7041" s="247" t="s">
        <v>675</v>
      </c>
      <c r="E7041" s="372">
        <v>0.14299999999999999</v>
      </c>
      <c r="F7041" s="360">
        <f>$F$7022</f>
        <v>140000</v>
      </c>
      <c r="G7041" s="274">
        <f>F7041*E7041</f>
        <v>20020</v>
      </c>
    </row>
    <row r="7042" spans="1:7">
      <c r="A7042" s="357"/>
      <c r="B7042" s="356"/>
      <c r="C7042" s="356"/>
      <c r="D7042" s="356"/>
      <c r="E7042" s="384" t="s">
        <v>685</v>
      </c>
      <c r="F7042" s="391"/>
      <c r="G7042" s="274">
        <f>SUM(G7038:G7041)</f>
        <v>288035</v>
      </c>
    </row>
    <row r="7043" spans="1:7">
      <c r="A7043" s="294" t="s">
        <v>686</v>
      </c>
      <c r="B7043" s="410" t="s">
        <v>687</v>
      </c>
      <c r="C7043" s="247"/>
      <c r="D7043" s="247"/>
      <c r="E7043" s="372"/>
      <c r="F7043" s="360"/>
      <c r="G7043" s="274"/>
    </row>
    <row r="7044" spans="1:7">
      <c r="A7044" s="294"/>
      <c r="B7044" s="410" t="s">
        <v>3746</v>
      </c>
      <c r="C7044" s="247"/>
      <c r="D7044" s="247" t="s">
        <v>1423</v>
      </c>
      <c r="E7044" s="372">
        <v>1</v>
      </c>
      <c r="F7044" s="360">
        <f>'UPAD-BAHAN-ALAT'!$I$624</f>
        <v>1890000</v>
      </c>
      <c r="G7044" s="274">
        <f>F7044*E7044</f>
        <v>1890000</v>
      </c>
    </row>
    <row r="7045" spans="1:7">
      <c r="A7045" s="294"/>
      <c r="B7045" s="410" t="s">
        <v>3747</v>
      </c>
      <c r="C7045" s="247"/>
      <c r="D7045" s="247" t="s">
        <v>1423</v>
      </c>
      <c r="E7045" s="372">
        <v>2</v>
      </c>
      <c r="F7045" s="360">
        <f>'UPAD-BAHAN-ALAT'!$I$618</f>
        <v>381600</v>
      </c>
      <c r="G7045" s="274">
        <f>F7045*E7045</f>
        <v>763200</v>
      </c>
    </row>
    <row r="7046" spans="1:7">
      <c r="A7046" s="294"/>
      <c r="B7046" s="410"/>
      <c r="C7046" s="247"/>
      <c r="D7046" s="247"/>
      <c r="E7046" s="1146" t="s">
        <v>702</v>
      </c>
      <c r="F7046" s="1146"/>
      <c r="G7046" s="274">
        <f>SUM(G7044:G7045)</f>
        <v>2653200</v>
      </c>
    </row>
    <row r="7047" spans="1:7">
      <c r="A7047" s="294" t="s">
        <v>703</v>
      </c>
      <c r="B7047" s="410" t="s">
        <v>704</v>
      </c>
      <c r="C7047" s="247"/>
      <c r="D7047" s="247"/>
      <c r="E7047" s="372"/>
      <c r="F7047" s="360"/>
      <c r="G7047" s="274"/>
    </row>
    <row r="7048" spans="1:7">
      <c r="A7048" s="294"/>
      <c r="B7048" s="256" t="s">
        <v>3655</v>
      </c>
      <c r="C7048" s="247"/>
      <c r="D7048" s="257" t="s">
        <v>1011</v>
      </c>
      <c r="E7048" s="375">
        <v>1</v>
      </c>
      <c r="F7048" s="360">
        <v>50000</v>
      </c>
      <c r="G7048" s="274">
        <f>F7048*E7048</f>
        <v>50000</v>
      </c>
    </row>
    <row r="7049" spans="1:7">
      <c r="A7049" s="294"/>
      <c r="B7049" s="410"/>
      <c r="C7049" s="247"/>
      <c r="D7049" s="247"/>
      <c r="E7049" s="1146" t="s">
        <v>705</v>
      </c>
      <c r="F7049" s="1146"/>
      <c r="G7049" s="274">
        <f>SUM(G7048)</f>
        <v>50000</v>
      </c>
    </row>
    <row r="7050" spans="1:7">
      <c r="A7050" s="294" t="s">
        <v>706</v>
      </c>
      <c r="B7050" s="1147" t="s">
        <v>707</v>
      </c>
      <c r="C7050" s="1147"/>
      <c r="D7050" s="1147"/>
      <c r="E7050" s="1147"/>
      <c r="F7050" s="1147"/>
      <c r="G7050" s="273">
        <f>G7042+G7046+G7049</f>
        <v>2991235</v>
      </c>
    </row>
    <row r="7051" spans="1:7">
      <c r="A7051" s="294" t="s">
        <v>708</v>
      </c>
      <c r="B7051" s="1147" t="s">
        <v>709</v>
      </c>
      <c r="C7051" s="1147"/>
      <c r="D7051" s="1147"/>
      <c r="E7051" s="1147" t="s">
        <v>710</v>
      </c>
      <c r="F7051" s="1147"/>
      <c r="G7051" s="255">
        <f>G7050*0.15</f>
        <v>448685.25</v>
      </c>
    </row>
    <row r="7052" spans="1:7">
      <c r="A7052" s="294" t="s">
        <v>711</v>
      </c>
      <c r="B7052" s="1149" t="s">
        <v>712</v>
      </c>
      <c r="C7052" s="1149"/>
      <c r="D7052" s="1149"/>
      <c r="E7052" s="1149"/>
      <c r="F7052" s="1149"/>
      <c r="G7052" s="255">
        <f>ROUND(SUM(G7050:G7051),2)</f>
        <v>3439920.25</v>
      </c>
    </row>
    <row r="7053" spans="1:7">
      <c r="A7053" s="287"/>
      <c r="B7053" s="275"/>
      <c r="C7053" s="276"/>
      <c r="D7053" s="276"/>
      <c r="E7053" s="383"/>
      <c r="G7053" s="277"/>
    </row>
    <row r="7054" spans="1:7">
      <c r="A7054" s="285" t="s">
        <v>4418</v>
      </c>
      <c r="B7054" s="263" t="s">
        <v>4420</v>
      </c>
      <c r="C7054" s="276"/>
      <c r="D7054" s="276"/>
      <c r="E7054" s="383"/>
      <c r="G7054" s="277"/>
    </row>
    <row r="7055" spans="1:7" s="292" customFormat="1" ht="24.95" customHeight="1">
      <c r="A7055" s="290" t="s">
        <v>1003</v>
      </c>
      <c r="B7055" s="290" t="s">
        <v>1004</v>
      </c>
      <c r="C7055" s="290" t="s">
        <v>1005</v>
      </c>
      <c r="D7055" s="290" t="s">
        <v>1006</v>
      </c>
      <c r="E7055" s="373" t="s">
        <v>1007</v>
      </c>
      <c r="F7055" s="363" t="s">
        <v>2637</v>
      </c>
      <c r="G7055" s="353" t="s">
        <v>2638</v>
      </c>
    </row>
    <row r="7056" spans="1:7">
      <c r="A7056" s="294" t="s">
        <v>671</v>
      </c>
      <c r="B7056" s="410" t="s">
        <v>672</v>
      </c>
      <c r="C7056" s="247"/>
      <c r="D7056" s="247"/>
      <c r="E7056" s="372"/>
      <c r="F7056" s="360"/>
      <c r="G7056" s="274"/>
    </row>
    <row r="7057" spans="1:7">
      <c r="A7057" s="294"/>
      <c r="B7057" s="410" t="s">
        <v>673</v>
      </c>
      <c r="C7057" s="247" t="s">
        <v>674</v>
      </c>
      <c r="D7057" s="247" t="s">
        <v>675</v>
      </c>
      <c r="E7057" s="372">
        <v>1.429</v>
      </c>
      <c r="F7057" s="360">
        <f>$F$7038</f>
        <v>110000</v>
      </c>
      <c r="G7057" s="274">
        <f>F7057*E7057</f>
        <v>157190</v>
      </c>
    </row>
    <row r="7058" spans="1:7">
      <c r="A7058" s="294"/>
      <c r="B7058" s="410" t="s">
        <v>1480</v>
      </c>
      <c r="C7058" s="247" t="s">
        <v>678</v>
      </c>
      <c r="D7058" s="247" t="s">
        <v>675</v>
      </c>
      <c r="E7058" s="372">
        <v>0.71499999999999997</v>
      </c>
      <c r="F7058" s="360">
        <f>$F$7039</f>
        <v>140000</v>
      </c>
      <c r="G7058" s="274">
        <f>F7058*E7058</f>
        <v>100100</v>
      </c>
    </row>
    <row r="7059" spans="1:7">
      <c r="A7059" s="294"/>
      <c r="B7059" s="410" t="s">
        <v>751</v>
      </c>
      <c r="C7059" s="247" t="s">
        <v>681</v>
      </c>
      <c r="D7059" s="247" t="s">
        <v>675</v>
      </c>
      <c r="E7059" s="372">
        <v>7.1499999999999994E-2</v>
      </c>
      <c r="F7059" s="360">
        <f>$F$6666</f>
        <v>150000</v>
      </c>
      <c r="G7059" s="274">
        <f>F7059*E7059</f>
        <v>10725</v>
      </c>
    </row>
    <row r="7060" spans="1:7">
      <c r="A7060" s="294"/>
      <c r="B7060" s="410" t="s">
        <v>683</v>
      </c>
      <c r="C7060" s="247" t="s">
        <v>684</v>
      </c>
      <c r="D7060" s="247" t="s">
        <v>675</v>
      </c>
      <c r="E7060" s="372">
        <v>0.14299999999999999</v>
      </c>
      <c r="F7060" s="360">
        <f>$F$7041</f>
        <v>140000</v>
      </c>
      <c r="G7060" s="274">
        <f>F7060*E7060</f>
        <v>20020</v>
      </c>
    </row>
    <row r="7061" spans="1:7">
      <c r="A7061" s="357"/>
      <c r="B7061" s="356"/>
      <c r="C7061" s="356"/>
      <c r="D7061" s="356"/>
      <c r="E7061" s="384" t="s">
        <v>685</v>
      </c>
      <c r="F7061" s="391"/>
      <c r="G7061" s="274">
        <f>SUM(G7057:G7060)</f>
        <v>288035</v>
      </c>
    </row>
    <row r="7062" spans="1:7">
      <c r="A7062" s="294" t="s">
        <v>686</v>
      </c>
      <c r="B7062" s="410" t="s">
        <v>687</v>
      </c>
      <c r="C7062" s="247"/>
      <c r="D7062" s="247"/>
      <c r="E7062" s="372"/>
      <c r="F7062" s="360"/>
      <c r="G7062" s="274"/>
    </row>
    <row r="7063" spans="1:7">
      <c r="A7063" s="294"/>
      <c r="B7063" s="410" t="s">
        <v>3748</v>
      </c>
      <c r="C7063" s="247"/>
      <c r="D7063" s="247" t="s">
        <v>1423</v>
      </c>
      <c r="E7063" s="381">
        <v>1</v>
      </c>
      <c r="F7063" s="366">
        <f>'UPAD-BAHAN-ALAT'!$I$623</f>
        <v>4560000</v>
      </c>
      <c r="G7063" s="274">
        <f>F7063*E7063</f>
        <v>4560000</v>
      </c>
    </row>
    <row r="7064" spans="1:7">
      <c r="A7064" s="294"/>
      <c r="B7064" s="410" t="s">
        <v>3749</v>
      </c>
      <c r="C7064" s="247"/>
      <c r="D7064" s="247" t="s">
        <v>1423</v>
      </c>
      <c r="E7064" s="372">
        <v>2</v>
      </c>
      <c r="F7064" s="392">
        <f>'UPAD-BAHAN-ALAT'!$I$617</f>
        <v>468000</v>
      </c>
      <c r="G7064" s="274">
        <f>F7064*E7064</f>
        <v>936000</v>
      </c>
    </row>
    <row r="7065" spans="1:7">
      <c r="A7065" s="294"/>
      <c r="B7065" s="410"/>
      <c r="C7065" s="247"/>
      <c r="D7065" s="247"/>
      <c r="E7065" s="1146" t="s">
        <v>702</v>
      </c>
      <c r="F7065" s="1146"/>
      <c r="G7065" s="274">
        <f>SUM(G7063:G7064)</f>
        <v>5496000</v>
      </c>
    </row>
    <row r="7066" spans="1:7">
      <c r="A7066" s="294" t="s">
        <v>703</v>
      </c>
      <c r="B7066" s="410" t="s">
        <v>704</v>
      </c>
      <c r="C7066" s="247"/>
      <c r="D7066" s="247"/>
      <c r="E7066" s="372"/>
      <c r="F7066" s="360"/>
      <c r="G7066" s="274"/>
    </row>
    <row r="7067" spans="1:7">
      <c r="A7067" s="294"/>
      <c r="B7067" s="256" t="s">
        <v>3655</v>
      </c>
      <c r="C7067" s="247"/>
      <c r="D7067" s="257" t="s">
        <v>1011</v>
      </c>
      <c r="E7067" s="375">
        <v>1</v>
      </c>
      <c r="F7067" s="360">
        <v>50000</v>
      </c>
      <c r="G7067" s="274">
        <f>F7067*E7067</f>
        <v>50000</v>
      </c>
    </row>
    <row r="7068" spans="1:7">
      <c r="A7068" s="294"/>
      <c r="B7068" s="410"/>
      <c r="C7068" s="247"/>
      <c r="D7068" s="247"/>
      <c r="E7068" s="1146" t="s">
        <v>705</v>
      </c>
      <c r="F7068" s="1146"/>
      <c r="G7068" s="274">
        <f>SUM(G7067)</f>
        <v>50000</v>
      </c>
    </row>
    <row r="7069" spans="1:7">
      <c r="A7069" s="294" t="s">
        <v>706</v>
      </c>
      <c r="B7069" s="1147" t="s">
        <v>707</v>
      </c>
      <c r="C7069" s="1147"/>
      <c r="D7069" s="1147"/>
      <c r="E7069" s="1147"/>
      <c r="F7069" s="1147"/>
      <c r="G7069" s="273">
        <f>G7061+G7065+G7068</f>
        <v>5834035</v>
      </c>
    </row>
    <row r="7070" spans="1:7">
      <c r="A7070" s="294" t="s">
        <v>708</v>
      </c>
      <c r="B7070" s="1147" t="s">
        <v>709</v>
      </c>
      <c r="C7070" s="1147"/>
      <c r="D7070" s="1147"/>
      <c r="E7070" s="1147" t="s">
        <v>710</v>
      </c>
      <c r="F7070" s="1147"/>
      <c r="G7070" s="255">
        <f>G7069*0.15</f>
        <v>875105.25</v>
      </c>
    </row>
    <row r="7071" spans="1:7">
      <c r="A7071" s="294" t="s">
        <v>711</v>
      </c>
      <c r="B7071" s="1149" t="s">
        <v>712</v>
      </c>
      <c r="C7071" s="1149"/>
      <c r="D7071" s="1149"/>
      <c r="E7071" s="1149"/>
      <c r="F7071" s="1149"/>
      <c r="G7071" s="255">
        <f>ROUND(SUM(G7069:G7070),2)</f>
        <v>6709140.25</v>
      </c>
    </row>
    <row r="7072" spans="1:7">
      <c r="A7072" s="276"/>
      <c r="B7072" s="275"/>
      <c r="C7072" s="276"/>
      <c r="D7072" s="276"/>
      <c r="E7072" s="383"/>
      <c r="G7072" s="277"/>
    </row>
    <row r="7073" spans="1:7">
      <c r="A7073" s="285" t="s">
        <v>4417</v>
      </c>
      <c r="B7073" s="263" t="s">
        <v>4419</v>
      </c>
      <c r="C7073" s="276"/>
      <c r="D7073" s="276"/>
      <c r="E7073" s="383"/>
      <c r="G7073" s="277"/>
    </row>
    <row r="7074" spans="1:7" s="292" customFormat="1" ht="24.95" customHeight="1">
      <c r="A7074" s="290" t="s">
        <v>1003</v>
      </c>
      <c r="B7074" s="290" t="s">
        <v>1004</v>
      </c>
      <c r="C7074" s="290" t="s">
        <v>1005</v>
      </c>
      <c r="D7074" s="290" t="s">
        <v>1006</v>
      </c>
      <c r="E7074" s="373" t="s">
        <v>1007</v>
      </c>
      <c r="F7074" s="363" t="s">
        <v>2637</v>
      </c>
      <c r="G7074" s="353" t="s">
        <v>2638</v>
      </c>
    </row>
    <row r="7075" spans="1:7">
      <c r="A7075" s="294" t="s">
        <v>671</v>
      </c>
      <c r="B7075" s="410" t="s">
        <v>672</v>
      </c>
      <c r="C7075" s="247"/>
      <c r="D7075" s="247"/>
      <c r="E7075" s="372"/>
      <c r="F7075" s="360"/>
      <c r="G7075" s="274"/>
    </row>
    <row r="7076" spans="1:7">
      <c r="A7076" s="294"/>
      <c r="B7076" s="410" t="s">
        <v>673</v>
      </c>
      <c r="C7076" s="247" t="s">
        <v>674</v>
      </c>
      <c r="D7076" s="247" t="s">
        <v>675</v>
      </c>
      <c r="E7076" s="372">
        <v>1.714</v>
      </c>
      <c r="F7076" s="360">
        <f>$F$7057</f>
        <v>110000</v>
      </c>
      <c r="G7076" s="274">
        <f>F7076*E7076</f>
        <v>188540</v>
      </c>
    </row>
    <row r="7077" spans="1:7">
      <c r="A7077" s="294"/>
      <c r="B7077" s="410" t="s">
        <v>1480</v>
      </c>
      <c r="C7077" s="247" t="s">
        <v>678</v>
      </c>
      <c r="D7077" s="247" t="s">
        <v>675</v>
      </c>
      <c r="E7077" s="372">
        <v>0.85699999999999998</v>
      </c>
      <c r="F7077" s="360">
        <f>$F$7058</f>
        <v>140000</v>
      </c>
      <c r="G7077" s="274">
        <f>F7077*E7077</f>
        <v>119980</v>
      </c>
    </row>
    <row r="7078" spans="1:7">
      <c r="A7078" s="294"/>
      <c r="B7078" s="410" t="s">
        <v>751</v>
      </c>
      <c r="C7078" s="247" t="s">
        <v>681</v>
      </c>
      <c r="D7078" s="247" t="s">
        <v>675</v>
      </c>
      <c r="E7078" s="372">
        <v>8.5699999999999998E-2</v>
      </c>
      <c r="F7078" s="360">
        <f>$F$6666</f>
        <v>150000</v>
      </c>
      <c r="G7078" s="274">
        <f>F7078*E7078</f>
        <v>12855</v>
      </c>
    </row>
    <row r="7079" spans="1:7">
      <c r="A7079" s="294"/>
      <c r="B7079" s="410" t="s">
        <v>683</v>
      </c>
      <c r="C7079" s="247" t="s">
        <v>684</v>
      </c>
      <c r="D7079" s="247" t="s">
        <v>675</v>
      </c>
      <c r="E7079" s="372">
        <v>0.17100000000000001</v>
      </c>
      <c r="F7079" s="360">
        <f>$F$7060</f>
        <v>140000</v>
      </c>
      <c r="G7079" s="274">
        <f>F7079*E7079</f>
        <v>23940.000000000004</v>
      </c>
    </row>
    <row r="7080" spans="1:7">
      <c r="A7080" s="357"/>
      <c r="B7080" s="356"/>
      <c r="C7080" s="356"/>
      <c r="D7080" s="356"/>
      <c r="E7080" s="384" t="s">
        <v>685</v>
      </c>
      <c r="F7080" s="391"/>
      <c r="G7080" s="274">
        <f>SUM(G7076:G7079)</f>
        <v>345315</v>
      </c>
    </row>
    <row r="7081" spans="1:7">
      <c r="A7081" s="294" t="s">
        <v>686</v>
      </c>
      <c r="B7081" s="410" t="s">
        <v>687</v>
      </c>
      <c r="C7081" s="247"/>
      <c r="D7081" s="247"/>
      <c r="E7081" s="372"/>
      <c r="F7081" s="360"/>
      <c r="G7081" s="274"/>
    </row>
    <row r="7082" spans="1:7">
      <c r="A7082" s="294"/>
      <c r="B7082" s="410" t="s">
        <v>3750</v>
      </c>
      <c r="C7082" s="247"/>
      <c r="D7082" s="247" t="s">
        <v>1423</v>
      </c>
      <c r="E7082" s="372">
        <v>1</v>
      </c>
      <c r="F7082" s="360">
        <f>'UPAD-BAHAN-ALAT'!$I$622</f>
        <v>9120000</v>
      </c>
      <c r="G7082" s="274">
        <f>F7082*E7082</f>
        <v>9120000</v>
      </c>
    </row>
    <row r="7083" spans="1:7">
      <c r="A7083" s="294"/>
      <c r="B7083" s="410" t="s">
        <v>3751</v>
      </c>
      <c r="C7083" s="247"/>
      <c r="D7083" s="247" t="s">
        <v>1423</v>
      </c>
      <c r="E7083" s="372">
        <v>2</v>
      </c>
      <c r="F7083" s="360">
        <f>'UPAD-BAHAN-ALAT'!$I$616</f>
        <v>540000</v>
      </c>
      <c r="G7083" s="274">
        <f>F7083*E7083</f>
        <v>1080000</v>
      </c>
    </row>
    <row r="7084" spans="1:7">
      <c r="A7084" s="294"/>
      <c r="B7084" s="410"/>
      <c r="C7084" s="247"/>
      <c r="D7084" s="247"/>
      <c r="E7084" s="1146" t="s">
        <v>702</v>
      </c>
      <c r="F7084" s="1146"/>
      <c r="G7084" s="274">
        <f>SUM(G7082:G7083)</f>
        <v>10200000</v>
      </c>
    </row>
    <row r="7085" spans="1:7">
      <c r="A7085" s="294" t="s">
        <v>703</v>
      </c>
      <c r="B7085" s="410" t="s">
        <v>704</v>
      </c>
      <c r="C7085" s="247"/>
      <c r="D7085" s="247"/>
      <c r="E7085" s="372"/>
      <c r="F7085" s="360"/>
      <c r="G7085" s="274"/>
    </row>
    <row r="7086" spans="1:7">
      <c r="A7086" s="294"/>
      <c r="B7086" s="256" t="s">
        <v>3655</v>
      </c>
      <c r="C7086" s="247"/>
      <c r="D7086" s="257" t="s">
        <v>1011</v>
      </c>
      <c r="E7086" s="375">
        <v>1</v>
      </c>
      <c r="F7086" s="360">
        <v>100000</v>
      </c>
      <c r="G7086" s="274">
        <f>F7086*E7086</f>
        <v>100000</v>
      </c>
    </row>
    <row r="7087" spans="1:7">
      <c r="A7087" s="294"/>
      <c r="B7087" s="410"/>
      <c r="C7087" s="247"/>
      <c r="D7087" s="247"/>
      <c r="E7087" s="1146" t="s">
        <v>705</v>
      </c>
      <c r="F7087" s="1146"/>
      <c r="G7087" s="274">
        <f>SUM(G7086)</f>
        <v>100000</v>
      </c>
    </row>
    <row r="7088" spans="1:7">
      <c r="A7088" s="294" t="s">
        <v>706</v>
      </c>
      <c r="B7088" s="1147" t="s">
        <v>707</v>
      </c>
      <c r="C7088" s="1147"/>
      <c r="D7088" s="1147"/>
      <c r="E7088" s="1147"/>
      <c r="F7088" s="1147"/>
      <c r="G7088" s="273">
        <f>G7080+G7084+G7087</f>
        <v>10645315</v>
      </c>
    </row>
    <row r="7089" spans="1:7">
      <c r="A7089" s="294" t="s">
        <v>708</v>
      </c>
      <c r="B7089" s="1147" t="s">
        <v>709</v>
      </c>
      <c r="C7089" s="1147"/>
      <c r="D7089" s="1147"/>
      <c r="E7089" s="1147" t="s">
        <v>710</v>
      </c>
      <c r="F7089" s="1147"/>
      <c r="G7089" s="255">
        <f>G7088*0.15</f>
        <v>1596797.25</v>
      </c>
    </row>
    <row r="7090" spans="1:7">
      <c r="A7090" s="294" t="s">
        <v>711</v>
      </c>
      <c r="B7090" s="1149" t="s">
        <v>712</v>
      </c>
      <c r="C7090" s="1149"/>
      <c r="D7090" s="1149"/>
      <c r="E7090" s="1149"/>
      <c r="F7090" s="1149"/>
      <c r="G7090" s="255">
        <f>ROUND(SUM(G7088:G7089),2)</f>
        <v>12242112.25</v>
      </c>
    </row>
    <row r="7091" spans="1:7">
      <c r="A7091" s="268"/>
      <c r="B7091" s="269"/>
      <c r="C7091" s="268"/>
      <c r="D7091" s="268"/>
      <c r="E7091" s="380"/>
      <c r="F7091" s="365"/>
      <c r="G7091" s="278"/>
    </row>
    <row r="7092" spans="1:7">
      <c r="A7092" s="285" t="s">
        <v>4423</v>
      </c>
      <c r="B7092" s="250" t="s">
        <v>4424</v>
      </c>
      <c r="C7092" s="252"/>
      <c r="D7092" s="252"/>
      <c r="E7092" s="374"/>
      <c r="F7092" s="361"/>
      <c r="G7092" s="272"/>
    </row>
    <row r="7093" spans="1:7" s="292" customFormat="1" ht="24.95" customHeight="1">
      <c r="A7093" s="290" t="s">
        <v>1003</v>
      </c>
      <c r="B7093" s="290" t="s">
        <v>1004</v>
      </c>
      <c r="C7093" s="290" t="s">
        <v>1005</v>
      </c>
      <c r="D7093" s="290" t="s">
        <v>1006</v>
      </c>
      <c r="E7093" s="373" t="s">
        <v>1007</v>
      </c>
      <c r="F7093" s="363" t="s">
        <v>2637</v>
      </c>
      <c r="G7093" s="353" t="s">
        <v>2638</v>
      </c>
    </row>
    <row r="7094" spans="1:7">
      <c r="A7094" s="294" t="s">
        <v>671</v>
      </c>
      <c r="B7094" s="410" t="s">
        <v>672</v>
      </c>
      <c r="C7094" s="247"/>
      <c r="D7094" s="247"/>
      <c r="E7094" s="372"/>
      <c r="F7094" s="360"/>
      <c r="G7094" s="274"/>
    </row>
    <row r="7095" spans="1:7">
      <c r="A7095" s="294"/>
      <c r="B7095" s="410" t="s">
        <v>673</v>
      </c>
      <c r="C7095" s="247" t="s">
        <v>674</v>
      </c>
      <c r="D7095" s="247" t="s">
        <v>675</v>
      </c>
      <c r="E7095" s="372">
        <v>1.714</v>
      </c>
      <c r="F7095" s="360">
        <f>$F$7076</f>
        <v>110000</v>
      </c>
      <c r="G7095" s="274">
        <f>F7095*E7095</f>
        <v>188540</v>
      </c>
    </row>
    <row r="7096" spans="1:7">
      <c r="A7096" s="294"/>
      <c r="B7096" s="410" t="s">
        <v>1480</v>
      </c>
      <c r="C7096" s="247" t="s">
        <v>678</v>
      </c>
      <c r="D7096" s="247" t="s">
        <v>675</v>
      </c>
      <c r="E7096" s="372">
        <v>0.85699999999999998</v>
      </c>
      <c r="F7096" s="360">
        <f>$F$7077</f>
        <v>140000</v>
      </c>
      <c r="G7096" s="274">
        <f>F7096*E7096</f>
        <v>119980</v>
      </c>
    </row>
    <row r="7097" spans="1:7">
      <c r="A7097" s="294"/>
      <c r="B7097" s="410" t="s">
        <v>751</v>
      </c>
      <c r="C7097" s="247" t="s">
        <v>681</v>
      </c>
      <c r="D7097" s="247" t="s">
        <v>675</v>
      </c>
      <c r="E7097" s="372">
        <v>8.5699999999999998E-2</v>
      </c>
      <c r="F7097" s="360">
        <f>$F$6666</f>
        <v>150000</v>
      </c>
      <c r="G7097" s="274">
        <f>F7097*E7097</f>
        <v>12855</v>
      </c>
    </row>
    <row r="7098" spans="1:7">
      <c r="A7098" s="294"/>
      <c r="B7098" s="410" t="s">
        <v>683</v>
      </c>
      <c r="C7098" s="247" t="s">
        <v>684</v>
      </c>
      <c r="D7098" s="247" t="s">
        <v>675</v>
      </c>
      <c r="E7098" s="372">
        <v>0.17100000000000001</v>
      </c>
      <c r="F7098" s="360">
        <f>$F$7079</f>
        <v>140000</v>
      </c>
      <c r="G7098" s="274">
        <f>F7098*E7098</f>
        <v>23940.000000000004</v>
      </c>
    </row>
    <row r="7099" spans="1:7">
      <c r="A7099" s="357"/>
      <c r="B7099" s="356"/>
      <c r="C7099" s="356"/>
      <c r="D7099" s="356"/>
      <c r="E7099" s="384" t="s">
        <v>685</v>
      </c>
      <c r="F7099" s="391"/>
      <c r="G7099" s="274">
        <f>SUM(G7095:G7098)</f>
        <v>345315</v>
      </c>
    </row>
    <row r="7100" spans="1:7">
      <c r="A7100" s="294" t="s">
        <v>686</v>
      </c>
      <c r="B7100" s="410" t="s">
        <v>687</v>
      </c>
      <c r="C7100" s="247"/>
      <c r="D7100" s="247"/>
      <c r="E7100" s="372"/>
      <c r="F7100" s="360"/>
      <c r="G7100" s="274"/>
    </row>
    <row r="7101" spans="1:7">
      <c r="A7101" s="294"/>
      <c r="B7101" s="410" t="s">
        <v>3752</v>
      </c>
      <c r="C7101" s="247"/>
      <c r="D7101" s="247" t="s">
        <v>1423</v>
      </c>
      <c r="E7101" s="372">
        <v>1</v>
      </c>
      <c r="F7101" s="360">
        <f>'UPAD-BAHAN-ALAT'!$I$621</f>
        <v>18240000</v>
      </c>
      <c r="G7101" s="274">
        <f>F7101*E7101</f>
        <v>18240000</v>
      </c>
    </row>
    <row r="7102" spans="1:7">
      <c r="A7102" s="294"/>
      <c r="B7102" s="410" t="s">
        <v>3753</v>
      </c>
      <c r="C7102" s="247"/>
      <c r="D7102" s="247" t="s">
        <v>1423</v>
      </c>
      <c r="E7102" s="372">
        <v>2</v>
      </c>
      <c r="F7102" s="360">
        <f>'UPAD-BAHAN-ALAT'!$I$615</f>
        <v>626400</v>
      </c>
      <c r="G7102" s="274">
        <f>F7102*E7102</f>
        <v>1252800</v>
      </c>
    </row>
    <row r="7103" spans="1:7">
      <c r="A7103" s="294"/>
      <c r="B7103" s="410"/>
      <c r="C7103" s="247"/>
      <c r="D7103" s="247"/>
      <c r="E7103" s="1146" t="s">
        <v>702</v>
      </c>
      <c r="F7103" s="1146"/>
      <c r="G7103" s="274">
        <f>SUM(G7101:G7102)</f>
        <v>19492800</v>
      </c>
    </row>
    <row r="7104" spans="1:7">
      <c r="A7104" s="294" t="s">
        <v>703</v>
      </c>
      <c r="B7104" s="410" t="s">
        <v>704</v>
      </c>
      <c r="C7104" s="247"/>
      <c r="D7104" s="247"/>
      <c r="E7104" s="372"/>
      <c r="F7104" s="360"/>
      <c r="G7104" s="274"/>
    </row>
    <row r="7105" spans="1:7">
      <c r="A7105" s="294"/>
      <c r="B7105" s="256" t="s">
        <v>3655</v>
      </c>
      <c r="C7105" s="247"/>
      <c r="D7105" s="257" t="s">
        <v>1011</v>
      </c>
      <c r="E7105" s="375">
        <v>1</v>
      </c>
      <c r="F7105" s="360">
        <v>120000</v>
      </c>
      <c r="G7105" s="274">
        <f>F7105*E7105</f>
        <v>120000</v>
      </c>
    </row>
    <row r="7106" spans="1:7">
      <c r="A7106" s="294"/>
      <c r="B7106" s="410"/>
      <c r="C7106" s="247"/>
      <c r="D7106" s="247"/>
      <c r="E7106" s="1146" t="s">
        <v>705</v>
      </c>
      <c r="F7106" s="1146"/>
      <c r="G7106" s="274">
        <f>SUM(G7105)</f>
        <v>120000</v>
      </c>
    </row>
    <row r="7107" spans="1:7">
      <c r="A7107" s="294" t="s">
        <v>706</v>
      </c>
      <c r="B7107" s="1147" t="s">
        <v>707</v>
      </c>
      <c r="C7107" s="1147"/>
      <c r="D7107" s="1147"/>
      <c r="E7107" s="1147"/>
      <c r="F7107" s="1147"/>
      <c r="G7107" s="273">
        <f>G7099+G7103+G7106</f>
        <v>19958115</v>
      </c>
    </row>
    <row r="7108" spans="1:7">
      <c r="A7108" s="294" t="s">
        <v>708</v>
      </c>
      <c r="B7108" s="1147" t="s">
        <v>709</v>
      </c>
      <c r="C7108" s="1147"/>
      <c r="D7108" s="1147"/>
      <c r="E7108" s="1147" t="s">
        <v>710</v>
      </c>
      <c r="F7108" s="1147"/>
      <c r="G7108" s="255">
        <f>G7107*0.15</f>
        <v>2993717.25</v>
      </c>
    </row>
    <row r="7109" spans="1:7">
      <c r="A7109" s="294" t="s">
        <v>711</v>
      </c>
      <c r="B7109" s="1149" t="s">
        <v>712</v>
      </c>
      <c r="C7109" s="1149"/>
      <c r="D7109" s="1149"/>
      <c r="E7109" s="1149"/>
      <c r="F7109" s="1149"/>
      <c r="G7109" s="255">
        <f>ROUND(SUM(G7107:G7108),2)</f>
        <v>22951832.25</v>
      </c>
    </row>
    <row r="7110" spans="1:7">
      <c r="A7110" s="276"/>
      <c r="B7110" s="275"/>
      <c r="C7110" s="276"/>
      <c r="D7110" s="276"/>
      <c r="E7110" s="383"/>
      <c r="G7110" s="277"/>
    </row>
    <row r="7111" spans="1:7">
      <c r="A7111" s="285" t="s">
        <v>4425</v>
      </c>
      <c r="B7111" s="250" t="s">
        <v>4426</v>
      </c>
      <c r="C7111" s="252"/>
      <c r="D7111" s="252"/>
      <c r="E7111" s="374"/>
      <c r="F7111" s="361"/>
      <c r="G7111" s="272"/>
    </row>
    <row r="7112" spans="1:7" s="292" customFormat="1" ht="24.95" customHeight="1">
      <c r="A7112" s="290" t="s">
        <v>1003</v>
      </c>
      <c r="B7112" s="290" t="s">
        <v>1004</v>
      </c>
      <c r="C7112" s="290" t="s">
        <v>1005</v>
      </c>
      <c r="D7112" s="290" t="s">
        <v>1006</v>
      </c>
      <c r="E7112" s="373" t="s">
        <v>1007</v>
      </c>
      <c r="F7112" s="363" t="s">
        <v>2637</v>
      </c>
      <c r="G7112" s="353" t="s">
        <v>2638</v>
      </c>
    </row>
    <row r="7113" spans="1:7">
      <c r="A7113" s="294" t="s">
        <v>671</v>
      </c>
      <c r="B7113" s="410" t="s">
        <v>672</v>
      </c>
      <c r="C7113" s="247"/>
      <c r="D7113" s="247"/>
      <c r="E7113" s="372"/>
      <c r="F7113" s="360"/>
      <c r="G7113" s="274"/>
    </row>
    <row r="7114" spans="1:7">
      <c r="A7114" s="294"/>
      <c r="B7114" s="410" t="s">
        <v>673</v>
      </c>
      <c r="C7114" s="247" t="s">
        <v>674</v>
      </c>
      <c r="D7114" s="247" t="s">
        <v>675</v>
      </c>
      <c r="E7114" s="372">
        <v>1.714</v>
      </c>
      <c r="F7114" s="360">
        <f>$F$7095</f>
        <v>110000</v>
      </c>
      <c r="G7114" s="274">
        <f>F7114*E7114</f>
        <v>188540</v>
      </c>
    </row>
    <row r="7115" spans="1:7">
      <c r="A7115" s="294"/>
      <c r="B7115" s="410" t="s">
        <v>1480</v>
      </c>
      <c r="C7115" s="247" t="s">
        <v>678</v>
      </c>
      <c r="D7115" s="247" t="s">
        <v>675</v>
      </c>
      <c r="E7115" s="372">
        <v>0.85699999999999998</v>
      </c>
      <c r="F7115" s="360">
        <f>$F$7096</f>
        <v>140000</v>
      </c>
      <c r="G7115" s="274">
        <f>F7115*E7115</f>
        <v>119980</v>
      </c>
    </row>
    <row r="7116" spans="1:7">
      <c r="A7116" s="294"/>
      <c r="B7116" s="410" t="s">
        <v>751</v>
      </c>
      <c r="C7116" s="247" t="s">
        <v>681</v>
      </c>
      <c r="D7116" s="247" t="s">
        <v>675</v>
      </c>
      <c r="E7116" s="372">
        <v>8.5699999999999998E-2</v>
      </c>
      <c r="F7116" s="360">
        <f>$F$6666</f>
        <v>150000</v>
      </c>
      <c r="G7116" s="274">
        <f>F7116*E7116</f>
        <v>12855</v>
      </c>
    </row>
    <row r="7117" spans="1:7">
      <c r="A7117" s="294"/>
      <c r="B7117" s="410" t="s">
        <v>683</v>
      </c>
      <c r="C7117" s="247" t="s">
        <v>684</v>
      </c>
      <c r="D7117" s="247" t="s">
        <v>675</v>
      </c>
      <c r="E7117" s="372">
        <v>0.17100000000000001</v>
      </c>
      <c r="F7117" s="360">
        <f>$F$7098</f>
        <v>140000</v>
      </c>
      <c r="G7117" s="274">
        <f>F7117*E7117</f>
        <v>23940.000000000004</v>
      </c>
    </row>
    <row r="7118" spans="1:7">
      <c r="A7118" s="357"/>
      <c r="B7118" s="356"/>
      <c r="C7118" s="356"/>
      <c r="D7118" s="356"/>
      <c r="E7118" s="384" t="s">
        <v>685</v>
      </c>
      <c r="F7118" s="391"/>
      <c r="G7118" s="274">
        <f>SUM(G7114:G7117)</f>
        <v>345315</v>
      </c>
    </row>
    <row r="7119" spans="1:7">
      <c r="A7119" s="294" t="s">
        <v>686</v>
      </c>
      <c r="B7119" s="410" t="s">
        <v>687</v>
      </c>
      <c r="C7119" s="247"/>
      <c r="D7119" s="247"/>
      <c r="E7119" s="372"/>
      <c r="F7119" s="360"/>
      <c r="G7119" s="274"/>
    </row>
    <row r="7120" spans="1:7">
      <c r="A7120" s="294"/>
      <c r="B7120" s="410" t="s">
        <v>3754</v>
      </c>
      <c r="C7120" s="247"/>
      <c r="D7120" s="247" t="s">
        <v>1423</v>
      </c>
      <c r="E7120" s="372">
        <v>1</v>
      </c>
      <c r="F7120" s="360">
        <f>'UPAD-BAHAN-ALAT'!$I$620</f>
        <v>22800000</v>
      </c>
      <c r="G7120" s="274">
        <f>F7120*E7120</f>
        <v>22800000</v>
      </c>
    </row>
    <row r="7121" spans="1:7">
      <c r="A7121" s="294"/>
      <c r="B7121" s="410" t="s">
        <v>3755</v>
      </c>
      <c r="C7121" s="247"/>
      <c r="D7121" s="247" t="s">
        <v>1423</v>
      </c>
      <c r="E7121" s="372">
        <v>2</v>
      </c>
      <c r="F7121" s="360">
        <f>'UPAD-BAHAN-ALAT'!$I$614</f>
        <v>727200</v>
      </c>
      <c r="G7121" s="274">
        <f>F7121*E7121</f>
        <v>1454400</v>
      </c>
    </row>
    <row r="7122" spans="1:7">
      <c r="A7122" s="294"/>
      <c r="B7122" s="410"/>
      <c r="C7122" s="247"/>
      <c r="D7122" s="247"/>
      <c r="E7122" s="1146" t="s">
        <v>702</v>
      </c>
      <c r="F7122" s="1146"/>
      <c r="G7122" s="274">
        <f>SUM(G7120:G7121)</f>
        <v>24254400</v>
      </c>
    </row>
    <row r="7123" spans="1:7">
      <c r="A7123" s="294" t="s">
        <v>703</v>
      </c>
      <c r="B7123" s="410" t="s">
        <v>704</v>
      </c>
      <c r="C7123" s="247"/>
      <c r="D7123" s="247"/>
      <c r="E7123" s="372"/>
      <c r="F7123" s="360"/>
      <c r="G7123" s="274"/>
    </row>
    <row r="7124" spans="1:7">
      <c r="A7124" s="294"/>
      <c r="B7124" s="256" t="s">
        <v>3655</v>
      </c>
      <c r="C7124" s="247"/>
      <c r="D7124" s="257" t="s">
        <v>1011</v>
      </c>
      <c r="E7124" s="375">
        <v>1</v>
      </c>
      <c r="F7124" s="360">
        <v>150000</v>
      </c>
      <c r="G7124" s="274">
        <f>F7124*E7124</f>
        <v>150000</v>
      </c>
    </row>
    <row r="7125" spans="1:7">
      <c r="A7125" s="294"/>
      <c r="B7125" s="410"/>
      <c r="C7125" s="247"/>
      <c r="D7125" s="247"/>
      <c r="E7125" s="1146" t="s">
        <v>705</v>
      </c>
      <c r="F7125" s="1146"/>
      <c r="G7125" s="274">
        <f>SUM(G7124)</f>
        <v>150000</v>
      </c>
    </row>
    <row r="7126" spans="1:7">
      <c r="A7126" s="294" t="s">
        <v>706</v>
      </c>
      <c r="B7126" s="1147" t="s">
        <v>707</v>
      </c>
      <c r="C7126" s="1147"/>
      <c r="D7126" s="1147"/>
      <c r="E7126" s="1147"/>
      <c r="F7126" s="1147"/>
      <c r="G7126" s="273">
        <f>G7118+G7122+G7125</f>
        <v>24749715</v>
      </c>
    </row>
    <row r="7127" spans="1:7">
      <c r="A7127" s="294" t="s">
        <v>708</v>
      </c>
      <c r="B7127" s="1147" t="s">
        <v>709</v>
      </c>
      <c r="C7127" s="1147"/>
      <c r="D7127" s="1147"/>
      <c r="E7127" s="1147" t="s">
        <v>710</v>
      </c>
      <c r="F7127" s="1147"/>
      <c r="G7127" s="255">
        <f>G7126*0.15</f>
        <v>3712457.25</v>
      </c>
    </row>
    <row r="7128" spans="1:7">
      <c r="A7128" s="294" t="s">
        <v>711</v>
      </c>
      <c r="B7128" s="1149" t="s">
        <v>712</v>
      </c>
      <c r="C7128" s="1149"/>
      <c r="D7128" s="1149"/>
      <c r="E7128" s="1149"/>
      <c r="F7128" s="1149"/>
      <c r="G7128" s="255">
        <f>ROUND(SUM(G7126:G7127),2)</f>
        <v>28462172.25</v>
      </c>
    </row>
    <row r="7129" spans="1:7">
      <c r="A7129" s="252"/>
      <c r="B7129" s="251"/>
      <c r="C7129" s="252"/>
      <c r="D7129" s="252"/>
      <c r="E7129" s="374"/>
      <c r="F7129" s="361"/>
      <c r="G7129" s="272"/>
    </row>
    <row r="7130" spans="1:7">
      <c r="A7130" s="285" t="s">
        <v>3756</v>
      </c>
      <c r="B7130" s="250" t="s">
        <v>4427</v>
      </c>
      <c r="C7130" s="252"/>
      <c r="D7130" s="252"/>
      <c r="E7130" s="374"/>
      <c r="F7130" s="361"/>
      <c r="G7130" s="272"/>
    </row>
    <row r="7131" spans="1:7" s="292" customFormat="1" ht="24.95" customHeight="1">
      <c r="A7131" s="290" t="s">
        <v>1003</v>
      </c>
      <c r="B7131" s="290" t="s">
        <v>1004</v>
      </c>
      <c r="C7131" s="290" t="s">
        <v>1005</v>
      </c>
      <c r="D7131" s="290" t="s">
        <v>1006</v>
      </c>
      <c r="E7131" s="373" t="s">
        <v>1007</v>
      </c>
      <c r="F7131" s="363" t="s">
        <v>2637</v>
      </c>
      <c r="G7131" s="353" t="s">
        <v>2638</v>
      </c>
    </row>
    <row r="7132" spans="1:7">
      <c r="A7132" s="294" t="s">
        <v>671</v>
      </c>
      <c r="B7132" s="410" t="s">
        <v>672</v>
      </c>
      <c r="C7132" s="247"/>
      <c r="D7132" s="247"/>
      <c r="E7132" s="372"/>
      <c r="F7132" s="360"/>
      <c r="G7132" s="274"/>
    </row>
    <row r="7133" spans="1:7">
      <c r="A7133" s="294"/>
      <c r="B7133" s="410" t="s">
        <v>673</v>
      </c>
      <c r="C7133" s="247" t="s">
        <v>674</v>
      </c>
      <c r="D7133" s="247" t="s">
        <v>675</v>
      </c>
      <c r="E7133" s="372">
        <v>0.106</v>
      </c>
      <c r="F7133" s="360">
        <f>$F$7114</f>
        <v>110000</v>
      </c>
      <c r="G7133" s="274">
        <f>F7133*E7133</f>
        <v>11660</v>
      </c>
    </row>
    <row r="7134" spans="1:7">
      <c r="A7134" s="294"/>
      <c r="B7134" s="410" t="s">
        <v>1480</v>
      </c>
      <c r="C7134" s="247" t="s">
        <v>678</v>
      </c>
      <c r="D7134" s="247" t="s">
        <v>675</v>
      </c>
      <c r="E7134" s="372">
        <v>5.2999999999999999E-2</v>
      </c>
      <c r="F7134" s="360">
        <f>$F$7115</f>
        <v>140000</v>
      </c>
      <c r="G7134" s="274">
        <f>F7134*E7134</f>
        <v>7420</v>
      </c>
    </row>
    <row r="7135" spans="1:7">
      <c r="A7135" s="294"/>
      <c r="B7135" s="410" t="s">
        <v>751</v>
      </c>
      <c r="C7135" s="247" t="s">
        <v>681</v>
      </c>
      <c r="D7135" s="247" t="s">
        <v>675</v>
      </c>
      <c r="E7135" s="372">
        <v>5.3E-3</v>
      </c>
      <c r="F7135" s="360">
        <f>$F$6666</f>
        <v>150000</v>
      </c>
      <c r="G7135" s="274">
        <f>F7135*E7135</f>
        <v>795</v>
      </c>
    </row>
    <row r="7136" spans="1:7">
      <c r="A7136" s="294"/>
      <c r="B7136" s="410" t="s">
        <v>683</v>
      </c>
      <c r="C7136" s="247" t="s">
        <v>684</v>
      </c>
      <c r="D7136" s="247" t="s">
        <v>675</v>
      </c>
      <c r="E7136" s="372">
        <v>1.0999999999999999E-2</v>
      </c>
      <c r="F7136" s="360">
        <f>$F$7117</f>
        <v>140000</v>
      </c>
      <c r="G7136" s="274">
        <f>F7136*E7136</f>
        <v>1540</v>
      </c>
    </row>
    <row r="7137" spans="1:7">
      <c r="A7137" s="357"/>
      <c r="B7137" s="356"/>
      <c r="C7137" s="356"/>
      <c r="D7137" s="356"/>
      <c r="E7137" s="384" t="s">
        <v>685</v>
      </c>
      <c r="F7137" s="391"/>
      <c r="G7137" s="274">
        <f>SUM(G7133:G7136)</f>
        <v>21415</v>
      </c>
    </row>
    <row r="7138" spans="1:7">
      <c r="A7138" s="294" t="s">
        <v>686</v>
      </c>
      <c r="B7138" s="410" t="s">
        <v>687</v>
      </c>
      <c r="C7138" s="247"/>
      <c r="D7138" s="247"/>
      <c r="E7138" s="372"/>
      <c r="F7138" s="360"/>
      <c r="G7138" s="274"/>
    </row>
    <row r="7139" spans="1:7">
      <c r="A7139" s="294"/>
      <c r="B7139" s="410" t="s">
        <v>3757</v>
      </c>
      <c r="C7139" s="247"/>
      <c r="D7139" s="247" t="s">
        <v>1423</v>
      </c>
      <c r="E7139" s="372">
        <v>1</v>
      </c>
      <c r="F7139" s="360">
        <f>'UPAD-BAHAN-ALAT'!$I$628</f>
        <v>506040</v>
      </c>
      <c r="G7139" s="274">
        <f>F7139*E7139</f>
        <v>506040</v>
      </c>
    </row>
    <row r="7140" spans="1:7">
      <c r="A7140" s="294"/>
      <c r="B7140" s="410"/>
      <c r="C7140" s="247"/>
      <c r="D7140" s="247"/>
      <c r="E7140" s="1146" t="s">
        <v>702</v>
      </c>
      <c r="F7140" s="1146"/>
      <c r="G7140" s="274">
        <f>SUM(G7139)</f>
        <v>506040</v>
      </c>
    </row>
    <row r="7141" spans="1:7">
      <c r="A7141" s="294" t="s">
        <v>703</v>
      </c>
      <c r="B7141" s="410" t="s">
        <v>704</v>
      </c>
      <c r="C7141" s="247"/>
      <c r="D7141" s="247"/>
      <c r="E7141" s="372"/>
      <c r="F7141" s="360"/>
      <c r="G7141" s="274"/>
    </row>
    <row r="7142" spans="1:7">
      <c r="A7142" s="294"/>
      <c r="B7142" s="256" t="s">
        <v>3655</v>
      </c>
      <c r="C7142" s="247"/>
      <c r="D7142" s="257" t="s">
        <v>1011</v>
      </c>
      <c r="E7142" s="375">
        <v>1</v>
      </c>
      <c r="F7142" s="360">
        <v>50000</v>
      </c>
      <c r="G7142" s="274">
        <f>F7142*E7142</f>
        <v>50000</v>
      </c>
    </row>
    <row r="7143" spans="1:7">
      <c r="A7143" s="294"/>
      <c r="B7143" s="410"/>
      <c r="C7143" s="247"/>
      <c r="D7143" s="247"/>
      <c r="E7143" s="1146" t="s">
        <v>705</v>
      </c>
      <c r="F7143" s="1146"/>
      <c r="G7143" s="274">
        <f>SUM(G7142)</f>
        <v>50000</v>
      </c>
    </row>
    <row r="7144" spans="1:7">
      <c r="A7144" s="294" t="s">
        <v>706</v>
      </c>
      <c r="B7144" s="1147" t="s">
        <v>707</v>
      </c>
      <c r="C7144" s="1147"/>
      <c r="D7144" s="1147"/>
      <c r="E7144" s="1147"/>
      <c r="F7144" s="1147"/>
      <c r="G7144" s="273">
        <f>G7137+G7140+G7143</f>
        <v>577455</v>
      </c>
    </row>
    <row r="7145" spans="1:7">
      <c r="A7145" s="294" t="s">
        <v>708</v>
      </c>
      <c r="B7145" s="1147" t="s">
        <v>709</v>
      </c>
      <c r="C7145" s="1147"/>
      <c r="D7145" s="1147"/>
      <c r="E7145" s="1147" t="s">
        <v>710</v>
      </c>
      <c r="F7145" s="1147"/>
      <c r="G7145" s="255">
        <f>G7144*0.15</f>
        <v>86618.25</v>
      </c>
    </row>
    <row r="7146" spans="1:7">
      <c r="A7146" s="294" t="s">
        <v>711</v>
      </c>
      <c r="B7146" s="1149" t="s">
        <v>712</v>
      </c>
      <c r="C7146" s="1149"/>
      <c r="D7146" s="1149"/>
      <c r="E7146" s="1149"/>
      <c r="F7146" s="1149"/>
      <c r="G7146" s="255">
        <f>ROUND(SUM(G7144:G7145),2)</f>
        <v>664073.25</v>
      </c>
    </row>
    <row r="7147" spans="1:7">
      <c r="A7147" s="252"/>
      <c r="B7147" s="251"/>
      <c r="C7147" s="252"/>
      <c r="D7147" s="252"/>
      <c r="E7147" s="374"/>
      <c r="F7147" s="361"/>
      <c r="G7147" s="272"/>
    </row>
    <row r="7148" spans="1:7">
      <c r="A7148" s="285" t="s">
        <v>3758</v>
      </c>
      <c r="B7148" s="250" t="s">
        <v>4428</v>
      </c>
      <c r="C7148" s="252"/>
      <c r="D7148" s="252"/>
      <c r="E7148" s="374"/>
      <c r="F7148" s="361"/>
      <c r="G7148" s="272"/>
    </row>
    <row r="7149" spans="1:7" s="292" customFormat="1" ht="24.95" customHeight="1">
      <c r="A7149" s="290" t="s">
        <v>1003</v>
      </c>
      <c r="B7149" s="290" t="s">
        <v>1004</v>
      </c>
      <c r="C7149" s="290" t="s">
        <v>1005</v>
      </c>
      <c r="D7149" s="290" t="s">
        <v>1006</v>
      </c>
      <c r="E7149" s="373" t="s">
        <v>1007</v>
      </c>
      <c r="F7149" s="363" t="s">
        <v>2637</v>
      </c>
      <c r="G7149" s="353" t="s">
        <v>2638</v>
      </c>
    </row>
    <row r="7150" spans="1:7">
      <c r="A7150" s="294" t="s">
        <v>671</v>
      </c>
      <c r="B7150" s="410" t="s">
        <v>672</v>
      </c>
      <c r="C7150" s="247"/>
      <c r="D7150" s="247"/>
      <c r="E7150" s="372"/>
      <c r="F7150" s="360"/>
      <c r="G7150" s="274"/>
    </row>
    <row r="7151" spans="1:7">
      <c r="A7151" s="294"/>
      <c r="B7151" s="410" t="s">
        <v>673</v>
      </c>
      <c r="C7151" s="247" t="s">
        <v>674</v>
      </c>
      <c r="D7151" s="247" t="s">
        <v>675</v>
      </c>
      <c r="E7151" s="372">
        <v>0.106</v>
      </c>
      <c r="F7151" s="360">
        <f>F7133</f>
        <v>110000</v>
      </c>
      <c r="G7151" s="274">
        <f>F7151*E7151</f>
        <v>11660</v>
      </c>
    </row>
    <row r="7152" spans="1:7">
      <c r="A7152" s="294"/>
      <c r="B7152" s="410" t="s">
        <v>1480</v>
      </c>
      <c r="C7152" s="247" t="s">
        <v>678</v>
      </c>
      <c r="D7152" s="247" t="s">
        <v>675</v>
      </c>
      <c r="E7152" s="372">
        <v>5.2999999999999999E-2</v>
      </c>
      <c r="F7152" s="360">
        <f>F7134</f>
        <v>140000</v>
      </c>
      <c r="G7152" s="274">
        <f>F7152*E7152</f>
        <v>7420</v>
      </c>
    </row>
    <row r="7153" spans="1:7">
      <c r="A7153" s="294"/>
      <c r="B7153" s="410" t="s">
        <v>751</v>
      </c>
      <c r="C7153" s="247" t="s">
        <v>681</v>
      </c>
      <c r="D7153" s="247" t="s">
        <v>675</v>
      </c>
      <c r="E7153" s="372">
        <v>5.3E-3</v>
      </c>
      <c r="F7153" s="360">
        <f>$F$6666</f>
        <v>150000</v>
      </c>
      <c r="G7153" s="274">
        <f>F7153*E7153</f>
        <v>795</v>
      </c>
    </row>
    <row r="7154" spans="1:7">
      <c r="A7154" s="294"/>
      <c r="B7154" s="410" t="s">
        <v>683</v>
      </c>
      <c r="C7154" s="247" t="s">
        <v>684</v>
      </c>
      <c r="D7154" s="247" t="s">
        <v>675</v>
      </c>
      <c r="E7154" s="372">
        <v>1.0999999999999999E-2</v>
      </c>
      <c r="F7154" s="360">
        <f>F7136</f>
        <v>140000</v>
      </c>
      <c r="G7154" s="274">
        <f>F7154*E7154</f>
        <v>1540</v>
      </c>
    </row>
    <row r="7155" spans="1:7">
      <c r="A7155" s="357"/>
      <c r="B7155" s="356"/>
      <c r="C7155" s="356"/>
      <c r="D7155" s="356"/>
      <c r="E7155" s="384" t="s">
        <v>685</v>
      </c>
      <c r="F7155" s="391"/>
      <c r="G7155" s="274">
        <f>SUM(G7151:G7154)</f>
        <v>21415</v>
      </c>
    </row>
    <row r="7156" spans="1:7">
      <c r="A7156" s="294" t="s">
        <v>686</v>
      </c>
      <c r="B7156" s="410" t="s">
        <v>687</v>
      </c>
      <c r="C7156" s="247"/>
      <c r="D7156" s="247"/>
      <c r="E7156" s="372"/>
      <c r="F7156" s="360"/>
      <c r="G7156" s="274"/>
    </row>
    <row r="7157" spans="1:7">
      <c r="A7157" s="294"/>
      <c r="B7157" s="410" t="s">
        <v>3759</v>
      </c>
      <c r="C7157" s="247"/>
      <c r="D7157" s="247" t="s">
        <v>1423</v>
      </c>
      <c r="E7157" s="372">
        <v>1</v>
      </c>
      <c r="F7157" s="360">
        <f>'UPAD-BAHAN-ALAT'!$I$629</f>
        <v>680520</v>
      </c>
      <c r="G7157" s="274">
        <f>F7157*E7157</f>
        <v>680520</v>
      </c>
    </row>
    <row r="7158" spans="1:7">
      <c r="A7158" s="294"/>
      <c r="B7158" s="410"/>
      <c r="C7158" s="247"/>
      <c r="D7158" s="247"/>
      <c r="E7158" s="1146" t="s">
        <v>702</v>
      </c>
      <c r="F7158" s="1146"/>
      <c r="G7158" s="274">
        <f>SUM(G7157)</f>
        <v>680520</v>
      </c>
    </row>
    <row r="7159" spans="1:7">
      <c r="A7159" s="294" t="s">
        <v>703</v>
      </c>
      <c r="B7159" s="410" t="s">
        <v>704</v>
      </c>
      <c r="C7159" s="247"/>
      <c r="D7159" s="247"/>
      <c r="E7159" s="372"/>
      <c r="F7159" s="360"/>
      <c r="G7159" s="274"/>
    </row>
    <row r="7160" spans="1:7">
      <c r="A7160" s="294"/>
      <c r="B7160" s="256" t="s">
        <v>3655</v>
      </c>
      <c r="C7160" s="247"/>
      <c r="D7160" s="257" t="s">
        <v>1011</v>
      </c>
      <c r="E7160" s="375">
        <v>1</v>
      </c>
      <c r="F7160" s="360">
        <v>50000</v>
      </c>
      <c r="G7160" s="274">
        <f>F7160*E7160</f>
        <v>50000</v>
      </c>
    </row>
    <row r="7161" spans="1:7">
      <c r="A7161" s="294"/>
      <c r="B7161" s="410"/>
      <c r="C7161" s="247"/>
      <c r="D7161" s="247"/>
      <c r="E7161" s="1146" t="s">
        <v>705</v>
      </c>
      <c r="F7161" s="1146"/>
      <c r="G7161" s="274">
        <f>SUM(G7160)</f>
        <v>50000</v>
      </c>
    </row>
    <row r="7162" spans="1:7">
      <c r="A7162" s="294" t="s">
        <v>706</v>
      </c>
      <c r="B7162" s="1147" t="s">
        <v>707</v>
      </c>
      <c r="C7162" s="1147"/>
      <c r="D7162" s="1147"/>
      <c r="E7162" s="1147"/>
      <c r="F7162" s="1147"/>
      <c r="G7162" s="273">
        <f>G7155+G7158+G7161</f>
        <v>751935</v>
      </c>
    </row>
    <row r="7163" spans="1:7">
      <c r="A7163" s="294" t="s">
        <v>708</v>
      </c>
      <c r="B7163" s="1147" t="s">
        <v>709</v>
      </c>
      <c r="C7163" s="1147"/>
      <c r="D7163" s="1147"/>
      <c r="E7163" s="1147" t="s">
        <v>710</v>
      </c>
      <c r="F7163" s="1147"/>
      <c r="G7163" s="255">
        <f>G7162*0.15</f>
        <v>112790.25</v>
      </c>
    </row>
    <row r="7164" spans="1:7">
      <c r="A7164" s="294" t="s">
        <v>711</v>
      </c>
      <c r="B7164" s="1149" t="s">
        <v>712</v>
      </c>
      <c r="C7164" s="1149"/>
      <c r="D7164" s="1149"/>
      <c r="E7164" s="1149"/>
      <c r="F7164" s="1149"/>
      <c r="G7164" s="255">
        <f>ROUND(SUM(G7162:G7163),2)</f>
        <v>864725.25</v>
      </c>
    </row>
    <row r="7165" spans="1:7">
      <c r="A7165" s="252"/>
      <c r="B7165" s="251"/>
      <c r="C7165" s="252"/>
      <c r="D7165" s="252"/>
      <c r="E7165" s="374"/>
      <c r="F7165" s="361"/>
      <c r="G7165" s="272"/>
    </row>
    <row r="7166" spans="1:7">
      <c r="A7166" s="285" t="s">
        <v>3760</v>
      </c>
      <c r="B7166" s="250" t="s">
        <v>4429</v>
      </c>
      <c r="C7166" s="252"/>
      <c r="D7166" s="252"/>
      <c r="E7166" s="374"/>
      <c r="F7166" s="361"/>
      <c r="G7166" s="272"/>
    </row>
    <row r="7167" spans="1:7" s="292" customFormat="1" ht="24.95" customHeight="1">
      <c r="A7167" s="290" t="s">
        <v>1003</v>
      </c>
      <c r="B7167" s="290" t="s">
        <v>1004</v>
      </c>
      <c r="C7167" s="290" t="s">
        <v>1005</v>
      </c>
      <c r="D7167" s="290" t="s">
        <v>1006</v>
      </c>
      <c r="E7167" s="373" t="s">
        <v>1007</v>
      </c>
      <c r="F7167" s="363" t="s">
        <v>2637</v>
      </c>
      <c r="G7167" s="353" t="s">
        <v>2638</v>
      </c>
    </row>
    <row r="7168" spans="1:7">
      <c r="A7168" s="294" t="s">
        <v>671</v>
      </c>
      <c r="B7168" s="410" t="s">
        <v>672</v>
      </c>
      <c r="C7168" s="247"/>
      <c r="D7168" s="247"/>
      <c r="E7168" s="372"/>
      <c r="F7168" s="360"/>
      <c r="G7168" s="274"/>
    </row>
    <row r="7169" spans="1:7">
      <c r="A7169" s="294"/>
      <c r="B7169" s="410" t="s">
        <v>673</v>
      </c>
      <c r="C7169" s="247" t="s">
        <v>674</v>
      </c>
      <c r="D7169" s="247" t="s">
        <v>675</v>
      </c>
      <c r="E7169" s="372">
        <v>0.106</v>
      </c>
      <c r="F7169" s="360">
        <f>$F$7151</f>
        <v>110000</v>
      </c>
      <c r="G7169" s="274">
        <f>F7169*E7169</f>
        <v>11660</v>
      </c>
    </row>
    <row r="7170" spans="1:7">
      <c r="A7170" s="294"/>
      <c r="B7170" s="410" t="s">
        <v>1480</v>
      </c>
      <c r="C7170" s="247" t="s">
        <v>678</v>
      </c>
      <c r="D7170" s="247" t="s">
        <v>675</v>
      </c>
      <c r="E7170" s="372">
        <v>5.2999999999999999E-2</v>
      </c>
      <c r="F7170" s="360">
        <f>$F$7152</f>
        <v>140000</v>
      </c>
      <c r="G7170" s="274">
        <f>F7170*E7170</f>
        <v>7420</v>
      </c>
    </row>
    <row r="7171" spans="1:7">
      <c r="A7171" s="294"/>
      <c r="B7171" s="410" t="s">
        <v>751</v>
      </c>
      <c r="C7171" s="247" t="s">
        <v>681</v>
      </c>
      <c r="D7171" s="247" t="s">
        <v>675</v>
      </c>
      <c r="E7171" s="372">
        <v>5.3E-3</v>
      </c>
      <c r="F7171" s="360">
        <f>$F$6666</f>
        <v>150000</v>
      </c>
      <c r="G7171" s="274">
        <f>F7171*E7171</f>
        <v>795</v>
      </c>
    </row>
    <row r="7172" spans="1:7">
      <c r="A7172" s="294"/>
      <c r="B7172" s="410" t="s">
        <v>683</v>
      </c>
      <c r="C7172" s="247" t="s">
        <v>684</v>
      </c>
      <c r="D7172" s="247" t="s">
        <v>675</v>
      </c>
      <c r="E7172" s="372">
        <v>1.0999999999999999E-2</v>
      </c>
      <c r="F7172" s="360">
        <f>$F$7154</f>
        <v>140000</v>
      </c>
      <c r="G7172" s="274">
        <f>F7172*E7172</f>
        <v>1540</v>
      </c>
    </row>
    <row r="7173" spans="1:7">
      <c r="A7173" s="357"/>
      <c r="B7173" s="356"/>
      <c r="C7173" s="356"/>
      <c r="D7173" s="356"/>
      <c r="E7173" s="384" t="s">
        <v>685</v>
      </c>
      <c r="F7173" s="391"/>
      <c r="G7173" s="274">
        <f>SUM(G7169:G7172)</f>
        <v>21415</v>
      </c>
    </row>
    <row r="7174" spans="1:7">
      <c r="A7174" s="294" t="s">
        <v>686</v>
      </c>
      <c r="B7174" s="410" t="s">
        <v>687</v>
      </c>
      <c r="C7174" s="247"/>
      <c r="D7174" s="247"/>
      <c r="E7174" s="372"/>
      <c r="F7174" s="360"/>
      <c r="G7174" s="274"/>
    </row>
    <row r="7175" spans="1:7">
      <c r="A7175" s="294"/>
      <c r="B7175" s="410" t="s">
        <v>3761</v>
      </c>
      <c r="C7175" s="247"/>
      <c r="D7175" s="247" t="s">
        <v>1423</v>
      </c>
      <c r="E7175" s="372">
        <v>1</v>
      </c>
      <c r="F7175" s="360">
        <f>'UPAD-BAHAN-ALAT'!$I$630</f>
        <v>1216320</v>
      </c>
      <c r="G7175" s="274">
        <f>F7175*E7175</f>
        <v>1216320</v>
      </c>
    </row>
    <row r="7176" spans="1:7">
      <c r="A7176" s="294"/>
      <c r="B7176" s="410"/>
      <c r="C7176" s="247"/>
      <c r="D7176" s="247"/>
      <c r="E7176" s="1146" t="s">
        <v>702</v>
      </c>
      <c r="F7176" s="1146"/>
      <c r="G7176" s="274">
        <f>SUM(G7175)</f>
        <v>1216320</v>
      </c>
    </row>
    <row r="7177" spans="1:7">
      <c r="A7177" s="294" t="s">
        <v>703</v>
      </c>
      <c r="B7177" s="410" t="s">
        <v>704</v>
      </c>
      <c r="C7177" s="247"/>
      <c r="D7177" s="247"/>
      <c r="E7177" s="372"/>
      <c r="F7177" s="360"/>
      <c r="G7177" s="274"/>
    </row>
    <row r="7178" spans="1:7">
      <c r="A7178" s="294"/>
      <c r="B7178" s="256" t="s">
        <v>3655</v>
      </c>
      <c r="C7178" s="247"/>
      <c r="D7178" s="257" t="s">
        <v>1011</v>
      </c>
      <c r="E7178" s="375">
        <v>1</v>
      </c>
      <c r="F7178" s="360">
        <v>100000</v>
      </c>
      <c r="G7178" s="274">
        <f>F7178*E7178</f>
        <v>100000</v>
      </c>
    </row>
    <row r="7179" spans="1:7">
      <c r="A7179" s="294"/>
      <c r="B7179" s="410"/>
      <c r="C7179" s="247"/>
      <c r="D7179" s="247"/>
      <c r="E7179" s="1146" t="s">
        <v>705</v>
      </c>
      <c r="F7179" s="1146"/>
      <c r="G7179" s="274">
        <f>SUM(G7178)</f>
        <v>100000</v>
      </c>
    </row>
    <row r="7180" spans="1:7">
      <c r="A7180" s="294" t="s">
        <v>706</v>
      </c>
      <c r="B7180" s="1147" t="s">
        <v>707</v>
      </c>
      <c r="C7180" s="1147"/>
      <c r="D7180" s="1147"/>
      <c r="E7180" s="1147"/>
      <c r="F7180" s="1147"/>
      <c r="G7180" s="273">
        <f>G7173+G7176+G7179</f>
        <v>1337735</v>
      </c>
    </row>
    <row r="7181" spans="1:7">
      <c r="A7181" s="294" t="s">
        <v>708</v>
      </c>
      <c r="B7181" s="1147" t="s">
        <v>709</v>
      </c>
      <c r="C7181" s="1147"/>
      <c r="D7181" s="1147"/>
      <c r="E7181" s="1147" t="s">
        <v>710</v>
      </c>
      <c r="F7181" s="1147"/>
      <c r="G7181" s="255">
        <f>G7180*0.15</f>
        <v>200660.25</v>
      </c>
    </row>
    <row r="7182" spans="1:7">
      <c r="A7182" s="294" t="s">
        <v>711</v>
      </c>
      <c r="B7182" s="1149" t="s">
        <v>712</v>
      </c>
      <c r="C7182" s="1149"/>
      <c r="D7182" s="1149"/>
      <c r="E7182" s="1149"/>
      <c r="F7182" s="1149"/>
      <c r="G7182" s="255">
        <f>ROUND(SUM(G7180:G7181),2)</f>
        <v>1538395.25</v>
      </c>
    </row>
    <row r="7183" spans="1:7">
      <c r="A7183" s="252"/>
      <c r="B7183" s="251"/>
      <c r="C7183" s="252"/>
      <c r="D7183" s="252"/>
      <c r="E7183" s="374"/>
      <c r="F7183" s="361"/>
      <c r="G7183" s="272"/>
    </row>
    <row r="7184" spans="1:7">
      <c r="A7184" s="285" t="s">
        <v>3762</v>
      </c>
      <c r="B7184" s="250" t="s">
        <v>4430</v>
      </c>
      <c r="C7184" s="252"/>
      <c r="D7184" s="252"/>
      <c r="E7184" s="374"/>
      <c r="F7184" s="361"/>
      <c r="G7184" s="272"/>
    </row>
    <row r="7185" spans="1:7" s="292" customFormat="1" ht="24.95" customHeight="1">
      <c r="A7185" s="290" t="s">
        <v>1003</v>
      </c>
      <c r="B7185" s="290" t="s">
        <v>1004</v>
      </c>
      <c r="C7185" s="290" t="s">
        <v>1005</v>
      </c>
      <c r="D7185" s="290" t="s">
        <v>1006</v>
      </c>
      <c r="E7185" s="373" t="s">
        <v>1007</v>
      </c>
      <c r="F7185" s="363" t="s">
        <v>2637</v>
      </c>
      <c r="G7185" s="353" t="s">
        <v>2638</v>
      </c>
    </row>
    <row r="7186" spans="1:7">
      <c r="A7186" s="294" t="s">
        <v>671</v>
      </c>
      <c r="B7186" s="410" t="s">
        <v>672</v>
      </c>
      <c r="C7186" s="247"/>
      <c r="D7186" s="247"/>
      <c r="E7186" s="372"/>
      <c r="F7186" s="360"/>
      <c r="G7186" s="274"/>
    </row>
    <row r="7187" spans="1:7">
      <c r="A7187" s="294"/>
      <c r="B7187" s="410" t="s">
        <v>673</v>
      </c>
      <c r="C7187" s="247" t="s">
        <v>674</v>
      </c>
      <c r="D7187" s="247" t="s">
        <v>675</v>
      </c>
      <c r="E7187" s="372">
        <v>0.106</v>
      </c>
      <c r="F7187" s="360">
        <f>$F$7169</f>
        <v>110000</v>
      </c>
      <c r="G7187" s="274">
        <f>F7187*E7187</f>
        <v>11660</v>
      </c>
    </row>
    <row r="7188" spans="1:7">
      <c r="A7188" s="294"/>
      <c r="B7188" s="410" t="s">
        <v>1480</v>
      </c>
      <c r="C7188" s="247" t="s">
        <v>678</v>
      </c>
      <c r="D7188" s="247" t="s">
        <v>675</v>
      </c>
      <c r="E7188" s="372">
        <v>5.2999999999999999E-2</v>
      </c>
      <c r="F7188" s="360">
        <f>$F$7170</f>
        <v>140000</v>
      </c>
      <c r="G7188" s="274">
        <f>F7188*E7188</f>
        <v>7420</v>
      </c>
    </row>
    <row r="7189" spans="1:7">
      <c r="A7189" s="294"/>
      <c r="B7189" s="410" t="s">
        <v>751</v>
      </c>
      <c r="C7189" s="247" t="s">
        <v>681</v>
      </c>
      <c r="D7189" s="247" t="s">
        <v>675</v>
      </c>
      <c r="E7189" s="372">
        <f>E7188/10</f>
        <v>5.3E-3</v>
      </c>
      <c r="F7189" s="360">
        <f>$F$6666</f>
        <v>150000</v>
      </c>
      <c r="G7189" s="274">
        <f>F7189*E7189</f>
        <v>795</v>
      </c>
    </row>
    <row r="7190" spans="1:7">
      <c r="A7190" s="294"/>
      <c r="B7190" s="410" t="s">
        <v>683</v>
      </c>
      <c r="C7190" s="247" t="s">
        <v>684</v>
      </c>
      <c r="D7190" s="247" t="s">
        <v>675</v>
      </c>
      <c r="E7190" s="372">
        <v>1.0999999999999999E-2</v>
      </c>
      <c r="F7190" s="360">
        <f>$F$7172</f>
        <v>140000</v>
      </c>
      <c r="G7190" s="274">
        <f>F7190*E7190</f>
        <v>1540</v>
      </c>
    </row>
    <row r="7191" spans="1:7">
      <c r="A7191" s="357"/>
      <c r="B7191" s="356"/>
      <c r="C7191" s="356"/>
      <c r="D7191" s="356"/>
      <c r="E7191" s="384" t="s">
        <v>685</v>
      </c>
      <c r="F7191" s="391"/>
      <c r="G7191" s="274">
        <f>SUM(G7187:G7190)</f>
        <v>21415</v>
      </c>
    </row>
    <row r="7192" spans="1:7">
      <c r="A7192" s="294" t="s">
        <v>686</v>
      </c>
      <c r="B7192" s="410" t="s">
        <v>687</v>
      </c>
      <c r="C7192" s="247"/>
      <c r="D7192" s="247"/>
      <c r="E7192" s="372"/>
      <c r="F7192" s="360"/>
      <c r="G7192" s="274"/>
    </row>
    <row r="7193" spans="1:7">
      <c r="A7193" s="294"/>
      <c r="B7193" s="280" t="s">
        <v>3946</v>
      </c>
      <c r="C7193" s="247"/>
      <c r="D7193" s="247" t="s">
        <v>1423</v>
      </c>
      <c r="E7193" s="372">
        <v>1</v>
      </c>
      <c r="F7193" s="360">
        <f>'UPAD-BAHAN-ALAT'!$I$631</f>
        <v>1771920</v>
      </c>
      <c r="G7193" s="274">
        <f>F7193*E7193</f>
        <v>1771920</v>
      </c>
    </row>
    <row r="7194" spans="1:7">
      <c r="A7194" s="294"/>
      <c r="B7194" s="410"/>
      <c r="C7194" s="247"/>
      <c r="D7194" s="247"/>
      <c r="E7194" s="1146" t="s">
        <v>702</v>
      </c>
      <c r="F7194" s="1146"/>
      <c r="G7194" s="274">
        <f>SUM(G7193)</f>
        <v>1771920</v>
      </c>
    </row>
    <row r="7195" spans="1:7">
      <c r="A7195" s="294" t="s">
        <v>703</v>
      </c>
      <c r="B7195" s="410" t="s">
        <v>704</v>
      </c>
      <c r="C7195" s="247"/>
      <c r="D7195" s="247"/>
      <c r="E7195" s="372"/>
      <c r="F7195" s="360"/>
      <c r="G7195" s="274"/>
    </row>
    <row r="7196" spans="1:7">
      <c r="A7196" s="294"/>
      <c r="B7196" s="256" t="s">
        <v>3655</v>
      </c>
      <c r="C7196" s="247"/>
      <c r="D7196" s="257" t="s">
        <v>1011</v>
      </c>
      <c r="E7196" s="375">
        <v>1</v>
      </c>
      <c r="F7196" s="360">
        <v>100000</v>
      </c>
      <c r="G7196" s="274">
        <f>F7196*E7196</f>
        <v>100000</v>
      </c>
    </row>
    <row r="7197" spans="1:7">
      <c r="A7197" s="294"/>
      <c r="B7197" s="410"/>
      <c r="C7197" s="247"/>
      <c r="D7197" s="247"/>
      <c r="E7197" s="1146" t="s">
        <v>705</v>
      </c>
      <c r="F7197" s="1146"/>
      <c r="G7197" s="274">
        <f>SUM(G7196)</f>
        <v>100000</v>
      </c>
    </row>
    <row r="7198" spans="1:7">
      <c r="A7198" s="294" t="s">
        <v>706</v>
      </c>
      <c r="B7198" s="1147" t="s">
        <v>707</v>
      </c>
      <c r="C7198" s="1147"/>
      <c r="D7198" s="1147"/>
      <c r="E7198" s="1147"/>
      <c r="F7198" s="1147"/>
      <c r="G7198" s="273">
        <f>G7191+G7194+G7197</f>
        <v>1893335</v>
      </c>
    </row>
    <row r="7199" spans="1:7">
      <c r="A7199" s="294" t="s">
        <v>708</v>
      </c>
      <c r="B7199" s="1147" t="s">
        <v>709</v>
      </c>
      <c r="C7199" s="1147"/>
      <c r="D7199" s="1147"/>
      <c r="E7199" s="1147" t="s">
        <v>710</v>
      </c>
      <c r="F7199" s="1147"/>
      <c r="G7199" s="255">
        <f>G7198*0.15</f>
        <v>284000.25</v>
      </c>
    </row>
    <row r="7200" spans="1:7">
      <c r="A7200" s="294" t="s">
        <v>711</v>
      </c>
      <c r="B7200" s="1149" t="s">
        <v>712</v>
      </c>
      <c r="C7200" s="1149"/>
      <c r="D7200" s="1149"/>
      <c r="E7200" s="1149"/>
      <c r="F7200" s="1149"/>
      <c r="G7200" s="255">
        <f>ROUND(SUM(G7198:G7199),2)</f>
        <v>2177335.25</v>
      </c>
    </row>
    <row r="7201" spans="1:7">
      <c r="A7201" s="252"/>
      <c r="B7201" s="251"/>
      <c r="C7201" s="252"/>
      <c r="D7201" s="252"/>
      <c r="E7201" s="374"/>
      <c r="F7201" s="361"/>
      <c r="G7201" s="272"/>
    </row>
    <row r="7202" spans="1:7">
      <c r="A7202" s="285" t="s">
        <v>3763</v>
      </c>
      <c r="B7202" s="250" t="s">
        <v>4431</v>
      </c>
      <c r="C7202" s="252"/>
      <c r="D7202" s="252"/>
      <c r="E7202" s="374"/>
      <c r="F7202" s="361"/>
      <c r="G7202" s="272"/>
    </row>
    <row r="7203" spans="1:7" s="292" customFormat="1" ht="24.95" customHeight="1">
      <c r="A7203" s="290" t="s">
        <v>1003</v>
      </c>
      <c r="B7203" s="290" t="s">
        <v>1004</v>
      </c>
      <c r="C7203" s="290" t="s">
        <v>1005</v>
      </c>
      <c r="D7203" s="290" t="s">
        <v>1006</v>
      </c>
      <c r="E7203" s="373" t="s">
        <v>1007</v>
      </c>
      <c r="F7203" s="363" t="s">
        <v>2637</v>
      </c>
      <c r="G7203" s="353" t="s">
        <v>2638</v>
      </c>
    </row>
    <row r="7204" spans="1:7">
      <c r="A7204" s="294" t="s">
        <v>671</v>
      </c>
      <c r="B7204" s="410" t="s">
        <v>672</v>
      </c>
      <c r="C7204" s="247"/>
      <c r="D7204" s="247"/>
      <c r="E7204" s="372"/>
      <c r="F7204" s="360"/>
      <c r="G7204" s="274"/>
    </row>
    <row r="7205" spans="1:7">
      <c r="A7205" s="294"/>
      <c r="B7205" s="410" t="s">
        <v>673</v>
      </c>
      <c r="C7205" s="247" t="s">
        <v>674</v>
      </c>
      <c r="D7205" s="247" t="s">
        <v>675</v>
      </c>
      <c r="E7205" s="372">
        <v>0.106</v>
      </c>
      <c r="F7205" s="360">
        <f>$F$7187</f>
        <v>110000</v>
      </c>
      <c r="G7205" s="274">
        <f>F7205*E7205</f>
        <v>11660</v>
      </c>
    </row>
    <row r="7206" spans="1:7">
      <c r="A7206" s="294"/>
      <c r="B7206" s="410" t="s">
        <v>1480</v>
      </c>
      <c r="C7206" s="247" t="s">
        <v>678</v>
      </c>
      <c r="D7206" s="247" t="s">
        <v>675</v>
      </c>
      <c r="E7206" s="372">
        <v>5.2999999999999999E-2</v>
      </c>
      <c r="F7206" s="360">
        <f>$F$7188</f>
        <v>140000</v>
      </c>
      <c r="G7206" s="274">
        <f>F7206*E7206</f>
        <v>7420</v>
      </c>
    </row>
    <row r="7207" spans="1:7">
      <c r="A7207" s="294"/>
      <c r="B7207" s="410" t="s">
        <v>751</v>
      </c>
      <c r="C7207" s="247" t="s">
        <v>681</v>
      </c>
      <c r="D7207" s="247" t="s">
        <v>675</v>
      </c>
      <c r="E7207" s="372">
        <v>5.3E-3</v>
      </c>
      <c r="F7207" s="360">
        <f>$F$6666</f>
        <v>150000</v>
      </c>
      <c r="G7207" s="274">
        <f>F7207*E7207</f>
        <v>795</v>
      </c>
    </row>
    <row r="7208" spans="1:7">
      <c r="A7208" s="294"/>
      <c r="B7208" s="410" t="s">
        <v>683</v>
      </c>
      <c r="C7208" s="247" t="s">
        <v>684</v>
      </c>
      <c r="D7208" s="247" t="s">
        <v>675</v>
      </c>
      <c r="E7208" s="372">
        <v>1.0999999999999999E-2</v>
      </c>
      <c r="F7208" s="360">
        <f>$F$7190</f>
        <v>140000</v>
      </c>
      <c r="G7208" s="274">
        <f>F7208*E7208</f>
        <v>1540</v>
      </c>
    </row>
    <row r="7209" spans="1:7">
      <c r="A7209" s="357"/>
      <c r="B7209" s="356"/>
      <c r="C7209" s="356"/>
      <c r="D7209" s="356"/>
      <c r="E7209" s="384" t="s">
        <v>685</v>
      </c>
      <c r="F7209" s="391"/>
      <c r="G7209" s="274">
        <f>SUM(G7205:G7208)</f>
        <v>21415</v>
      </c>
    </row>
    <row r="7210" spans="1:7">
      <c r="A7210" s="294" t="s">
        <v>686</v>
      </c>
      <c r="B7210" s="410" t="s">
        <v>687</v>
      </c>
      <c r="C7210" s="247"/>
      <c r="D7210" s="247"/>
      <c r="E7210" s="372"/>
      <c r="F7210" s="360"/>
      <c r="G7210" s="274"/>
    </row>
    <row r="7211" spans="1:7">
      <c r="A7211" s="294"/>
      <c r="B7211" s="280" t="s">
        <v>3947</v>
      </c>
      <c r="C7211" s="247"/>
      <c r="D7211" s="247" t="s">
        <v>1423</v>
      </c>
      <c r="E7211" s="372">
        <v>1</v>
      </c>
      <c r="F7211" s="360">
        <f>'UPAD-BAHAN-ALAT'!$I$632</f>
        <v>2658000</v>
      </c>
      <c r="G7211" s="274">
        <f>F7211*E7211</f>
        <v>2658000</v>
      </c>
    </row>
    <row r="7212" spans="1:7">
      <c r="A7212" s="294"/>
      <c r="B7212" s="410"/>
      <c r="C7212" s="247"/>
      <c r="D7212" s="247"/>
      <c r="E7212" s="1146" t="s">
        <v>702</v>
      </c>
      <c r="F7212" s="1146"/>
      <c r="G7212" s="274">
        <f>SUM(G7211)</f>
        <v>2658000</v>
      </c>
    </row>
    <row r="7213" spans="1:7">
      <c r="A7213" s="294" t="s">
        <v>703</v>
      </c>
      <c r="B7213" s="410" t="s">
        <v>704</v>
      </c>
      <c r="C7213" s="247"/>
      <c r="D7213" s="247"/>
      <c r="E7213" s="372"/>
      <c r="F7213" s="360"/>
      <c r="G7213" s="274"/>
    </row>
    <row r="7214" spans="1:7">
      <c r="A7214" s="294"/>
      <c r="B7214" s="256" t="s">
        <v>3655</v>
      </c>
      <c r="C7214" s="247"/>
      <c r="D7214" s="257" t="s">
        <v>1011</v>
      </c>
      <c r="E7214" s="375">
        <v>1</v>
      </c>
      <c r="F7214" s="360">
        <v>200000</v>
      </c>
      <c r="G7214" s="274">
        <f>F7214*E7214</f>
        <v>200000</v>
      </c>
    </row>
    <row r="7215" spans="1:7">
      <c r="A7215" s="294"/>
      <c r="B7215" s="410"/>
      <c r="C7215" s="247"/>
      <c r="D7215" s="247"/>
      <c r="E7215" s="1146" t="s">
        <v>705</v>
      </c>
      <c r="F7215" s="1146"/>
      <c r="G7215" s="274">
        <f>SUM(G7214)</f>
        <v>200000</v>
      </c>
    </row>
    <row r="7216" spans="1:7">
      <c r="A7216" s="294" t="s">
        <v>706</v>
      </c>
      <c r="B7216" s="1147" t="s">
        <v>707</v>
      </c>
      <c r="C7216" s="1147"/>
      <c r="D7216" s="1147"/>
      <c r="E7216" s="1147"/>
      <c r="F7216" s="1147"/>
      <c r="G7216" s="273">
        <f>G7209+G7212+G7215</f>
        <v>2879415</v>
      </c>
    </row>
    <row r="7217" spans="1:7">
      <c r="A7217" s="294" t="s">
        <v>708</v>
      </c>
      <c r="B7217" s="1147" t="s">
        <v>709</v>
      </c>
      <c r="C7217" s="1147"/>
      <c r="D7217" s="1147"/>
      <c r="E7217" s="1147" t="s">
        <v>710</v>
      </c>
      <c r="F7217" s="1147"/>
      <c r="G7217" s="255">
        <f>G7216*0.15</f>
        <v>431912.25</v>
      </c>
    </row>
    <row r="7218" spans="1:7">
      <c r="A7218" s="294" t="s">
        <v>711</v>
      </c>
      <c r="B7218" s="1149" t="s">
        <v>712</v>
      </c>
      <c r="C7218" s="1149"/>
      <c r="D7218" s="1149"/>
      <c r="E7218" s="1149"/>
      <c r="F7218" s="1149"/>
      <c r="G7218" s="255">
        <f>ROUND(SUM(G7216:G7217),2)</f>
        <v>3311327.25</v>
      </c>
    </row>
    <row r="7219" spans="1:7">
      <c r="A7219" s="252"/>
      <c r="B7219" s="251"/>
      <c r="C7219" s="252"/>
      <c r="D7219" s="252"/>
      <c r="E7219" s="374"/>
      <c r="F7219" s="361"/>
      <c r="G7219" s="272"/>
    </row>
    <row r="7220" spans="1:7">
      <c r="A7220" s="285" t="s">
        <v>3764</v>
      </c>
      <c r="B7220" s="250" t="s">
        <v>4432</v>
      </c>
      <c r="C7220" s="252"/>
      <c r="D7220" s="252"/>
      <c r="E7220" s="374"/>
      <c r="F7220" s="361"/>
      <c r="G7220" s="272"/>
    </row>
    <row r="7221" spans="1:7" s="292" customFormat="1" ht="24.95" customHeight="1">
      <c r="A7221" s="290" t="s">
        <v>1003</v>
      </c>
      <c r="B7221" s="290" t="s">
        <v>1004</v>
      </c>
      <c r="C7221" s="290" t="s">
        <v>1005</v>
      </c>
      <c r="D7221" s="290" t="s">
        <v>1006</v>
      </c>
      <c r="E7221" s="373" t="s">
        <v>1007</v>
      </c>
      <c r="F7221" s="363" t="s">
        <v>2637</v>
      </c>
      <c r="G7221" s="353" t="s">
        <v>2638</v>
      </c>
    </row>
    <row r="7222" spans="1:7">
      <c r="A7222" s="294" t="s">
        <v>671</v>
      </c>
      <c r="B7222" s="410" t="s">
        <v>672</v>
      </c>
      <c r="C7222" s="247"/>
      <c r="D7222" s="247"/>
      <c r="E7222" s="372"/>
      <c r="F7222" s="360"/>
      <c r="G7222" s="274"/>
    </row>
    <row r="7223" spans="1:7">
      <c r="A7223" s="294"/>
      <c r="B7223" s="410" t="s">
        <v>673</v>
      </c>
      <c r="C7223" s="247" t="s">
        <v>674</v>
      </c>
      <c r="D7223" s="247" t="s">
        <v>675</v>
      </c>
      <c r="E7223" s="372">
        <v>0.106</v>
      </c>
      <c r="F7223" s="360">
        <f>$F$7205</f>
        <v>110000</v>
      </c>
      <c r="G7223" s="274">
        <f>F7223*E7223</f>
        <v>11660</v>
      </c>
    </row>
    <row r="7224" spans="1:7">
      <c r="A7224" s="294"/>
      <c r="B7224" s="410" t="s">
        <v>1480</v>
      </c>
      <c r="C7224" s="247" t="s">
        <v>678</v>
      </c>
      <c r="D7224" s="247" t="s">
        <v>675</v>
      </c>
      <c r="E7224" s="372">
        <v>5.2999999999999999E-2</v>
      </c>
      <c r="F7224" s="360">
        <f>$F$7206</f>
        <v>140000</v>
      </c>
      <c r="G7224" s="274">
        <f>F7224*E7224</f>
        <v>7420</v>
      </c>
    </row>
    <row r="7225" spans="1:7">
      <c r="A7225" s="294"/>
      <c r="B7225" s="410" t="s">
        <v>751</v>
      </c>
      <c r="C7225" s="247" t="s">
        <v>681</v>
      </c>
      <c r="D7225" s="247" t="s">
        <v>675</v>
      </c>
      <c r="E7225" s="372">
        <v>5.3E-3</v>
      </c>
      <c r="F7225" s="360">
        <f>$F$6666</f>
        <v>150000</v>
      </c>
      <c r="G7225" s="274">
        <f>F7225*E7225</f>
        <v>795</v>
      </c>
    </row>
    <row r="7226" spans="1:7">
      <c r="A7226" s="294"/>
      <c r="B7226" s="410" t="s">
        <v>683</v>
      </c>
      <c r="C7226" s="247" t="s">
        <v>684</v>
      </c>
      <c r="D7226" s="247" t="s">
        <v>675</v>
      </c>
      <c r="E7226" s="372">
        <v>1.0999999999999999E-2</v>
      </c>
      <c r="F7226" s="360">
        <f>$F$7208</f>
        <v>140000</v>
      </c>
      <c r="G7226" s="274">
        <f>F7226*E7226</f>
        <v>1540</v>
      </c>
    </row>
    <row r="7227" spans="1:7">
      <c r="A7227" s="357"/>
      <c r="B7227" s="356"/>
      <c r="C7227" s="356"/>
      <c r="D7227" s="356"/>
      <c r="E7227" s="384" t="s">
        <v>685</v>
      </c>
      <c r="F7227" s="391"/>
      <c r="G7227" s="274">
        <f>SUM(G7223:G7226)</f>
        <v>21415</v>
      </c>
    </row>
    <row r="7228" spans="1:7">
      <c r="A7228" s="294" t="s">
        <v>686</v>
      </c>
      <c r="B7228" s="410" t="s">
        <v>687</v>
      </c>
      <c r="C7228" s="247"/>
      <c r="D7228" s="247"/>
      <c r="E7228" s="372"/>
      <c r="F7228" s="360"/>
      <c r="G7228" s="274"/>
    </row>
    <row r="7229" spans="1:7">
      <c r="A7229" s="294"/>
      <c r="B7229" s="280" t="s">
        <v>3948</v>
      </c>
      <c r="C7229" s="247"/>
      <c r="D7229" s="247" t="s">
        <v>1423</v>
      </c>
      <c r="E7229" s="372">
        <v>1</v>
      </c>
      <c r="F7229" s="360">
        <f>'UPAD-BAHAN-ALAT'!$I$633</f>
        <v>3012360</v>
      </c>
      <c r="G7229" s="274">
        <f>F7229*E7229</f>
        <v>3012360</v>
      </c>
    </row>
    <row r="7230" spans="1:7">
      <c r="A7230" s="294"/>
      <c r="B7230" s="410"/>
      <c r="C7230" s="247"/>
      <c r="D7230" s="247"/>
      <c r="E7230" s="1146" t="s">
        <v>702</v>
      </c>
      <c r="F7230" s="1146"/>
      <c r="G7230" s="274">
        <f>SUM(G7229)</f>
        <v>3012360</v>
      </c>
    </row>
    <row r="7231" spans="1:7">
      <c r="A7231" s="294" t="s">
        <v>703</v>
      </c>
      <c r="B7231" s="410" t="s">
        <v>704</v>
      </c>
      <c r="C7231" s="247"/>
      <c r="D7231" s="247"/>
      <c r="E7231" s="372"/>
      <c r="F7231" s="360"/>
      <c r="G7231" s="274"/>
    </row>
    <row r="7232" spans="1:7">
      <c r="A7232" s="294"/>
      <c r="B7232" s="256" t="s">
        <v>3655</v>
      </c>
      <c r="C7232" s="247"/>
      <c r="D7232" s="257" t="s">
        <v>1011</v>
      </c>
      <c r="E7232" s="375">
        <v>1</v>
      </c>
      <c r="F7232" s="360">
        <v>300000</v>
      </c>
      <c r="G7232" s="274">
        <f>F7232*E7232</f>
        <v>300000</v>
      </c>
    </row>
    <row r="7233" spans="1:7">
      <c r="A7233" s="294"/>
      <c r="B7233" s="410"/>
      <c r="C7233" s="247"/>
      <c r="D7233" s="247"/>
      <c r="E7233" s="1146" t="s">
        <v>705</v>
      </c>
      <c r="F7233" s="1146"/>
      <c r="G7233" s="274">
        <f>SUM(G7232)</f>
        <v>300000</v>
      </c>
    </row>
    <row r="7234" spans="1:7">
      <c r="A7234" s="294" t="s">
        <v>706</v>
      </c>
      <c r="B7234" s="1147" t="s">
        <v>707</v>
      </c>
      <c r="C7234" s="1147"/>
      <c r="D7234" s="1147"/>
      <c r="E7234" s="1147"/>
      <c r="F7234" s="1147"/>
      <c r="G7234" s="273">
        <f>G7227+G7230+G7233</f>
        <v>3333775</v>
      </c>
    </row>
    <row r="7235" spans="1:7">
      <c r="A7235" s="294" t="s">
        <v>708</v>
      </c>
      <c r="B7235" s="1147" t="s">
        <v>709</v>
      </c>
      <c r="C7235" s="1147"/>
      <c r="D7235" s="1147"/>
      <c r="E7235" s="1147" t="s">
        <v>710</v>
      </c>
      <c r="F7235" s="1147"/>
      <c r="G7235" s="255">
        <f>G7234*0.15</f>
        <v>500066.25</v>
      </c>
    </row>
    <row r="7236" spans="1:7">
      <c r="A7236" s="294" t="s">
        <v>711</v>
      </c>
      <c r="B7236" s="1149" t="s">
        <v>712</v>
      </c>
      <c r="C7236" s="1149"/>
      <c r="D7236" s="1149"/>
      <c r="E7236" s="1149"/>
      <c r="F7236" s="1149"/>
      <c r="G7236" s="255">
        <f>ROUND(SUM(G7234:G7235),2)</f>
        <v>3833841.25</v>
      </c>
    </row>
    <row r="7237" spans="1:7">
      <c r="A7237" s="252"/>
      <c r="B7237" s="251"/>
      <c r="C7237" s="252"/>
      <c r="D7237" s="252"/>
      <c r="E7237" s="374"/>
      <c r="F7237" s="361"/>
      <c r="G7237" s="272"/>
    </row>
    <row r="7238" spans="1:7">
      <c r="A7238" s="285" t="s">
        <v>3765</v>
      </c>
      <c r="B7238" s="250" t="s">
        <v>3766</v>
      </c>
      <c r="C7238" s="252"/>
      <c r="D7238" s="252"/>
      <c r="E7238" s="374"/>
      <c r="F7238" s="361"/>
      <c r="G7238" s="272"/>
    </row>
    <row r="7239" spans="1:7" s="292" customFormat="1" ht="24.95" customHeight="1">
      <c r="A7239" s="290" t="s">
        <v>1003</v>
      </c>
      <c r="B7239" s="290" t="s">
        <v>1004</v>
      </c>
      <c r="C7239" s="290" t="s">
        <v>1005</v>
      </c>
      <c r="D7239" s="290" t="s">
        <v>1006</v>
      </c>
      <c r="E7239" s="373" t="s">
        <v>1007</v>
      </c>
      <c r="F7239" s="363" t="s">
        <v>2637</v>
      </c>
      <c r="G7239" s="353" t="s">
        <v>2638</v>
      </c>
    </row>
    <row r="7240" spans="1:7">
      <c r="A7240" s="294" t="s">
        <v>671</v>
      </c>
      <c r="B7240" s="410" t="s">
        <v>672</v>
      </c>
      <c r="C7240" s="247"/>
      <c r="D7240" s="247"/>
      <c r="E7240" s="372"/>
      <c r="F7240" s="360"/>
      <c r="G7240" s="274"/>
    </row>
    <row r="7241" spans="1:7">
      <c r="A7241" s="294"/>
      <c r="B7241" s="410" t="s">
        <v>673</v>
      </c>
      <c r="C7241" s="247" t="s">
        <v>674</v>
      </c>
      <c r="D7241" s="247" t="s">
        <v>675</v>
      </c>
      <c r="E7241" s="372">
        <v>0.106</v>
      </c>
      <c r="F7241" s="360">
        <f>$F$7223</f>
        <v>110000</v>
      </c>
      <c r="G7241" s="274">
        <f>F7241*E7241</f>
        <v>11660</v>
      </c>
    </row>
    <row r="7242" spans="1:7">
      <c r="A7242" s="294"/>
      <c r="B7242" s="410" t="s">
        <v>1480</v>
      </c>
      <c r="C7242" s="247" t="s">
        <v>678</v>
      </c>
      <c r="D7242" s="247" t="s">
        <v>675</v>
      </c>
      <c r="E7242" s="372">
        <v>5.2999999999999999E-2</v>
      </c>
      <c r="F7242" s="360">
        <f>$F$7224</f>
        <v>140000</v>
      </c>
      <c r="G7242" s="274">
        <f>F7242*E7242</f>
        <v>7420</v>
      </c>
    </row>
    <row r="7243" spans="1:7">
      <c r="A7243" s="294"/>
      <c r="B7243" s="410" t="s">
        <v>751</v>
      </c>
      <c r="C7243" s="247" t="s">
        <v>681</v>
      </c>
      <c r="D7243" s="247" t="s">
        <v>675</v>
      </c>
      <c r="E7243" s="372">
        <v>5.3E-3</v>
      </c>
      <c r="F7243" s="360">
        <f>$F$6666</f>
        <v>150000</v>
      </c>
      <c r="G7243" s="274">
        <f>F7243*E7243</f>
        <v>795</v>
      </c>
    </row>
    <row r="7244" spans="1:7">
      <c r="A7244" s="294"/>
      <c r="B7244" s="410" t="s">
        <v>683</v>
      </c>
      <c r="C7244" s="247" t="s">
        <v>684</v>
      </c>
      <c r="D7244" s="247" t="s">
        <v>675</v>
      </c>
      <c r="E7244" s="372">
        <v>1.0999999999999999E-2</v>
      </c>
      <c r="F7244" s="360">
        <f>$F$7226</f>
        <v>140000</v>
      </c>
      <c r="G7244" s="274">
        <f>F7244*E7244</f>
        <v>1540</v>
      </c>
    </row>
    <row r="7245" spans="1:7">
      <c r="A7245" s="357"/>
      <c r="B7245" s="356"/>
      <c r="C7245" s="356"/>
      <c r="D7245" s="356"/>
      <c r="E7245" s="384" t="s">
        <v>685</v>
      </c>
      <c r="F7245" s="391"/>
      <c r="G7245" s="274">
        <f>SUM(G7241:G7244)</f>
        <v>21415</v>
      </c>
    </row>
    <row r="7246" spans="1:7">
      <c r="A7246" s="294" t="s">
        <v>686</v>
      </c>
      <c r="B7246" s="410" t="s">
        <v>687</v>
      </c>
      <c r="C7246" s="247"/>
      <c r="D7246" s="247"/>
      <c r="E7246" s="372"/>
      <c r="F7246" s="360"/>
      <c r="G7246" s="274"/>
    </row>
    <row r="7247" spans="1:7">
      <c r="A7247" s="294"/>
      <c r="B7247" s="410" t="s">
        <v>3767</v>
      </c>
      <c r="C7247" s="247"/>
      <c r="D7247" s="247" t="s">
        <v>1423</v>
      </c>
      <c r="E7247" s="372">
        <v>1</v>
      </c>
      <c r="F7247" s="360">
        <f>'UPAD-BAHAN-ALAT'!$I$641</f>
        <v>195000</v>
      </c>
      <c r="G7247" s="274">
        <f>F7247*E7247</f>
        <v>195000</v>
      </c>
    </row>
    <row r="7248" spans="1:7">
      <c r="A7248" s="294"/>
      <c r="B7248" s="410"/>
      <c r="C7248" s="247"/>
      <c r="D7248" s="247"/>
      <c r="E7248" s="1146" t="s">
        <v>702</v>
      </c>
      <c r="F7248" s="1146"/>
      <c r="G7248" s="274">
        <f>SUM(G7247)</f>
        <v>195000</v>
      </c>
    </row>
    <row r="7249" spans="1:7">
      <c r="A7249" s="294" t="s">
        <v>703</v>
      </c>
      <c r="B7249" s="410" t="s">
        <v>704</v>
      </c>
      <c r="C7249" s="247"/>
      <c r="D7249" s="247"/>
      <c r="E7249" s="372"/>
      <c r="F7249" s="360"/>
      <c r="G7249" s="274"/>
    </row>
    <row r="7250" spans="1:7">
      <c r="A7250" s="294"/>
      <c r="B7250" s="256" t="s">
        <v>3655</v>
      </c>
      <c r="C7250" s="247"/>
      <c r="D7250" s="257" t="s">
        <v>1011</v>
      </c>
      <c r="E7250" s="375">
        <v>1</v>
      </c>
      <c r="F7250" s="360">
        <v>10000</v>
      </c>
      <c r="G7250" s="274">
        <f>F7250*E7250</f>
        <v>10000</v>
      </c>
    </row>
    <row r="7251" spans="1:7">
      <c r="A7251" s="294"/>
      <c r="B7251" s="410"/>
      <c r="C7251" s="247"/>
      <c r="D7251" s="247"/>
      <c r="E7251" s="1146" t="s">
        <v>705</v>
      </c>
      <c r="F7251" s="1146"/>
      <c r="G7251" s="274">
        <f>SUM(G7250)</f>
        <v>10000</v>
      </c>
    </row>
    <row r="7252" spans="1:7">
      <c r="A7252" s="294" t="s">
        <v>706</v>
      </c>
      <c r="B7252" s="1147" t="s">
        <v>707</v>
      </c>
      <c r="C7252" s="1147"/>
      <c r="D7252" s="1147"/>
      <c r="E7252" s="1147"/>
      <c r="F7252" s="1147"/>
      <c r="G7252" s="273">
        <f>G7245+G7248+G7251</f>
        <v>226415</v>
      </c>
    </row>
    <row r="7253" spans="1:7">
      <c r="A7253" s="294" t="s">
        <v>708</v>
      </c>
      <c r="B7253" s="1147" t="s">
        <v>709</v>
      </c>
      <c r="C7253" s="1147"/>
      <c r="D7253" s="1147"/>
      <c r="E7253" s="1147" t="s">
        <v>710</v>
      </c>
      <c r="F7253" s="1147"/>
      <c r="G7253" s="255">
        <f>G7252*0.15</f>
        <v>33962.25</v>
      </c>
    </row>
    <row r="7254" spans="1:7">
      <c r="A7254" s="294" t="s">
        <v>711</v>
      </c>
      <c r="B7254" s="1149" t="s">
        <v>712</v>
      </c>
      <c r="C7254" s="1149"/>
      <c r="D7254" s="1149"/>
      <c r="E7254" s="1149"/>
      <c r="F7254" s="1149"/>
      <c r="G7254" s="255">
        <f>ROUND(SUM(G7252:G7253),2)</f>
        <v>260377.25</v>
      </c>
    </row>
    <row r="7255" spans="1:7">
      <c r="A7255" s="252"/>
      <c r="B7255" s="251"/>
      <c r="C7255" s="252"/>
      <c r="D7255" s="252"/>
      <c r="E7255" s="374"/>
      <c r="F7255" s="361"/>
      <c r="G7255" s="272"/>
    </row>
    <row r="7256" spans="1:7">
      <c r="A7256" s="285" t="s">
        <v>4433</v>
      </c>
      <c r="B7256" s="250" t="s">
        <v>3768</v>
      </c>
      <c r="C7256" s="252"/>
      <c r="D7256" s="252"/>
      <c r="E7256" s="374"/>
      <c r="F7256" s="361"/>
      <c r="G7256" s="272"/>
    </row>
    <row r="7257" spans="1:7" s="292" customFormat="1" ht="24.95" customHeight="1">
      <c r="A7257" s="290" t="s">
        <v>1003</v>
      </c>
      <c r="B7257" s="290" t="s">
        <v>1004</v>
      </c>
      <c r="C7257" s="290" t="s">
        <v>1005</v>
      </c>
      <c r="D7257" s="290" t="s">
        <v>1006</v>
      </c>
      <c r="E7257" s="373" t="s">
        <v>1007</v>
      </c>
      <c r="F7257" s="363" t="s">
        <v>2637</v>
      </c>
      <c r="G7257" s="353" t="s">
        <v>2638</v>
      </c>
    </row>
    <row r="7258" spans="1:7">
      <c r="A7258" s="294" t="s">
        <v>671</v>
      </c>
      <c r="B7258" s="410" t="s">
        <v>672</v>
      </c>
      <c r="C7258" s="247"/>
      <c r="D7258" s="247"/>
      <c r="E7258" s="372"/>
      <c r="F7258" s="360"/>
      <c r="G7258" s="274"/>
    </row>
    <row r="7259" spans="1:7">
      <c r="A7259" s="294"/>
      <c r="B7259" s="410" t="s">
        <v>673</v>
      </c>
      <c r="C7259" s="247" t="s">
        <v>674</v>
      </c>
      <c r="D7259" s="247" t="s">
        <v>675</v>
      </c>
      <c r="E7259" s="372">
        <v>0.106</v>
      </c>
      <c r="F7259" s="360">
        <f>F7241</f>
        <v>110000</v>
      </c>
      <c r="G7259" s="274">
        <f>F7259*E7259</f>
        <v>11660</v>
      </c>
    </row>
    <row r="7260" spans="1:7">
      <c r="A7260" s="294"/>
      <c r="B7260" s="410" t="s">
        <v>1480</v>
      </c>
      <c r="C7260" s="247" t="s">
        <v>678</v>
      </c>
      <c r="D7260" s="247" t="s">
        <v>675</v>
      </c>
      <c r="E7260" s="372">
        <v>5.2999999999999999E-2</v>
      </c>
      <c r="F7260" s="360">
        <f>F7242</f>
        <v>140000</v>
      </c>
      <c r="G7260" s="274">
        <f>F7260*E7260</f>
        <v>7420</v>
      </c>
    </row>
    <row r="7261" spans="1:7">
      <c r="A7261" s="294"/>
      <c r="B7261" s="410" t="s">
        <v>751</v>
      </c>
      <c r="C7261" s="247" t="s">
        <v>681</v>
      </c>
      <c r="D7261" s="247" t="s">
        <v>675</v>
      </c>
      <c r="E7261" s="372">
        <v>5.3E-3</v>
      </c>
      <c r="F7261" s="360">
        <f>$F$6666</f>
        <v>150000</v>
      </c>
      <c r="G7261" s="274">
        <f>F7261*E7261</f>
        <v>795</v>
      </c>
    </row>
    <row r="7262" spans="1:7">
      <c r="A7262" s="294"/>
      <c r="B7262" s="410" t="s">
        <v>683</v>
      </c>
      <c r="C7262" s="247" t="s">
        <v>684</v>
      </c>
      <c r="D7262" s="247" t="s">
        <v>675</v>
      </c>
      <c r="E7262" s="372">
        <v>1.0999999999999999E-2</v>
      </c>
      <c r="F7262" s="360">
        <f>F7244</f>
        <v>140000</v>
      </c>
      <c r="G7262" s="274">
        <f>F7262*E7262</f>
        <v>1540</v>
      </c>
    </row>
    <row r="7263" spans="1:7">
      <c r="A7263" s="357"/>
      <c r="B7263" s="356"/>
      <c r="C7263" s="356"/>
      <c r="D7263" s="356"/>
      <c r="E7263" s="384" t="s">
        <v>685</v>
      </c>
      <c r="F7263" s="391"/>
      <c r="G7263" s="274">
        <f>SUM(G7259:G7262)</f>
        <v>21415</v>
      </c>
    </row>
    <row r="7264" spans="1:7">
      <c r="A7264" s="294" t="s">
        <v>686</v>
      </c>
      <c r="B7264" s="410" t="s">
        <v>687</v>
      </c>
      <c r="C7264" s="247"/>
      <c r="D7264" s="247"/>
      <c r="E7264" s="372"/>
      <c r="F7264" s="360"/>
      <c r="G7264" s="274"/>
    </row>
    <row r="7265" spans="1:7">
      <c r="A7265" s="294"/>
      <c r="B7265" s="280" t="s">
        <v>3345</v>
      </c>
      <c r="C7265" s="247"/>
      <c r="D7265" s="247" t="s">
        <v>1423</v>
      </c>
      <c r="E7265" s="372">
        <v>1</v>
      </c>
      <c r="F7265" s="360">
        <f>'UPAD-BAHAN-ALAT'!$I$642</f>
        <v>327600</v>
      </c>
      <c r="G7265" s="274">
        <f>F7265*E7265</f>
        <v>327600</v>
      </c>
    </row>
    <row r="7266" spans="1:7">
      <c r="A7266" s="294"/>
      <c r="B7266" s="410"/>
      <c r="C7266" s="247"/>
      <c r="D7266" s="247"/>
      <c r="E7266" s="1146" t="s">
        <v>702</v>
      </c>
      <c r="F7266" s="1146"/>
      <c r="G7266" s="274">
        <f>SUM(G7265)</f>
        <v>327600</v>
      </c>
    </row>
    <row r="7267" spans="1:7">
      <c r="A7267" s="294" t="s">
        <v>703</v>
      </c>
      <c r="B7267" s="410" t="s">
        <v>704</v>
      </c>
      <c r="C7267" s="247"/>
      <c r="D7267" s="247"/>
      <c r="E7267" s="372"/>
      <c r="F7267" s="360"/>
      <c r="G7267" s="274"/>
    </row>
    <row r="7268" spans="1:7">
      <c r="A7268" s="294"/>
      <c r="B7268" s="256" t="s">
        <v>3655</v>
      </c>
      <c r="C7268" s="247"/>
      <c r="D7268" s="257" t="s">
        <v>1011</v>
      </c>
      <c r="E7268" s="375">
        <v>1</v>
      </c>
      <c r="F7268" s="360">
        <v>10000</v>
      </c>
      <c r="G7268" s="274">
        <f>F7268*E7268</f>
        <v>10000</v>
      </c>
    </row>
    <row r="7269" spans="1:7">
      <c r="A7269" s="294"/>
      <c r="B7269" s="410"/>
      <c r="C7269" s="247"/>
      <c r="D7269" s="247"/>
      <c r="E7269" s="1146" t="s">
        <v>705</v>
      </c>
      <c r="F7269" s="1146"/>
      <c r="G7269" s="274">
        <f>SUM(G7268)</f>
        <v>10000</v>
      </c>
    </row>
    <row r="7270" spans="1:7">
      <c r="A7270" s="294" t="s">
        <v>706</v>
      </c>
      <c r="B7270" s="1147" t="s">
        <v>707</v>
      </c>
      <c r="C7270" s="1147"/>
      <c r="D7270" s="1147"/>
      <c r="E7270" s="1147"/>
      <c r="F7270" s="1147"/>
      <c r="G7270" s="273">
        <f>G7263+G7266+G7269</f>
        <v>359015</v>
      </c>
    </row>
    <row r="7271" spans="1:7">
      <c r="A7271" s="294" t="s">
        <v>708</v>
      </c>
      <c r="B7271" s="1147" t="s">
        <v>709</v>
      </c>
      <c r="C7271" s="1147"/>
      <c r="D7271" s="1147"/>
      <c r="E7271" s="1147" t="s">
        <v>710</v>
      </c>
      <c r="F7271" s="1147"/>
      <c r="G7271" s="255">
        <f>G7270*0.15</f>
        <v>53852.25</v>
      </c>
    </row>
    <row r="7272" spans="1:7">
      <c r="A7272" s="294" t="s">
        <v>711</v>
      </c>
      <c r="B7272" s="1149" t="s">
        <v>712</v>
      </c>
      <c r="C7272" s="1149"/>
      <c r="D7272" s="1149"/>
      <c r="E7272" s="1149"/>
      <c r="F7272" s="1149"/>
      <c r="G7272" s="255">
        <f>ROUND(SUM(G7270:G7271),2)</f>
        <v>412867.25</v>
      </c>
    </row>
    <row r="7273" spans="1:7">
      <c r="A7273" s="252"/>
      <c r="B7273" s="251"/>
      <c r="C7273" s="252"/>
      <c r="D7273" s="252"/>
      <c r="E7273" s="374"/>
      <c r="F7273" s="361"/>
      <c r="G7273" s="272"/>
    </row>
    <row r="7274" spans="1:7">
      <c r="A7274" s="285" t="s">
        <v>3769</v>
      </c>
      <c r="B7274" s="263" t="s">
        <v>4434</v>
      </c>
      <c r="C7274" s="276"/>
      <c r="D7274" s="276"/>
      <c r="E7274" s="383"/>
      <c r="G7274" s="277"/>
    </row>
    <row r="7275" spans="1:7" s="292" customFormat="1" ht="24.95" customHeight="1">
      <c r="A7275" s="290" t="s">
        <v>1003</v>
      </c>
      <c r="B7275" s="290" t="s">
        <v>1004</v>
      </c>
      <c r="C7275" s="290" t="s">
        <v>1005</v>
      </c>
      <c r="D7275" s="290" t="s">
        <v>1006</v>
      </c>
      <c r="E7275" s="373" t="s">
        <v>1007</v>
      </c>
      <c r="F7275" s="363" t="s">
        <v>2637</v>
      </c>
      <c r="G7275" s="353" t="s">
        <v>2638</v>
      </c>
    </row>
    <row r="7276" spans="1:7">
      <c r="A7276" s="294" t="s">
        <v>671</v>
      </c>
      <c r="B7276" s="410" t="s">
        <v>672</v>
      </c>
      <c r="C7276" s="247"/>
      <c r="D7276" s="247"/>
      <c r="E7276" s="372"/>
      <c r="F7276" s="360"/>
      <c r="G7276" s="274"/>
    </row>
    <row r="7277" spans="1:7">
      <c r="A7277" s="294"/>
      <c r="B7277" s="410" t="s">
        <v>673</v>
      </c>
      <c r="C7277" s="247" t="s">
        <v>674</v>
      </c>
      <c r="D7277" s="247" t="s">
        <v>675</v>
      </c>
      <c r="E7277" s="372">
        <v>1.429</v>
      </c>
      <c r="F7277" s="360">
        <f>$F$7259</f>
        <v>110000</v>
      </c>
      <c r="G7277" s="274">
        <f>F7277*E7277</f>
        <v>157190</v>
      </c>
    </row>
    <row r="7278" spans="1:7">
      <c r="A7278" s="294"/>
      <c r="B7278" s="410" t="s">
        <v>1480</v>
      </c>
      <c r="C7278" s="247" t="s">
        <v>678</v>
      </c>
      <c r="D7278" s="247" t="s">
        <v>675</v>
      </c>
      <c r="E7278" s="372">
        <v>0.71499999999999997</v>
      </c>
      <c r="F7278" s="360">
        <f>$F$7260</f>
        <v>140000</v>
      </c>
      <c r="G7278" s="274">
        <f>F7278*E7278</f>
        <v>100100</v>
      </c>
    </row>
    <row r="7279" spans="1:7">
      <c r="A7279" s="294"/>
      <c r="B7279" s="410" t="s">
        <v>751</v>
      </c>
      <c r="C7279" s="247" t="s">
        <v>681</v>
      </c>
      <c r="D7279" s="247" t="s">
        <v>675</v>
      </c>
      <c r="E7279" s="372">
        <v>7.1499999999999994E-2</v>
      </c>
      <c r="F7279" s="360">
        <f>$F$6666</f>
        <v>150000</v>
      </c>
      <c r="G7279" s="274">
        <f>F7279*E7279</f>
        <v>10725</v>
      </c>
    </row>
    <row r="7280" spans="1:7">
      <c r="A7280" s="294"/>
      <c r="B7280" s="410" t="s">
        <v>683</v>
      </c>
      <c r="C7280" s="247" t="s">
        <v>684</v>
      </c>
      <c r="D7280" s="247" t="s">
        <v>675</v>
      </c>
      <c r="E7280" s="372">
        <v>0.14299999999999999</v>
      </c>
      <c r="F7280" s="360">
        <f>$F$7262</f>
        <v>140000</v>
      </c>
      <c r="G7280" s="274">
        <f>F7280*E7280</f>
        <v>20020</v>
      </c>
    </row>
    <row r="7281" spans="1:7">
      <c r="A7281" s="357"/>
      <c r="B7281" s="356"/>
      <c r="C7281" s="356"/>
      <c r="D7281" s="356"/>
      <c r="E7281" s="384" t="s">
        <v>685</v>
      </c>
      <c r="F7281" s="391"/>
      <c r="G7281" s="274">
        <f>SUM(G7277:G7280)</f>
        <v>288035</v>
      </c>
    </row>
    <row r="7282" spans="1:7">
      <c r="A7282" s="294" t="s">
        <v>686</v>
      </c>
      <c r="B7282" s="410" t="s">
        <v>687</v>
      </c>
      <c r="C7282" s="247"/>
      <c r="D7282" s="247"/>
      <c r="E7282" s="372"/>
      <c r="F7282" s="360"/>
      <c r="G7282" s="274"/>
    </row>
    <row r="7283" spans="1:7">
      <c r="A7283" s="294"/>
      <c r="B7283" s="410" t="s">
        <v>3770</v>
      </c>
      <c r="C7283" s="247"/>
      <c r="D7283" s="247" t="s">
        <v>1423</v>
      </c>
      <c r="E7283" s="372">
        <v>1</v>
      </c>
      <c r="F7283" s="360">
        <f>'UPAD-BAHAN-ALAT'!$I$654</f>
        <v>2787840</v>
      </c>
      <c r="G7283" s="274">
        <f>F7283*E7283</f>
        <v>2787840</v>
      </c>
    </row>
    <row r="7284" spans="1:7">
      <c r="A7284" s="294"/>
      <c r="B7284" s="410"/>
      <c r="C7284" s="247"/>
      <c r="D7284" s="247"/>
      <c r="E7284" s="1146" t="s">
        <v>702</v>
      </c>
      <c r="F7284" s="1146"/>
      <c r="G7284" s="274">
        <f>SUM(G7283:G7283)</f>
        <v>2787840</v>
      </c>
    </row>
    <row r="7285" spans="1:7">
      <c r="A7285" s="294" t="s">
        <v>703</v>
      </c>
      <c r="B7285" s="410" t="s">
        <v>704</v>
      </c>
      <c r="C7285" s="247"/>
      <c r="D7285" s="247"/>
      <c r="E7285" s="372"/>
      <c r="F7285" s="360"/>
      <c r="G7285" s="274"/>
    </row>
    <row r="7286" spans="1:7">
      <c r="A7286" s="294"/>
      <c r="B7286" s="256" t="s">
        <v>3655</v>
      </c>
      <c r="C7286" s="247"/>
      <c r="D7286" s="257" t="s">
        <v>1011</v>
      </c>
      <c r="E7286" s="375">
        <v>1</v>
      </c>
      <c r="F7286" s="360">
        <v>50000</v>
      </c>
      <c r="G7286" s="274">
        <f>F7286*E7286</f>
        <v>50000</v>
      </c>
    </row>
    <row r="7287" spans="1:7">
      <c r="A7287" s="294"/>
      <c r="B7287" s="410"/>
      <c r="C7287" s="247"/>
      <c r="D7287" s="247"/>
      <c r="E7287" s="1146" t="s">
        <v>705</v>
      </c>
      <c r="F7287" s="1146"/>
      <c r="G7287" s="274">
        <f>SUM(G7286)</f>
        <v>50000</v>
      </c>
    </row>
    <row r="7288" spans="1:7">
      <c r="A7288" s="294" t="s">
        <v>706</v>
      </c>
      <c r="B7288" s="1147" t="s">
        <v>707</v>
      </c>
      <c r="C7288" s="1147"/>
      <c r="D7288" s="1147"/>
      <c r="E7288" s="1147"/>
      <c r="F7288" s="1147"/>
      <c r="G7288" s="273">
        <f>G7281+G7284+G7287</f>
        <v>3125875</v>
      </c>
    </row>
    <row r="7289" spans="1:7">
      <c r="A7289" s="294" t="s">
        <v>708</v>
      </c>
      <c r="B7289" s="1147" t="s">
        <v>709</v>
      </c>
      <c r="C7289" s="1147"/>
      <c r="D7289" s="1147"/>
      <c r="E7289" s="1147" t="s">
        <v>710</v>
      </c>
      <c r="F7289" s="1147"/>
      <c r="G7289" s="255">
        <f>G7288*0.15</f>
        <v>468881.25</v>
      </c>
    </row>
    <row r="7290" spans="1:7">
      <c r="A7290" s="294" t="s">
        <v>711</v>
      </c>
      <c r="B7290" s="1149" t="s">
        <v>712</v>
      </c>
      <c r="C7290" s="1149"/>
      <c r="D7290" s="1149"/>
      <c r="E7290" s="1149"/>
      <c r="F7290" s="1149"/>
      <c r="G7290" s="255">
        <f>ROUND(SUM(G7288:G7289),2)</f>
        <v>3594756.25</v>
      </c>
    </row>
    <row r="7291" spans="1:7">
      <c r="A7291" s="252"/>
      <c r="B7291" s="251"/>
      <c r="C7291" s="252"/>
      <c r="D7291" s="252"/>
      <c r="E7291" s="374"/>
      <c r="F7291" s="361"/>
      <c r="G7291" s="272"/>
    </row>
    <row r="7292" spans="1:7">
      <c r="A7292" s="285" t="s">
        <v>3771</v>
      </c>
      <c r="B7292" s="263" t="s">
        <v>4435</v>
      </c>
      <c r="C7292" s="276"/>
      <c r="D7292" s="276"/>
      <c r="E7292" s="383"/>
      <c r="G7292" s="277"/>
    </row>
    <row r="7293" spans="1:7" s="292" customFormat="1" ht="24.95" customHeight="1">
      <c r="A7293" s="290" t="s">
        <v>1003</v>
      </c>
      <c r="B7293" s="290" t="s">
        <v>1004</v>
      </c>
      <c r="C7293" s="290" t="s">
        <v>1005</v>
      </c>
      <c r="D7293" s="290" t="s">
        <v>1006</v>
      </c>
      <c r="E7293" s="373" t="s">
        <v>1007</v>
      </c>
      <c r="F7293" s="363" t="s">
        <v>2637</v>
      </c>
      <c r="G7293" s="353" t="s">
        <v>2638</v>
      </c>
    </row>
    <row r="7294" spans="1:7">
      <c r="A7294" s="294" t="s">
        <v>671</v>
      </c>
      <c r="B7294" s="410" t="s">
        <v>672</v>
      </c>
      <c r="C7294" s="247"/>
      <c r="D7294" s="247"/>
      <c r="E7294" s="372"/>
      <c r="F7294" s="360"/>
      <c r="G7294" s="274"/>
    </row>
    <row r="7295" spans="1:7">
      <c r="A7295" s="294"/>
      <c r="B7295" s="410" t="s">
        <v>673</v>
      </c>
      <c r="C7295" s="247" t="s">
        <v>674</v>
      </c>
      <c r="D7295" s="247" t="s">
        <v>675</v>
      </c>
      <c r="E7295" s="372">
        <v>1.429</v>
      </c>
      <c r="F7295" s="360">
        <f>$F$7277</f>
        <v>110000</v>
      </c>
      <c r="G7295" s="274">
        <f>F7295*E7295</f>
        <v>157190</v>
      </c>
    </row>
    <row r="7296" spans="1:7">
      <c r="A7296" s="294"/>
      <c r="B7296" s="410" t="s">
        <v>1480</v>
      </c>
      <c r="C7296" s="247" t="s">
        <v>678</v>
      </c>
      <c r="D7296" s="247" t="s">
        <v>675</v>
      </c>
      <c r="E7296" s="372">
        <v>0.71499999999999997</v>
      </c>
      <c r="F7296" s="360">
        <f>$F$7278</f>
        <v>140000</v>
      </c>
      <c r="G7296" s="274">
        <f>F7296*E7296</f>
        <v>100100</v>
      </c>
    </row>
    <row r="7297" spans="1:7">
      <c r="A7297" s="294"/>
      <c r="B7297" s="410" t="s">
        <v>751</v>
      </c>
      <c r="C7297" s="247" t="s">
        <v>681</v>
      </c>
      <c r="D7297" s="247" t="s">
        <v>675</v>
      </c>
      <c r="E7297" s="372">
        <v>7.1499999999999994E-2</v>
      </c>
      <c r="F7297" s="360">
        <f>$F$6666</f>
        <v>150000</v>
      </c>
      <c r="G7297" s="274">
        <f>F7297*E7297</f>
        <v>10725</v>
      </c>
    </row>
    <row r="7298" spans="1:7">
      <c r="A7298" s="294"/>
      <c r="B7298" s="410" t="s">
        <v>683</v>
      </c>
      <c r="C7298" s="247" t="s">
        <v>684</v>
      </c>
      <c r="D7298" s="247" t="s">
        <v>675</v>
      </c>
      <c r="E7298" s="372">
        <v>0.14299999999999999</v>
      </c>
      <c r="F7298" s="360">
        <f>$F$7280</f>
        <v>140000</v>
      </c>
      <c r="G7298" s="274">
        <f>F7298*E7298</f>
        <v>20020</v>
      </c>
    </row>
    <row r="7299" spans="1:7">
      <c r="A7299" s="357"/>
      <c r="B7299" s="356"/>
      <c r="C7299" s="356"/>
      <c r="D7299" s="356"/>
      <c r="E7299" s="384" t="s">
        <v>685</v>
      </c>
      <c r="F7299" s="391"/>
      <c r="G7299" s="274">
        <f>SUM(G7295:G7298)</f>
        <v>288035</v>
      </c>
    </row>
    <row r="7300" spans="1:7">
      <c r="A7300" s="294" t="s">
        <v>686</v>
      </c>
      <c r="B7300" s="410" t="s">
        <v>687</v>
      </c>
      <c r="C7300" s="247"/>
      <c r="D7300" s="247"/>
      <c r="E7300" s="372"/>
      <c r="F7300" s="360"/>
      <c r="G7300" s="274"/>
    </row>
    <row r="7301" spans="1:7">
      <c r="A7301" s="294"/>
      <c r="B7301" s="410" t="s">
        <v>3772</v>
      </c>
      <c r="C7301" s="247"/>
      <c r="D7301" s="247" t="s">
        <v>1423</v>
      </c>
      <c r="E7301" s="372">
        <v>1</v>
      </c>
      <c r="F7301" s="360">
        <f>'UPAD-BAHAN-ALAT'!$I$653</f>
        <v>2880000</v>
      </c>
      <c r="G7301" s="274">
        <f>F7301*E7301</f>
        <v>2880000</v>
      </c>
    </row>
    <row r="7302" spans="1:7">
      <c r="A7302" s="294"/>
      <c r="B7302" s="410"/>
      <c r="C7302" s="247"/>
      <c r="D7302" s="247"/>
      <c r="E7302" s="1146" t="s">
        <v>702</v>
      </c>
      <c r="F7302" s="1146"/>
      <c r="G7302" s="274">
        <f>SUM(G7301:G7301)</f>
        <v>2880000</v>
      </c>
    </row>
    <row r="7303" spans="1:7">
      <c r="A7303" s="294" t="s">
        <v>703</v>
      </c>
      <c r="B7303" s="410" t="s">
        <v>704</v>
      </c>
      <c r="C7303" s="247"/>
      <c r="D7303" s="247"/>
      <c r="E7303" s="372"/>
      <c r="F7303" s="360"/>
      <c r="G7303" s="274"/>
    </row>
    <row r="7304" spans="1:7">
      <c r="A7304" s="294"/>
      <c r="B7304" s="256" t="s">
        <v>3655</v>
      </c>
      <c r="C7304" s="247"/>
      <c r="D7304" s="257" t="s">
        <v>1011</v>
      </c>
      <c r="E7304" s="375">
        <v>1</v>
      </c>
      <c r="F7304" s="360">
        <v>100000</v>
      </c>
      <c r="G7304" s="274">
        <f>F7304*E7304</f>
        <v>100000</v>
      </c>
    </row>
    <row r="7305" spans="1:7">
      <c r="A7305" s="294"/>
      <c r="B7305" s="410"/>
      <c r="C7305" s="247"/>
      <c r="D7305" s="247"/>
      <c r="E7305" s="1146" t="s">
        <v>705</v>
      </c>
      <c r="F7305" s="1146"/>
      <c r="G7305" s="274">
        <f>SUM(G7304)</f>
        <v>100000</v>
      </c>
    </row>
    <row r="7306" spans="1:7">
      <c r="A7306" s="294" t="s">
        <v>706</v>
      </c>
      <c r="B7306" s="1147" t="s">
        <v>707</v>
      </c>
      <c r="C7306" s="1147"/>
      <c r="D7306" s="1147"/>
      <c r="E7306" s="1147"/>
      <c r="F7306" s="1147"/>
      <c r="G7306" s="273">
        <f>G7299+G7302+G7305</f>
        <v>3268035</v>
      </c>
    </row>
    <row r="7307" spans="1:7">
      <c r="A7307" s="294" t="s">
        <v>708</v>
      </c>
      <c r="B7307" s="1147" t="s">
        <v>709</v>
      </c>
      <c r="C7307" s="1147"/>
      <c r="D7307" s="1147"/>
      <c r="E7307" s="1147" t="s">
        <v>710</v>
      </c>
      <c r="F7307" s="1147"/>
      <c r="G7307" s="255">
        <f>G7306*0.15</f>
        <v>490205.25</v>
      </c>
    </row>
    <row r="7308" spans="1:7">
      <c r="A7308" s="294" t="s">
        <v>711</v>
      </c>
      <c r="B7308" s="1149" t="s">
        <v>712</v>
      </c>
      <c r="C7308" s="1149"/>
      <c r="D7308" s="1149"/>
      <c r="E7308" s="1149"/>
      <c r="F7308" s="1149"/>
      <c r="G7308" s="255">
        <f>ROUND(SUM(G7306:G7307),2)</f>
        <v>3758240.25</v>
      </c>
    </row>
    <row r="7309" spans="1:7">
      <c r="A7309" s="252"/>
      <c r="B7309" s="251"/>
      <c r="C7309" s="252"/>
      <c r="D7309" s="252"/>
      <c r="E7309" s="374"/>
      <c r="F7309" s="361"/>
      <c r="G7309" s="272"/>
    </row>
    <row r="7310" spans="1:7">
      <c r="A7310" s="285" t="s">
        <v>3773</v>
      </c>
      <c r="B7310" s="263" t="s">
        <v>4436</v>
      </c>
      <c r="C7310" s="276"/>
      <c r="D7310" s="276"/>
      <c r="E7310" s="383"/>
      <c r="G7310" s="277"/>
    </row>
    <row r="7311" spans="1:7" s="292" customFormat="1" ht="24.95" customHeight="1">
      <c r="A7311" s="290" t="s">
        <v>1003</v>
      </c>
      <c r="B7311" s="290" t="s">
        <v>1004</v>
      </c>
      <c r="C7311" s="290" t="s">
        <v>1005</v>
      </c>
      <c r="D7311" s="290" t="s">
        <v>1006</v>
      </c>
      <c r="E7311" s="373" t="s">
        <v>1007</v>
      </c>
      <c r="F7311" s="363" t="s">
        <v>2637</v>
      </c>
      <c r="G7311" s="353" t="s">
        <v>2638</v>
      </c>
    </row>
    <row r="7312" spans="1:7">
      <c r="A7312" s="294" t="s">
        <v>671</v>
      </c>
      <c r="B7312" s="410" t="s">
        <v>672</v>
      </c>
      <c r="C7312" s="247"/>
      <c r="D7312" s="247"/>
      <c r="E7312" s="372"/>
      <c r="F7312" s="360"/>
      <c r="G7312" s="274"/>
    </row>
    <row r="7313" spans="1:7">
      <c r="A7313" s="294"/>
      <c r="B7313" s="410" t="s">
        <v>673</v>
      </c>
      <c r="C7313" s="247" t="s">
        <v>674</v>
      </c>
      <c r="D7313" s="247" t="s">
        <v>675</v>
      </c>
      <c r="E7313" s="372">
        <v>1.429</v>
      </c>
      <c r="F7313" s="360">
        <f>$F$7295</f>
        <v>110000</v>
      </c>
      <c r="G7313" s="274">
        <f>F7313*E7313</f>
        <v>157190</v>
      </c>
    </row>
    <row r="7314" spans="1:7">
      <c r="A7314" s="294"/>
      <c r="B7314" s="410" t="s">
        <v>1480</v>
      </c>
      <c r="C7314" s="247" t="s">
        <v>678</v>
      </c>
      <c r="D7314" s="247" t="s">
        <v>675</v>
      </c>
      <c r="E7314" s="372">
        <v>0.71499999999999997</v>
      </c>
      <c r="F7314" s="360">
        <f>$F$7296</f>
        <v>140000</v>
      </c>
      <c r="G7314" s="274">
        <f>F7314*E7314</f>
        <v>100100</v>
      </c>
    </row>
    <row r="7315" spans="1:7">
      <c r="A7315" s="294"/>
      <c r="B7315" s="410" t="s">
        <v>751</v>
      </c>
      <c r="C7315" s="247" t="s">
        <v>681</v>
      </c>
      <c r="D7315" s="247" t="s">
        <v>675</v>
      </c>
      <c r="E7315" s="372">
        <v>7.1499999999999994E-2</v>
      </c>
      <c r="F7315" s="360">
        <f>$F$6666</f>
        <v>150000</v>
      </c>
      <c r="G7315" s="274">
        <f>F7315*E7315</f>
        <v>10725</v>
      </c>
    </row>
    <row r="7316" spans="1:7">
      <c r="A7316" s="294"/>
      <c r="B7316" s="410" t="s">
        <v>683</v>
      </c>
      <c r="C7316" s="247" t="s">
        <v>684</v>
      </c>
      <c r="D7316" s="247" t="s">
        <v>675</v>
      </c>
      <c r="E7316" s="372">
        <v>0.14299999999999999</v>
      </c>
      <c r="F7316" s="360">
        <f>$F$7298</f>
        <v>140000</v>
      </c>
      <c r="G7316" s="274">
        <f>F7316*E7316</f>
        <v>20020</v>
      </c>
    </row>
    <row r="7317" spans="1:7">
      <c r="A7317" s="357"/>
      <c r="B7317" s="356"/>
      <c r="C7317" s="356"/>
      <c r="D7317" s="356"/>
      <c r="E7317" s="384" t="s">
        <v>685</v>
      </c>
      <c r="F7317" s="391"/>
      <c r="G7317" s="274">
        <f>SUM(G7313:G7316)</f>
        <v>288035</v>
      </c>
    </row>
    <row r="7318" spans="1:7">
      <c r="A7318" s="294" t="s">
        <v>686</v>
      </c>
      <c r="B7318" s="410" t="s">
        <v>687</v>
      </c>
      <c r="C7318" s="247"/>
      <c r="D7318" s="247"/>
      <c r="E7318" s="372"/>
      <c r="F7318" s="360"/>
      <c r="G7318" s="274"/>
    </row>
    <row r="7319" spans="1:7">
      <c r="A7319" s="294"/>
      <c r="B7319" s="410" t="s">
        <v>3774</v>
      </c>
      <c r="C7319" s="247"/>
      <c r="D7319" s="247" t="s">
        <v>1423</v>
      </c>
      <c r="E7319" s="372">
        <v>1</v>
      </c>
      <c r="F7319" s="360">
        <f>'UPAD-BAHAN-ALAT'!$I$652</f>
        <v>4356000</v>
      </c>
      <c r="G7319" s="274">
        <f>F7319*E7319</f>
        <v>4356000</v>
      </c>
    </row>
    <row r="7320" spans="1:7">
      <c r="A7320" s="294"/>
      <c r="B7320" s="410"/>
      <c r="C7320" s="247"/>
      <c r="D7320" s="247"/>
      <c r="E7320" s="1146" t="s">
        <v>702</v>
      </c>
      <c r="F7320" s="1146"/>
      <c r="G7320" s="274">
        <f>SUM(G7319:G7319)</f>
        <v>4356000</v>
      </c>
    </row>
    <row r="7321" spans="1:7">
      <c r="A7321" s="294" t="s">
        <v>703</v>
      </c>
      <c r="B7321" s="410" t="s">
        <v>704</v>
      </c>
      <c r="C7321" s="247"/>
      <c r="D7321" s="247"/>
      <c r="E7321" s="372"/>
      <c r="F7321" s="360"/>
      <c r="G7321" s="274"/>
    </row>
    <row r="7322" spans="1:7">
      <c r="A7322" s="294"/>
      <c r="B7322" s="256" t="s">
        <v>3655</v>
      </c>
      <c r="C7322" s="247"/>
      <c r="D7322" s="257" t="s">
        <v>1011</v>
      </c>
      <c r="E7322" s="375">
        <v>1</v>
      </c>
      <c r="F7322" s="360">
        <v>200000</v>
      </c>
      <c r="G7322" s="274">
        <f>F7322*E7322</f>
        <v>200000</v>
      </c>
    </row>
    <row r="7323" spans="1:7">
      <c r="A7323" s="294"/>
      <c r="B7323" s="410"/>
      <c r="C7323" s="247"/>
      <c r="D7323" s="247"/>
      <c r="E7323" s="1146" t="s">
        <v>705</v>
      </c>
      <c r="F7323" s="1146"/>
      <c r="G7323" s="274">
        <f>SUM(G7322)</f>
        <v>200000</v>
      </c>
    </row>
    <row r="7324" spans="1:7">
      <c r="A7324" s="294" t="s">
        <v>706</v>
      </c>
      <c r="B7324" s="1147" t="s">
        <v>707</v>
      </c>
      <c r="C7324" s="1147"/>
      <c r="D7324" s="1147"/>
      <c r="E7324" s="1147"/>
      <c r="F7324" s="1147"/>
      <c r="G7324" s="273">
        <f>G7317+G7320+G7323</f>
        <v>4844035</v>
      </c>
    </row>
    <row r="7325" spans="1:7">
      <c r="A7325" s="294" t="s">
        <v>708</v>
      </c>
      <c r="B7325" s="1147" t="s">
        <v>709</v>
      </c>
      <c r="C7325" s="1147"/>
      <c r="D7325" s="1147"/>
      <c r="E7325" s="1147" t="s">
        <v>710</v>
      </c>
      <c r="F7325" s="1147"/>
      <c r="G7325" s="255">
        <f>G7324*0.15</f>
        <v>726605.25</v>
      </c>
    </row>
    <row r="7326" spans="1:7">
      <c r="A7326" s="294" t="s">
        <v>711</v>
      </c>
      <c r="B7326" s="1149" t="s">
        <v>712</v>
      </c>
      <c r="C7326" s="1149"/>
      <c r="D7326" s="1149"/>
      <c r="E7326" s="1149"/>
      <c r="F7326" s="1149"/>
      <c r="G7326" s="255">
        <f>ROUND(SUM(G7324:G7325),2)</f>
        <v>5570640.25</v>
      </c>
    </row>
    <row r="7327" spans="1:7">
      <c r="A7327" s="252"/>
      <c r="B7327" s="251"/>
      <c r="C7327" s="252"/>
      <c r="D7327" s="252"/>
      <c r="E7327" s="374"/>
      <c r="F7327" s="361"/>
      <c r="G7327" s="272"/>
    </row>
    <row r="7328" spans="1:7">
      <c r="A7328" s="285" t="s">
        <v>3775</v>
      </c>
      <c r="B7328" s="263" t="s">
        <v>4437</v>
      </c>
      <c r="C7328" s="276"/>
      <c r="D7328" s="276"/>
      <c r="E7328" s="383"/>
      <c r="G7328" s="277"/>
    </row>
    <row r="7329" spans="1:7" s="292" customFormat="1" ht="24.95" customHeight="1">
      <c r="A7329" s="290" t="s">
        <v>1003</v>
      </c>
      <c r="B7329" s="290" t="s">
        <v>1004</v>
      </c>
      <c r="C7329" s="290" t="s">
        <v>1005</v>
      </c>
      <c r="D7329" s="290" t="s">
        <v>1006</v>
      </c>
      <c r="E7329" s="373" t="s">
        <v>1007</v>
      </c>
      <c r="F7329" s="363" t="s">
        <v>2637</v>
      </c>
      <c r="G7329" s="353" t="s">
        <v>2638</v>
      </c>
    </row>
    <row r="7330" spans="1:7">
      <c r="A7330" s="294" t="s">
        <v>671</v>
      </c>
      <c r="B7330" s="410" t="s">
        <v>672</v>
      </c>
      <c r="C7330" s="247"/>
      <c r="D7330" s="247"/>
      <c r="E7330" s="372"/>
      <c r="F7330" s="360"/>
      <c r="G7330" s="274"/>
    </row>
    <row r="7331" spans="1:7">
      <c r="A7331" s="294"/>
      <c r="B7331" s="410" t="s">
        <v>673</v>
      </c>
      <c r="C7331" s="247" t="s">
        <v>674</v>
      </c>
      <c r="D7331" s="247" t="s">
        <v>675</v>
      </c>
      <c r="E7331" s="372">
        <f>2*1.429</f>
        <v>2.8580000000000001</v>
      </c>
      <c r="F7331" s="360">
        <f>$F$7313</f>
        <v>110000</v>
      </c>
      <c r="G7331" s="274">
        <f>F7331*E7331</f>
        <v>314380</v>
      </c>
    </row>
    <row r="7332" spans="1:7">
      <c r="A7332" s="294"/>
      <c r="B7332" s="410" t="s">
        <v>1480</v>
      </c>
      <c r="C7332" s="247" t="s">
        <v>678</v>
      </c>
      <c r="D7332" s="247" t="s">
        <v>675</v>
      </c>
      <c r="E7332" s="372">
        <f>2*0.715</f>
        <v>1.43</v>
      </c>
      <c r="F7332" s="360">
        <f>$F$7314</f>
        <v>140000</v>
      </c>
      <c r="G7332" s="274">
        <f>F7332*E7332</f>
        <v>200200</v>
      </c>
    </row>
    <row r="7333" spans="1:7">
      <c r="A7333" s="294"/>
      <c r="B7333" s="410" t="s">
        <v>751</v>
      </c>
      <c r="C7333" s="247" t="s">
        <v>681</v>
      </c>
      <c r="D7333" s="247" t="s">
        <v>675</v>
      </c>
      <c r="E7333" s="372">
        <v>0.14299999999999999</v>
      </c>
      <c r="F7333" s="360">
        <f>$F$6666</f>
        <v>150000</v>
      </c>
      <c r="G7333" s="274">
        <f>F7333*E7333</f>
        <v>21450</v>
      </c>
    </row>
    <row r="7334" spans="1:7">
      <c r="A7334" s="294"/>
      <c r="B7334" s="410" t="s">
        <v>683</v>
      </c>
      <c r="C7334" s="247" t="s">
        <v>684</v>
      </c>
      <c r="D7334" s="247" t="s">
        <v>675</v>
      </c>
      <c r="E7334" s="372">
        <f>2*0.143</f>
        <v>0.28599999999999998</v>
      </c>
      <c r="F7334" s="360">
        <f>$F$7316</f>
        <v>140000</v>
      </c>
      <c r="G7334" s="274">
        <f>F7334*E7334</f>
        <v>40040</v>
      </c>
    </row>
    <row r="7335" spans="1:7">
      <c r="A7335" s="357"/>
      <c r="B7335" s="356"/>
      <c r="C7335" s="356"/>
      <c r="D7335" s="356"/>
      <c r="E7335" s="384" t="s">
        <v>685</v>
      </c>
      <c r="F7335" s="391"/>
      <c r="G7335" s="274">
        <f>SUM(G7331:G7334)</f>
        <v>576070</v>
      </c>
    </row>
    <row r="7336" spans="1:7">
      <c r="A7336" s="294" t="s">
        <v>686</v>
      </c>
      <c r="B7336" s="410" t="s">
        <v>687</v>
      </c>
      <c r="C7336" s="247"/>
      <c r="D7336" s="247"/>
      <c r="E7336" s="372"/>
      <c r="F7336" s="360"/>
      <c r="G7336" s="274"/>
    </row>
    <row r="7337" spans="1:7">
      <c r="A7337" s="294"/>
      <c r="B7337" s="410" t="s">
        <v>3776</v>
      </c>
      <c r="C7337" s="247"/>
      <c r="D7337" s="247" t="s">
        <v>1423</v>
      </c>
      <c r="E7337" s="372">
        <v>1</v>
      </c>
      <c r="F7337" s="360">
        <f>'UPAD-BAHAN-ALAT'!$I$651</f>
        <v>6272640</v>
      </c>
      <c r="G7337" s="274">
        <f>F7337*E7337</f>
        <v>6272640</v>
      </c>
    </row>
    <row r="7338" spans="1:7">
      <c r="A7338" s="294"/>
      <c r="B7338" s="410"/>
      <c r="C7338" s="247"/>
      <c r="D7338" s="247"/>
      <c r="E7338" s="1146" t="s">
        <v>702</v>
      </c>
      <c r="F7338" s="1146"/>
      <c r="G7338" s="274">
        <f>SUM(G7337:G7337)</f>
        <v>6272640</v>
      </c>
    </row>
    <row r="7339" spans="1:7">
      <c r="A7339" s="294" t="s">
        <v>703</v>
      </c>
      <c r="B7339" s="410" t="s">
        <v>704</v>
      </c>
      <c r="C7339" s="247"/>
      <c r="D7339" s="247"/>
      <c r="E7339" s="372"/>
      <c r="F7339" s="360"/>
      <c r="G7339" s="274"/>
    </row>
    <row r="7340" spans="1:7">
      <c r="A7340" s="294"/>
      <c r="B7340" s="256" t="s">
        <v>3655</v>
      </c>
      <c r="C7340" s="247"/>
      <c r="D7340" s="257" t="s">
        <v>1011</v>
      </c>
      <c r="E7340" s="375">
        <v>1</v>
      </c>
      <c r="F7340" s="360">
        <v>300000</v>
      </c>
      <c r="G7340" s="274">
        <f>F7340*E7340</f>
        <v>300000</v>
      </c>
    </row>
    <row r="7341" spans="1:7">
      <c r="A7341" s="294"/>
      <c r="B7341" s="410"/>
      <c r="C7341" s="247"/>
      <c r="D7341" s="247"/>
      <c r="E7341" s="1146" t="s">
        <v>705</v>
      </c>
      <c r="F7341" s="1146"/>
      <c r="G7341" s="274">
        <f>SUM(G7340)</f>
        <v>300000</v>
      </c>
    </row>
    <row r="7342" spans="1:7">
      <c r="A7342" s="294" t="s">
        <v>706</v>
      </c>
      <c r="B7342" s="1147" t="s">
        <v>707</v>
      </c>
      <c r="C7342" s="1147"/>
      <c r="D7342" s="1147"/>
      <c r="E7342" s="1147"/>
      <c r="F7342" s="1147"/>
      <c r="G7342" s="273">
        <f>G7335+G7338+G7341</f>
        <v>7148710</v>
      </c>
    </row>
    <row r="7343" spans="1:7">
      <c r="A7343" s="294" t="s">
        <v>708</v>
      </c>
      <c r="B7343" s="1147" t="s">
        <v>709</v>
      </c>
      <c r="C7343" s="1147"/>
      <c r="D7343" s="1147"/>
      <c r="E7343" s="1147" t="s">
        <v>710</v>
      </c>
      <c r="F7343" s="1147"/>
      <c r="G7343" s="255">
        <f>G7342*0.15</f>
        <v>1072306.5</v>
      </c>
    </row>
    <row r="7344" spans="1:7">
      <c r="A7344" s="294" t="s">
        <v>711</v>
      </c>
      <c r="B7344" s="1149" t="s">
        <v>712</v>
      </c>
      <c r="C7344" s="1149"/>
      <c r="D7344" s="1149"/>
      <c r="E7344" s="1149"/>
      <c r="F7344" s="1149"/>
      <c r="G7344" s="255">
        <f>ROUND(SUM(G7342:G7343),2)</f>
        <v>8221016.5</v>
      </c>
    </row>
    <row r="7345" spans="1:7">
      <c r="A7345" s="252"/>
      <c r="B7345" s="251"/>
      <c r="C7345" s="252"/>
      <c r="D7345" s="252"/>
      <c r="E7345" s="374"/>
      <c r="F7345" s="361"/>
      <c r="G7345" s="272"/>
    </row>
    <row r="7346" spans="1:7">
      <c r="A7346" s="285" t="s">
        <v>3777</v>
      </c>
      <c r="B7346" s="263" t="s">
        <v>4438</v>
      </c>
      <c r="C7346" s="276"/>
      <c r="D7346" s="276"/>
      <c r="E7346" s="383"/>
      <c r="G7346" s="277"/>
    </row>
    <row r="7347" spans="1:7" s="292" customFormat="1" ht="24.95" customHeight="1">
      <c r="A7347" s="290" t="s">
        <v>1003</v>
      </c>
      <c r="B7347" s="290" t="s">
        <v>1004</v>
      </c>
      <c r="C7347" s="290" t="s">
        <v>1005</v>
      </c>
      <c r="D7347" s="290" t="s">
        <v>1006</v>
      </c>
      <c r="E7347" s="373" t="s">
        <v>1007</v>
      </c>
      <c r="F7347" s="363" t="s">
        <v>2637</v>
      </c>
      <c r="G7347" s="353" t="s">
        <v>2638</v>
      </c>
    </row>
    <row r="7348" spans="1:7">
      <c r="A7348" s="294" t="s">
        <v>671</v>
      </c>
      <c r="B7348" s="410" t="s">
        <v>672</v>
      </c>
      <c r="C7348" s="247"/>
      <c r="D7348" s="247"/>
      <c r="E7348" s="372"/>
      <c r="F7348" s="360"/>
      <c r="G7348" s="274"/>
    </row>
    <row r="7349" spans="1:7">
      <c r="A7349" s="294"/>
      <c r="B7349" s="410" t="s">
        <v>673</v>
      </c>
      <c r="C7349" s="247" t="s">
        <v>674</v>
      </c>
      <c r="D7349" s="247" t="s">
        <v>675</v>
      </c>
      <c r="E7349" s="372">
        <v>1.429</v>
      </c>
      <c r="F7349" s="360">
        <f>$F7331</f>
        <v>110000</v>
      </c>
      <c r="G7349" s="274">
        <f>F7349*E7349</f>
        <v>157190</v>
      </c>
    </row>
    <row r="7350" spans="1:7">
      <c r="A7350" s="294"/>
      <c r="B7350" s="410" t="s">
        <v>1480</v>
      </c>
      <c r="C7350" s="247" t="s">
        <v>678</v>
      </c>
      <c r="D7350" s="247" t="s">
        <v>675</v>
      </c>
      <c r="E7350" s="372">
        <v>0.71499999999999997</v>
      </c>
      <c r="F7350" s="360">
        <f>$F$7332</f>
        <v>140000</v>
      </c>
      <c r="G7350" s="274">
        <f>F7350*E7350</f>
        <v>100100</v>
      </c>
    </row>
    <row r="7351" spans="1:7">
      <c r="A7351" s="294"/>
      <c r="B7351" s="410" t="s">
        <v>751</v>
      </c>
      <c r="C7351" s="247" t="s">
        <v>681</v>
      </c>
      <c r="D7351" s="247" t="s">
        <v>675</v>
      </c>
      <c r="E7351" s="372">
        <v>7.1499999999999994E-2</v>
      </c>
      <c r="F7351" s="360">
        <f>$F$6666</f>
        <v>150000</v>
      </c>
      <c r="G7351" s="274">
        <f>F7351*E7351</f>
        <v>10725</v>
      </c>
    </row>
    <row r="7352" spans="1:7">
      <c r="A7352" s="294"/>
      <c r="B7352" s="410" t="s">
        <v>683</v>
      </c>
      <c r="C7352" s="247" t="s">
        <v>684</v>
      </c>
      <c r="D7352" s="247" t="s">
        <v>675</v>
      </c>
      <c r="E7352" s="372">
        <v>0.14299999999999999</v>
      </c>
      <c r="F7352" s="360">
        <f>$F$7334</f>
        <v>140000</v>
      </c>
      <c r="G7352" s="274">
        <f>F7352*E7352</f>
        <v>20020</v>
      </c>
    </row>
    <row r="7353" spans="1:7">
      <c r="A7353" s="357"/>
      <c r="B7353" s="356"/>
      <c r="C7353" s="356"/>
      <c r="D7353" s="356"/>
      <c r="E7353" s="384" t="s">
        <v>685</v>
      </c>
      <c r="F7353" s="391"/>
      <c r="G7353" s="274">
        <f>SUM(G7349:G7352)</f>
        <v>288035</v>
      </c>
    </row>
    <row r="7354" spans="1:7">
      <c r="A7354" s="294" t="s">
        <v>686</v>
      </c>
      <c r="B7354" s="410" t="s">
        <v>687</v>
      </c>
      <c r="C7354" s="247"/>
      <c r="D7354" s="247"/>
      <c r="E7354" s="372"/>
      <c r="F7354" s="360"/>
      <c r="G7354" s="274"/>
    </row>
    <row r="7355" spans="1:7">
      <c r="A7355" s="294"/>
      <c r="B7355" s="410" t="s">
        <v>3778</v>
      </c>
      <c r="C7355" s="247"/>
      <c r="D7355" s="247" t="s">
        <v>1423</v>
      </c>
      <c r="E7355" s="372">
        <v>1</v>
      </c>
      <c r="F7355" s="360">
        <f>'UPAD-BAHAN-ALAT'!$I$658</f>
        <v>5612160</v>
      </c>
      <c r="G7355" s="274">
        <f>F7355*E7355</f>
        <v>5612160</v>
      </c>
    </row>
    <row r="7356" spans="1:7">
      <c r="A7356" s="294"/>
      <c r="B7356" s="410"/>
      <c r="C7356" s="247"/>
      <c r="D7356" s="247"/>
      <c r="E7356" s="1146" t="s">
        <v>702</v>
      </c>
      <c r="F7356" s="1146"/>
      <c r="G7356" s="274">
        <f>SUM(G7355:G7355)</f>
        <v>5612160</v>
      </c>
    </row>
    <row r="7357" spans="1:7">
      <c r="A7357" s="294" t="s">
        <v>703</v>
      </c>
      <c r="B7357" s="410" t="s">
        <v>704</v>
      </c>
      <c r="C7357" s="247"/>
      <c r="D7357" s="247"/>
      <c r="E7357" s="372"/>
      <c r="F7357" s="360"/>
      <c r="G7357" s="274"/>
    </row>
    <row r="7358" spans="1:7">
      <c r="A7358" s="294"/>
      <c r="B7358" s="256" t="s">
        <v>3655</v>
      </c>
      <c r="C7358" s="247"/>
      <c r="D7358" s="257" t="s">
        <v>1011</v>
      </c>
      <c r="E7358" s="375">
        <v>1</v>
      </c>
      <c r="F7358" s="360">
        <v>50000</v>
      </c>
      <c r="G7358" s="274">
        <f>F7358*E7358</f>
        <v>50000</v>
      </c>
    </row>
    <row r="7359" spans="1:7">
      <c r="A7359" s="294"/>
      <c r="B7359" s="410"/>
      <c r="C7359" s="247"/>
      <c r="D7359" s="247"/>
      <c r="E7359" s="1146" t="s">
        <v>705</v>
      </c>
      <c r="F7359" s="1146"/>
      <c r="G7359" s="274">
        <f>SUM(G7358)</f>
        <v>50000</v>
      </c>
    </row>
    <row r="7360" spans="1:7">
      <c r="A7360" s="294" t="s">
        <v>706</v>
      </c>
      <c r="B7360" s="1147" t="s">
        <v>707</v>
      </c>
      <c r="C7360" s="1147"/>
      <c r="D7360" s="1147"/>
      <c r="E7360" s="1147"/>
      <c r="F7360" s="1147"/>
      <c r="G7360" s="273">
        <f>G7353+G7356+G7359</f>
        <v>5950195</v>
      </c>
    </row>
    <row r="7361" spans="1:7">
      <c r="A7361" s="294" t="s">
        <v>708</v>
      </c>
      <c r="B7361" s="1147" t="s">
        <v>709</v>
      </c>
      <c r="C7361" s="1147"/>
      <c r="D7361" s="1147"/>
      <c r="E7361" s="1147" t="s">
        <v>710</v>
      </c>
      <c r="F7361" s="1147"/>
      <c r="G7361" s="255">
        <f>G7360*0.15</f>
        <v>892529.25</v>
      </c>
    </row>
    <row r="7362" spans="1:7">
      <c r="A7362" s="294" t="s">
        <v>711</v>
      </c>
      <c r="B7362" s="1149" t="s">
        <v>712</v>
      </c>
      <c r="C7362" s="1149"/>
      <c r="D7362" s="1149"/>
      <c r="E7362" s="1149"/>
      <c r="F7362" s="1149"/>
      <c r="G7362" s="255">
        <f>ROUND(SUM(G7360:G7361),2)</f>
        <v>6842724.25</v>
      </c>
    </row>
    <row r="7363" spans="1:7">
      <c r="A7363" s="252"/>
      <c r="B7363" s="251"/>
      <c r="C7363" s="252"/>
      <c r="D7363" s="252"/>
      <c r="E7363" s="374"/>
      <c r="F7363" s="361"/>
      <c r="G7363" s="272"/>
    </row>
    <row r="7364" spans="1:7">
      <c r="A7364" s="285" t="s">
        <v>3779</v>
      </c>
      <c r="B7364" s="263" t="s">
        <v>4439</v>
      </c>
      <c r="C7364" s="276"/>
      <c r="D7364" s="276"/>
      <c r="E7364" s="383"/>
      <c r="G7364" s="277"/>
    </row>
    <row r="7365" spans="1:7" s="292" customFormat="1" ht="24.95" customHeight="1">
      <c r="A7365" s="290" t="s">
        <v>1003</v>
      </c>
      <c r="B7365" s="290" t="s">
        <v>1004</v>
      </c>
      <c r="C7365" s="290" t="s">
        <v>1005</v>
      </c>
      <c r="D7365" s="290" t="s">
        <v>1006</v>
      </c>
      <c r="E7365" s="373" t="s">
        <v>1007</v>
      </c>
      <c r="F7365" s="363" t="s">
        <v>2637</v>
      </c>
      <c r="G7365" s="353" t="s">
        <v>2638</v>
      </c>
    </row>
    <row r="7366" spans="1:7">
      <c r="A7366" s="294" t="s">
        <v>671</v>
      </c>
      <c r="B7366" s="410" t="s">
        <v>672</v>
      </c>
      <c r="C7366" s="247"/>
      <c r="D7366" s="247"/>
      <c r="E7366" s="372"/>
      <c r="F7366" s="360"/>
      <c r="G7366" s="274"/>
    </row>
    <row r="7367" spans="1:7">
      <c r="A7367" s="294"/>
      <c r="B7367" s="410" t="s">
        <v>673</v>
      </c>
      <c r="C7367" s="247" t="s">
        <v>674</v>
      </c>
      <c r="D7367" s="247" t="s">
        <v>675</v>
      </c>
      <c r="E7367" s="372">
        <v>1.429</v>
      </c>
      <c r="F7367" s="360">
        <f>$F$7349</f>
        <v>110000</v>
      </c>
      <c r="G7367" s="274">
        <f>F7367*E7367</f>
        <v>157190</v>
      </c>
    </row>
    <row r="7368" spans="1:7">
      <c r="A7368" s="294"/>
      <c r="B7368" s="410" t="s">
        <v>1480</v>
      </c>
      <c r="C7368" s="247" t="s">
        <v>678</v>
      </c>
      <c r="D7368" s="247" t="s">
        <v>675</v>
      </c>
      <c r="E7368" s="372">
        <v>0.71499999999999997</v>
      </c>
      <c r="F7368" s="360">
        <f>$F$7350</f>
        <v>140000</v>
      </c>
      <c r="G7368" s="274">
        <f>F7368*E7368</f>
        <v>100100</v>
      </c>
    </row>
    <row r="7369" spans="1:7">
      <c r="A7369" s="294"/>
      <c r="B7369" s="410" t="s">
        <v>751</v>
      </c>
      <c r="C7369" s="247" t="s">
        <v>681</v>
      </c>
      <c r="D7369" s="247" t="s">
        <v>675</v>
      </c>
      <c r="E7369" s="372">
        <v>7.1499999999999994E-2</v>
      </c>
      <c r="F7369" s="360">
        <f>$F$6666</f>
        <v>150000</v>
      </c>
      <c r="G7369" s="274">
        <f>F7369*E7369</f>
        <v>10725</v>
      </c>
    </row>
    <row r="7370" spans="1:7">
      <c r="A7370" s="294"/>
      <c r="B7370" s="410" t="s">
        <v>683</v>
      </c>
      <c r="C7370" s="247" t="s">
        <v>684</v>
      </c>
      <c r="D7370" s="247" t="s">
        <v>675</v>
      </c>
      <c r="E7370" s="372">
        <v>0.14299999999999999</v>
      </c>
      <c r="F7370" s="360">
        <f>$F$7352</f>
        <v>140000</v>
      </c>
      <c r="G7370" s="274">
        <f>F7370*E7370</f>
        <v>20020</v>
      </c>
    </row>
    <row r="7371" spans="1:7">
      <c r="A7371" s="357"/>
      <c r="B7371" s="356"/>
      <c r="C7371" s="356"/>
      <c r="D7371" s="356"/>
      <c r="E7371" s="384" t="s">
        <v>685</v>
      </c>
      <c r="F7371" s="391"/>
      <c r="G7371" s="274">
        <f>SUM(G7367:G7370)</f>
        <v>288035</v>
      </c>
    </row>
    <row r="7372" spans="1:7">
      <c r="A7372" s="294" t="s">
        <v>686</v>
      </c>
      <c r="B7372" s="410" t="s">
        <v>687</v>
      </c>
      <c r="C7372" s="247"/>
      <c r="D7372" s="247"/>
      <c r="E7372" s="372"/>
      <c r="F7372" s="360"/>
      <c r="G7372" s="274"/>
    </row>
    <row r="7373" spans="1:7">
      <c r="A7373" s="294"/>
      <c r="B7373" s="410" t="s">
        <v>3780</v>
      </c>
      <c r="C7373" s="247"/>
      <c r="D7373" s="247" t="s">
        <v>1423</v>
      </c>
      <c r="E7373" s="372">
        <v>1</v>
      </c>
      <c r="F7373" s="360">
        <f>'UPAD-BAHAN-ALAT'!$I$657</f>
        <v>6103560</v>
      </c>
      <c r="G7373" s="274">
        <f>F7373*E7373</f>
        <v>6103560</v>
      </c>
    </row>
    <row r="7374" spans="1:7">
      <c r="A7374" s="294"/>
      <c r="B7374" s="410"/>
      <c r="C7374" s="247"/>
      <c r="D7374" s="247"/>
      <c r="E7374" s="1146" t="s">
        <v>702</v>
      </c>
      <c r="F7374" s="1146"/>
      <c r="G7374" s="274">
        <f>SUM(G7373:G7373)</f>
        <v>6103560</v>
      </c>
    </row>
    <row r="7375" spans="1:7">
      <c r="A7375" s="294" t="s">
        <v>703</v>
      </c>
      <c r="B7375" s="410" t="s">
        <v>704</v>
      </c>
      <c r="C7375" s="247"/>
      <c r="D7375" s="247"/>
      <c r="E7375" s="372"/>
      <c r="F7375" s="360"/>
      <c r="G7375" s="274"/>
    </row>
    <row r="7376" spans="1:7">
      <c r="A7376" s="294"/>
      <c r="B7376" s="256" t="s">
        <v>3655</v>
      </c>
      <c r="C7376" s="247"/>
      <c r="D7376" s="257" t="s">
        <v>1011</v>
      </c>
      <c r="E7376" s="375">
        <v>1</v>
      </c>
      <c r="F7376" s="360">
        <v>50000</v>
      </c>
      <c r="G7376" s="274">
        <f>F7376*E7376</f>
        <v>50000</v>
      </c>
    </row>
    <row r="7377" spans="1:7">
      <c r="A7377" s="294"/>
      <c r="B7377" s="410"/>
      <c r="C7377" s="247"/>
      <c r="D7377" s="247"/>
      <c r="E7377" s="1146" t="s">
        <v>705</v>
      </c>
      <c r="F7377" s="1146"/>
      <c r="G7377" s="274">
        <f>SUM(G7376)</f>
        <v>50000</v>
      </c>
    </row>
    <row r="7378" spans="1:7">
      <c r="A7378" s="294" t="s">
        <v>706</v>
      </c>
      <c r="B7378" s="1147" t="s">
        <v>707</v>
      </c>
      <c r="C7378" s="1147"/>
      <c r="D7378" s="1147"/>
      <c r="E7378" s="1147"/>
      <c r="F7378" s="1147"/>
      <c r="G7378" s="273">
        <f>G7371+G7374+G7377</f>
        <v>6441595</v>
      </c>
    </row>
    <row r="7379" spans="1:7">
      <c r="A7379" s="294" t="s">
        <v>708</v>
      </c>
      <c r="B7379" s="1147" t="s">
        <v>709</v>
      </c>
      <c r="C7379" s="1147"/>
      <c r="D7379" s="1147"/>
      <c r="E7379" s="1147" t="s">
        <v>710</v>
      </c>
      <c r="F7379" s="1147"/>
      <c r="G7379" s="255">
        <f>G7378*0.15</f>
        <v>966239.25</v>
      </c>
    </row>
    <row r="7380" spans="1:7">
      <c r="A7380" s="294" t="s">
        <v>711</v>
      </c>
      <c r="B7380" s="1149" t="s">
        <v>712</v>
      </c>
      <c r="C7380" s="1149"/>
      <c r="D7380" s="1149"/>
      <c r="E7380" s="1149"/>
      <c r="F7380" s="1149"/>
      <c r="G7380" s="255">
        <f>ROUND(SUM(G7378:G7379),2)</f>
        <v>7407834.25</v>
      </c>
    </row>
    <row r="7381" spans="1:7">
      <c r="A7381" s="252"/>
      <c r="B7381" s="251"/>
      <c r="C7381" s="252"/>
      <c r="D7381" s="252"/>
      <c r="E7381" s="374"/>
      <c r="F7381" s="361"/>
      <c r="G7381" s="272"/>
    </row>
    <row r="7382" spans="1:7">
      <c r="A7382" s="285" t="s">
        <v>2710</v>
      </c>
      <c r="B7382" s="263" t="s">
        <v>4440</v>
      </c>
      <c r="C7382" s="276"/>
      <c r="D7382" s="276"/>
      <c r="E7382" s="383"/>
      <c r="G7382" s="277"/>
    </row>
    <row r="7383" spans="1:7" s="292" customFormat="1" ht="24.95" customHeight="1">
      <c r="A7383" s="290" t="s">
        <v>1003</v>
      </c>
      <c r="B7383" s="290" t="s">
        <v>1004</v>
      </c>
      <c r="C7383" s="290" t="s">
        <v>1005</v>
      </c>
      <c r="D7383" s="290" t="s">
        <v>1006</v>
      </c>
      <c r="E7383" s="373" t="s">
        <v>1007</v>
      </c>
      <c r="F7383" s="363" t="s">
        <v>2637</v>
      </c>
      <c r="G7383" s="353" t="s">
        <v>2638</v>
      </c>
    </row>
    <row r="7384" spans="1:7">
      <c r="A7384" s="294" t="s">
        <v>671</v>
      </c>
      <c r="B7384" s="410" t="s">
        <v>672</v>
      </c>
      <c r="C7384" s="247"/>
      <c r="D7384" s="247"/>
      <c r="E7384" s="372"/>
      <c r="F7384" s="360"/>
      <c r="G7384" s="274"/>
    </row>
    <row r="7385" spans="1:7">
      <c r="A7385" s="294"/>
      <c r="B7385" s="410" t="s">
        <v>673</v>
      </c>
      <c r="C7385" s="247" t="s">
        <v>674</v>
      </c>
      <c r="D7385" s="247" t="s">
        <v>675</v>
      </c>
      <c r="E7385" s="372">
        <v>1.429</v>
      </c>
      <c r="F7385" s="360">
        <f>$F$7367</f>
        <v>110000</v>
      </c>
      <c r="G7385" s="274">
        <f>F7385*E7385</f>
        <v>157190</v>
      </c>
    </row>
    <row r="7386" spans="1:7">
      <c r="A7386" s="294"/>
      <c r="B7386" s="410" t="s">
        <v>1480</v>
      </c>
      <c r="C7386" s="247" t="s">
        <v>678</v>
      </c>
      <c r="D7386" s="247" t="s">
        <v>675</v>
      </c>
      <c r="E7386" s="372">
        <v>0.71499999999999997</v>
      </c>
      <c r="F7386" s="360">
        <f>$F$7368</f>
        <v>140000</v>
      </c>
      <c r="G7386" s="274">
        <f>F7386*E7386</f>
        <v>100100</v>
      </c>
    </row>
    <row r="7387" spans="1:7">
      <c r="A7387" s="294"/>
      <c r="B7387" s="410" t="s">
        <v>751</v>
      </c>
      <c r="C7387" s="247" t="s">
        <v>681</v>
      </c>
      <c r="D7387" s="247" t="s">
        <v>675</v>
      </c>
      <c r="E7387" s="372">
        <v>7.1499999999999994E-2</v>
      </c>
      <c r="F7387" s="360">
        <f>$F$6666</f>
        <v>150000</v>
      </c>
      <c r="G7387" s="274">
        <f>F7387*E7387</f>
        <v>10725</v>
      </c>
    </row>
    <row r="7388" spans="1:7">
      <c r="A7388" s="294"/>
      <c r="B7388" s="410" t="s">
        <v>683</v>
      </c>
      <c r="C7388" s="247" t="s">
        <v>684</v>
      </c>
      <c r="D7388" s="247" t="s">
        <v>675</v>
      </c>
      <c r="E7388" s="372">
        <v>0.14299999999999999</v>
      </c>
      <c r="F7388" s="360">
        <f>$F$7370</f>
        <v>140000</v>
      </c>
      <c r="G7388" s="274">
        <f>F7388*E7388</f>
        <v>20020</v>
      </c>
    </row>
    <row r="7389" spans="1:7">
      <c r="A7389" s="357"/>
      <c r="B7389" s="356"/>
      <c r="C7389" s="356"/>
      <c r="D7389" s="356"/>
      <c r="E7389" s="384" t="s">
        <v>685</v>
      </c>
      <c r="F7389" s="391"/>
      <c r="G7389" s="274">
        <f>SUM(G7385:G7388)</f>
        <v>288035</v>
      </c>
    </row>
    <row r="7390" spans="1:7">
      <c r="A7390" s="294" t="s">
        <v>686</v>
      </c>
      <c r="B7390" s="410" t="s">
        <v>687</v>
      </c>
      <c r="C7390" s="247"/>
      <c r="D7390" s="247"/>
      <c r="E7390" s="372"/>
      <c r="F7390" s="360"/>
      <c r="G7390" s="274"/>
    </row>
    <row r="7391" spans="1:7">
      <c r="A7391" s="294"/>
      <c r="B7391" s="410" t="s">
        <v>3781</v>
      </c>
      <c r="C7391" s="247"/>
      <c r="D7391" s="247" t="s">
        <v>1423</v>
      </c>
      <c r="E7391" s="372">
        <v>1</v>
      </c>
      <c r="F7391" s="360">
        <f>'UPAD-BAHAN-ALAT'!$I$656</f>
        <v>9163200</v>
      </c>
      <c r="G7391" s="274">
        <f>F7391*E7391</f>
        <v>9163200</v>
      </c>
    </row>
    <row r="7392" spans="1:7">
      <c r="A7392" s="294"/>
      <c r="B7392" s="410"/>
      <c r="C7392" s="247"/>
      <c r="D7392" s="247"/>
      <c r="E7392" s="1146" t="s">
        <v>702</v>
      </c>
      <c r="F7392" s="1146"/>
      <c r="G7392" s="274">
        <f>SUM(G7391:G7391)</f>
        <v>9163200</v>
      </c>
    </row>
    <row r="7393" spans="1:7">
      <c r="A7393" s="294" t="s">
        <v>703</v>
      </c>
      <c r="B7393" s="410" t="s">
        <v>704</v>
      </c>
      <c r="C7393" s="247"/>
      <c r="D7393" s="247"/>
      <c r="E7393" s="372"/>
      <c r="F7393" s="360"/>
      <c r="G7393" s="274"/>
    </row>
    <row r="7394" spans="1:7">
      <c r="A7394" s="294"/>
      <c r="B7394" s="256" t="s">
        <v>3655</v>
      </c>
      <c r="C7394" s="247"/>
      <c r="D7394" s="257" t="s">
        <v>1011</v>
      </c>
      <c r="E7394" s="375">
        <v>1</v>
      </c>
      <c r="F7394" s="360">
        <v>200000</v>
      </c>
      <c r="G7394" s="274">
        <f>F7394*E7394</f>
        <v>200000</v>
      </c>
    </row>
    <row r="7395" spans="1:7">
      <c r="A7395" s="294"/>
      <c r="B7395" s="410"/>
      <c r="C7395" s="247"/>
      <c r="D7395" s="247"/>
      <c r="E7395" s="1146" t="s">
        <v>705</v>
      </c>
      <c r="F7395" s="1146"/>
      <c r="G7395" s="274">
        <f>SUM(G7394)</f>
        <v>200000</v>
      </c>
    </row>
    <row r="7396" spans="1:7">
      <c r="A7396" s="294" t="s">
        <v>706</v>
      </c>
      <c r="B7396" s="1147" t="s">
        <v>707</v>
      </c>
      <c r="C7396" s="1147"/>
      <c r="D7396" s="1147"/>
      <c r="E7396" s="1147"/>
      <c r="F7396" s="1147"/>
      <c r="G7396" s="273">
        <f>G7389+G7392+G7395</f>
        <v>9651235</v>
      </c>
    </row>
    <row r="7397" spans="1:7">
      <c r="A7397" s="294" t="s">
        <v>708</v>
      </c>
      <c r="B7397" s="1147" t="s">
        <v>709</v>
      </c>
      <c r="C7397" s="1147"/>
      <c r="D7397" s="1147"/>
      <c r="E7397" s="1147" t="s">
        <v>710</v>
      </c>
      <c r="F7397" s="1147"/>
      <c r="G7397" s="255">
        <f>G7396*0.15</f>
        <v>1447685.25</v>
      </c>
    </row>
    <row r="7398" spans="1:7">
      <c r="A7398" s="294" t="s">
        <v>711</v>
      </c>
      <c r="B7398" s="1149" t="s">
        <v>712</v>
      </c>
      <c r="C7398" s="1149"/>
      <c r="D7398" s="1149"/>
      <c r="E7398" s="1149"/>
      <c r="F7398" s="1149"/>
      <c r="G7398" s="255">
        <f>ROUND(SUM(G7396:G7397),2)</f>
        <v>11098920.25</v>
      </c>
    </row>
    <row r="7399" spans="1:7">
      <c r="A7399" s="252"/>
      <c r="B7399" s="251"/>
      <c r="C7399" s="252"/>
      <c r="D7399" s="252"/>
      <c r="E7399" s="374"/>
      <c r="F7399" s="361"/>
      <c r="G7399" s="272"/>
    </row>
    <row r="7400" spans="1:7">
      <c r="A7400" s="285" t="s">
        <v>3782</v>
      </c>
      <c r="B7400" s="263" t="s">
        <v>4441</v>
      </c>
      <c r="C7400" s="276"/>
      <c r="D7400" s="276"/>
      <c r="E7400" s="383"/>
      <c r="G7400" s="277"/>
    </row>
    <row r="7401" spans="1:7" s="292" customFormat="1" ht="24.95" customHeight="1">
      <c r="A7401" s="290" t="s">
        <v>1003</v>
      </c>
      <c r="B7401" s="290" t="s">
        <v>1004</v>
      </c>
      <c r="C7401" s="290" t="s">
        <v>1005</v>
      </c>
      <c r="D7401" s="290" t="s">
        <v>1006</v>
      </c>
      <c r="E7401" s="373" t="s">
        <v>1007</v>
      </c>
      <c r="F7401" s="363" t="s">
        <v>2637</v>
      </c>
      <c r="G7401" s="353" t="s">
        <v>2638</v>
      </c>
    </row>
    <row r="7402" spans="1:7">
      <c r="A7402" s="294" t="s">
        <v>671</v>
      </c>
      <c r="B7402" s="410" t="s">
        <v>672</v>
      </c>
      <c r="C7402" s="247"/>
      <c r="D7402" s="247"/>
      <c r="E7402" s="372"/>
      <c r="F7402" s="360"/>
      <c r="G7402" s="274"/>
    </row>
    <row r="7403" spans="1:7">
      <c r="A7403" s="294"/>
      <c r="B7403" s="410" t="s">
        <v>673</v>
      </c>
      <c r="C7403" s="247" t="s">
        <v>674</v>
      </c>
      <c r="D7403" s="247" t="s">
        <v>675</v>
      </c>
      <c r="E7403" s="372">
        <f>2*1.429</f>
        <v>2.8580000000000001</v>
      </c>
      <c r="F7403" s="360">
        <f>$F$7385</f>
        <v>110000</v>
      </c>
      <c r="G7403" s="274">
        <f>F7403*E7403</f>
        <v>314380</v>
      </c>
    </row>
    <row r="7404" spans="1:7">
      <c r="A7404" s="294"/>
      <c r="B7404" s="410" t="s">
        <v>1480</v>
      </c>
      <c r="C7404" s="247" t="s">
        <v>678</v>
      </c>
      <c r="D7404" s="247" t="s">
        <v>675</v>
      </c>
      <c r="E7404" s="372">
        <f>2*0.715</f>
        <v>1.43</v>
      </c>
      <c r="F7404" s="360">
        <f>$F$7386</f>
        <v>140000</v>
      </c>
      <c r="G7404" s="274">
        <f>F7404*E7404</f>
        <v>200200</v>
      </c>
    </row>
    <row r="7405" spans="1:7">
      <c r="A7405" s="294"/>
      <c r="B7405" s="410" t="s">
        <v>751</v>
      </c>
      <c r="C7405" s="247" t="s">
        <v>681</v>
      </c>
      <c r="D7405" s="247" t="s">
        <v>675</v>
      </c>
      <c r="E7405" s="372">
        <v>0.14299999999999999</v>
      </c>
      <c r="F7405" s="360">
        <f>$F$6666</f>
        <v>150000</v>
      </c>
      <c r="G7405" s="274">
        <f>F7405*E7405</f>
        <v>21450</v>
      </c>
    </row>
    <row r="7406" spans="1:7">
      <c r="A7406" s="294"/>
      <c r="B7406" s="410" t="s">
        <v>683</v>
      </c>
      <c r="C7406" s="247" t="s">
        <v>684</v>
      </c>
      <c r="D7406" s="247" t="s">
        <v>675</v>
      </c>
      <c r="E7406" s="372">
        <f>2*0.143</f>
        <v>0.28599999999999998</v>
      </c>
      <c r="F7406" s="360">
        <f>$F$7388</f>
        <v>140000</v>
      </c>
      <c r="G7406" s="274">
        <f>F7406*E7406</f>
        <v>40040</v>
      </c>
    </row>
    <row r="7407" spans="1:7">
      <c r="A7407" s="357"/>
      <c r="B7407" s="356"/>
      <c r="C7407" s="356"/>
      <c r="D7407" s="356"/>
      <c r="E7407" s="384" t="s">
        <v>685</v>
      </c>
      <c r="F7407" s="391"/>
      <c r="G7407" s="274">
        <f>SUM(G7403:G7406)</f>
        <v>576070</v>
      </c>
    </row>
    <row r="7408" spans="1:7">
      <c r="A7408" s="294" t="s">
        <v>686</v>
      </c>
      <c r="B7408" s="410" t="s">
        <v>687</v>
      </c>
      <c r="C7408" s="247"/>
      <c r="D7408" s="247"/>
      <c r="E7408" s="372"/>
      <c r="F7408" s="360"/>
      <c r="G7408" s="274"/>
    </row>
    <row r="7409" spans="1:7">
      <c r="A7409" s="294"/>
      <c r="B7409" s="410" t="s">
        <v>3783</v>
      </c>
      <c r="C7409" s="247"/>
      <c r="D7409" s="247" t="s">
        <v>1423</v>
      </c>
      <c r="E7409" s="372">
        <v>1</v>
      </c>
      <c r="F7409" s="360">
        <f>'UPAD-BAHAN-ALAT'!$I$655</f>
        <v>15564360</v>
      </c>
      <c r="G7409" s="274">
        <f>F7409*E7409</f>
        <v>15564360</v>
      </c>
    </row>
    <row r="7410" spans="1:7">
      <c r="A7410" s="294"/>
      <c r="B7410" s="410"/>
      <c r="C7410" s="247"/>
      <c r="D7410" s="247"/>
      <c r="E7410" s="1146" t="s">
        <v>702</v>
      </c>
      <c r="F7410" s="1146"/>
      <c r="G7410" s="274">
        <f>SUM(G7409:G7409)</f>
        <v>15564360</v>
      </c>
    </row>
    <row r="7411" spans="1:7">
      <c r="A7411" s="294" t="s">
        <v>703</v>
      </c>
      <c r="B7411" s="410" t="s">
        <v>704</v>
      </c>
      <c r="C7411" s="247"/>
      <c r="D7411" s="247"/>
      <c r="E7411" s="372"/>
      <c r="F7411" s="360"/>
      <c r="G7411" s="274"/>
    </row>
    <row r="7412" spans="1:7">
      <c r="A7412" s="294"/>
      <c r="B7412" s="256" t="s">
        <v>3655</v>
      </c>
      <c r="C7412" s="247"/>
      <c r="D7412" s="257" t="s">
        <v>1011</v>
      </c>
      <c r="E7412" s="375">
        <v>1</v>
      </c>
      <c r="F7412" s="360">
        <v>300000</v>
      </c>
      <c r="G7412" s="274">
        <f>F7412*E7412</f>
        <v>300000</v>
      </c>
    </row>
    <row r="7413" spans="1:7">
      <c r="A7413" s="294"/>
      <c r="B7413" s="410"/>
      <c r="C7413" s="247"/>
      <c r="D7413" s="247"/>
      <c r="E7413" s="1146" t="s">
        <v>705</v>
      </c>
      <c r="F7413" s="1146"/>
      <c r="G7413" s="274">
        <f>SUM(G7412)</f>
        <v>300000</v>
      </c>
    </row>
    <row r="7414" spans="1:7">
      <c r="A7414" s="294" t="s">
        <v>706</v>
      </c>
      <c r="B7414" s="1147" t="s">
        <v>707</v>
      </c>
      <c r="C7414" s="1147"/>
      <c r="D7414" s="1147"/>
      <c r="E7414" s="1147"/>
      <c r="F7414" s="1147"/>
      <c r="G7414" s="273">
        <f>G7407+G7410+G7413</f>
        <v>16440430</v>
      </c>
    </row>
    <row r="7415" spans="1:7">
      <c r="A7415" s="294" t="s">
        <v>708</v>
      </c>
      <c r="B7415" s="1147" t="s">
        <v>709</v>
      </c>
      <c r="C7415" s="1147"/>
      <c r="D7415" s="1147"/>
      <c r="E7415" s="1147" t="s">
        <v>710</v>
      </c>
      <c r="F7415" s="1147"/>
      <c r="G7415" s="255">
        <f>G7414*0.15</f>
        <v>2466064.5</v>
      </c>
    </row>
    <row r="7416" spans="1:7">
      <c r="A7416" s="294" t="s">
        <v>711</v>
      </c>
      <c r="B7416" s="1149" t="s">
        <v>712</v>
      </c>
      <c r="C7416" s="1149"/>
      <c r="D7416" s="1149"/>
      <c r="E7416" s="1149"/>
      <c r="F7416" s="1149"/>
      <c r="G7416" s="255">
        <f>ROUND(SUM(G7414:G7415),2)</f>
        <v>18906494.5</v>
      </c>
    </row>
    <row r="7417" spans="1:7">
      <c r="A7417" s="252"/>
      <c r="B7417" s="251"/>
      <c r="C7417" s="252"/>
      <c r="D7417" s="252"/>
      <c r="E7417" s="374"/>
      <c r="F7417" s="361"/>
      <c r="G7417" s="272"/>
    </row>
    <row r="7418" spans="1:7">
      <c r="A7418" s="285" t="s">
        <v>3784</v>
      </c>
      <c r="B7418" s="263" t="s">
        <v>4442</v>
      </c>
      <c r="C7418" s="276"/>
      <c r="D7418" s="276"/>
      <c r="E7418" s="383"/>
      <c r="G7418" s="277"/>
    </row>
    <row r="7419" spans="1:7" s="292" customFormat="1" ht="24.95" customHeight="1">
      <c r="A7419" s="290" t="s">
        <v>1003</v>
      </c>
      <c r="B7419" s="290" t="s">
        <v>1004</v>
      </c>
      <c r="C7419" s="290" t="s">
        <v>1005</v>
      </c>
      <c r="D7419" s="290" t="s">
        <v>1006</v>
      </c>
      <c r="E7419" s="373" t="s">
        <v>1007</v>
      </c>
      <c r="F7419" s="363" t="s">
        <v>2637</v>
      </c>
      <c r="G7419" s="353" t="s">
        <v>2638</v>
      </c>
    </row>
    <row r="7420" spans="1:7">
      <c r="A7420" s="294" t="s">
        <v>671</v>
      </c>
      <c r="B7420" s="410" t="s">
        <v>672</v>
      </c>
      <c r="C7420" s="247"/>
      <c r="D7420" s="247"/>
      <c r="E7420" s="372"/>
      <c r="F7420" s="360"/>
      <c r="G7420" s="274"/>
    </row>
    <row r="7421" spans="1:7">
      <c r="A7421" s="294"/>
      <c r="B7421" s="410" t="s">
        <v>673</v>
      </c>
      <c r="C7421" s="247" t="s">
        <v>674</v>
      </c>
      <c r="D7421" s="247" t="s">
        <v>675</v>
      </c>
      <c r="E7421" s="372">
        <f>0.106*10</f>
        <v>1.06</v>
      </c>
      <c r="F7421" s="360">
        <f>$F$7403</f>
        <v>110000</v>
      </c>
      <c r="G7421" s="274">
        <f>F7421*E7421</f>
        <v>116600</v>
      </c>
    </row>
    <row r="7422" spans="1:7">
      <c r="A7422" s="294"/>
      <c r="B7422" s="410" t="s">
        <v>1480</v>
      </c>
      <c r="C7422" s="247" t="s">
        <v>678</v>
      </c>
      <c r="D7422" s="247" t="s">
        <v>675</v>
      </c>
      <c r="E7422" s="372">
        <f>0.053*10</f>
        <v>0.53</v>
      </c>
      <c r="F7422" s="360">
        <f>$F$7404</f>
        <v>140000</v>
      </c>
      <c r="G7422" s="274">
        <f>F7422*E7422</f>
        <v>74200</v>
      </c>
    </row>
    <row r="7423" spans="1:7">
      <c r="A7423" s="294"/>
      <c r="B7423" s="410" t="s">
        <v>751</v>
      </c>
      <c r="C7423" s="247" t="s">
        <v>681</v>
      </c>
      <c r="D7423" s="247" t="s">
        <v>675</v>
      </c>
      <c r="E7423" s="372">
        <v>5.3000000000000005E-2</v>
      </c>
      <c r="F7423" s="360">
        <f>$F$6666</f>
        <v>150000</v>
      </c>
      <c r="G7423" s="274">
        <f>F7423*E7423</f>
        <v>7950.0000000000009</v>
      </c>
    </row>
    <row r="7424" spans="1:7">
      <c r="A7424" s="294"/>
      <c r="B7424" s="410" t="s">
        <v>683</v>
      </c>
      <c r="C7424" s="247" t="s">
        <v>684</v>
      </c>
      <c r="D7424" s="247" t="s">
        <v>675</v>
      </c>
      <c r="E7424" s="372">
        <f>0.011*10</f>
        <v>0.10999999999999999</v>
      </c>
      <c r="F7424" s="360">
        <f>$F$7406</f>
        <v>140000</v>
      </c>
      <c r="G7424" s="274">
        <f>F7424*E7424</f>
        <v>15399.999999999998</v>
      </c>
    </row>
    <row r="7425" spans="1:7">
      <c r="A7425" s="357"/>
      <c r="B7425" s="356"/>
      <c r="C7425" s="356"/>
      <c r="D7425" s="356"/>
      <c r="E7425" s="384" t="s">
        <v>685</v>
      </c>
      <c r="F7425" s="391"/>
      <c r="G7425" s="274">
        <f>SUM(G7421:G7424)</f>
        <v>214150</v>
      </c>
    </row>
    <row r="7426" spans="1:7">
      <c r="A7426" s="294" t="s">
        <v>686</v>
      </c>
      <c r="B7426" s="410" t="s">
        <v>687</v>
      </c>
      <c r="C7426" s="247"/>
      <c r="D7426" s="247"/>
      <c r="E7426" s="372"/>
      <c r="F7426" s="360"/>
      <c r="G7426" s="274"/>
    </row>
    <row r="7427" spans="1:7">
      <c r="A7427" s="294"/>
      <c r="B7427" s="410" t="s">
        <v>3785</v>
      </c>
      <c r="C7427" s="247"/>
      <c r="D7427" s="247" t="s">
        <v>2970</v>
      </c>
      <c r="E7427" s="372">
        <v>6</v>
      </c>
      <c r="F7427" s="360">
        <f>'UPAD-BAHAN-ALAT'!$I$667</f>
        <v>14520</v>
      </c>
      <c r="G7427" s="274">
        <f t="shared" ref="G7427:G7443" si="38">F7427*E7427</f>
        <v>87120</v>
      </c>
    </row>
    <row r="7428" spans="1:7">
      <c r="A7428" s="294"/>
      <c r="B7428" s="410" t="s">
        <v>3786</v>
      </c>
      <c r="C7428" s="247"/>
      <c r="D7428" s="247" t="s">
        <v>2970</v>
      </c>
      <c r="E7428" s="372">
        <v>2</v>
      </c>
      <c r="F7428" s="360">
        <f>'UPAD-BAHAN-ALAT'!$I$659</f>
        <v>68040</v>
      </c>
      <c r="G7428" s="274">
        <f t="shared" si="38"/>
        <v>136080</v>
      </c>
    </row>
    <row r="7429" spans="1:7">
      <c r="A7429" s="294"/>
      <c r="B7429" s="410" t="s">
        <v>3788</v>
      </c>
      <c r="C7429" s="247"/>
      <c r="D7429" s="247" t="s">
        <v>1423</v>
      </c>
      <c r="E7429" s="372">
        <v>1</v>
      </c>
      <c r="F7429" s="360">
        <f>'UPAD-BAHAN-ALAT'!$I$693</f>
        <v>58200</v>
      </c>
      <c r="G7429" s="274">
        <f t="shared" si="38"/>
        <v>58200</v>
      </c>
    </row>
    <row r="7430" spans="1:7">
      <c r="A7430" s="294"/>
      <c r="B7430" s="410" t="s">
        <v>3789</v>
      </c>
      <c r="C7430" s="247"/>
      <c r="D7430" s="247" t="s">
        <v>1423</v>
      </c>
      <c r="E7430" s="372">
        <v>1</v>
      </c>
      <c r="F7430" s="360">
        <f>'UPAD-BAHAN-ALAT'!$I$688</f>
        <v>123960</v>
      </c>
      <c r="G7430" s="274">
        <f t="shared" si="38"/>
        <v>123960</v>
      </c>
    </row>
    <row r="7431" spans="1:7">
      <c r="A7431" s="294"/>
      <c r="B7431" s="410" t="s">
        <v>3790</v>
      </c>
      <c r="C7431" s="247"/>
      <c r="D7431" s="247" t="s">
        <v>1423</v>
      </c>
      <c r="E7431" s="372">
        <v>1</v>
      </c>
      <c r="F7431" s="360">
        <f>'UPAD-BAHAN-ALAT'!$I$694</f>
        <v>37440</v>
      </c>
      <c r="G7431" s="274">
        <f t="shared" si="38"/>
        <v>37440</v>
      </c>
    </row>
    <row r="7432" spans="1:7">
      <c r="A7432" s="294"/>
      <c r="B7432" s="410" t="s">
        <v>3791</v>
      </c>
      <c r="C7432" s="247"/>
      <c r="D7432" s="247" t="s">
        <v>1423</v>
      </c>
      <c r="E7432" s="372">
        <v>1</v>
      </c>
      <c r="F7432" s="360">
        <f>'UPAD-BAHAN-ALAT'!$I$695</f>
        <v>301200</v>
      </c>
      <c r="G7432" s="274">
        <f t="shared" si="38"/>
        <v>301200</v>
      </c>
    </row>
    <row r="7433" spans="1:7">
      <c r="A7433" s="294"/>
      <c r="B7433" s="410" t="s">
        <v>3792</v>
      </c>
      <c r="C7433" s="247"/>
      <c r="D7433" s="247" t="s">
        <v>1423</v>
      </c>
      <c r="E7433" s="372">
        <v>1</v>
      </c>
      <c r="F7433" s="360">
        <f>'UPAD-BAHAN-ALAT'!$I$696</f>
        <v>59520</v>
      </c>
      <c r="G7433" s="274">
        <f t="shared" si="38"/>
        <v>59520</v>
      </c>
    </row>
    <row r="7434" spans="1:7">
      <c r="A7434" s="294"/>
      <c r="B7434" s="410" t="s">
        <v>3793</v>
      </c>
      <c r="C7434" s="247"/>
      <c r="D7434" s="247" t="s">
        <v>1423</v>
      </c>
      <c r="E7434" s="372">
        <v>1</v>
      </c>
      <c r="F7434" s="360">
        <f>'UPAD-BAHAN-ALAT'!$I$698</f>
        <v>277200</v>
      </c>
      <c r="G7434" s="274">
        <f t="shared" si="38"/>
        <v>277200</v>
      </c>
    </row>
    <row r="7435" spans="1:7">
      <c r="A7435" s="294"/>
      <c r="B7435" s="410" t="s">
        <v>3794</v>
      </c>
      <c r="C7435" s="247"/>
      <c r="D7435" s="247" t="s">
        <v>1423</v>
      </c>
      <c r="E7435" s="372">
        <v>2</v>
      </c>
      <c r="F7435" s="360">
        <f>'UPAD-BAHAN-ALAT'!$I$699</f>
        <v>12600</v>
      </c>
      <c r="G7435" s="274">
        <f t="shared" si="38"/>
        <v>25200</v>
      </c>
    </row>
    <row r="7436" spans="1:7">
      <c r="A7436" s="294"/>
      <c r="B7436" s="410" t="s">
        <v>3795</v>
      </c>
      <c r="C7436" s="247"/>
      <c r="D7436" s="247" t="s">
        <v>1423</v>
      </c>
      <c r="E7436" s="372">
        <v>1</v>
      </c>
      <c r="F7436" s="360">
        <f>'UPAD-BAHAN-ALAT'!$I$700</f>
        <v>54120</v>
      </c>
      <c r="G7436" s="274">
        <f t="shared" si="38"/>
        <v>54120</v>
      </c>
    </row>
    <row r="7437" spans="1:7">
      <c r="A7437" s="294"/>
      <c r="B7437" s="410" t="s">
        <v>3796</v>
      </c>
      <c r="C7437" s="247"/>
      <c r="D7437" s="247" t="s">
        <v>1423</v>
      </c>
      <c r="E7437" s="372">
        <v>1</v>
      </c>
      <c r="F7437" s="360">
        <f>'UPAD-BAHAN-ALAT'!$I$701</f>
        <v>6480</v>
      </c>
      <c r="G7437" s="274">
        <f t="shared" si="38"/>
        <v>6480</v>
      </c>
    </row>
    <row r="7438" spans="1:7">
      <c r="A7438" s="294"/>
      <c r="B7438" s="410" t="s">
        <v>3797</v>
      </c>
      <c r="C7438" s="247"/>
      <c r="D7438" s="247" t="s">
        <v>1423</v>
      </c>
      <c r="E7438" s="372">
        <v>1</v>
      </c>
      <c r="F7438" s="360">
        <f>'UPAD-BAHAN-ALAT'!$I$702</f>
        <v>6120</v>
      </c>
      <c r="G7438" s="274">
        <f t="shared" si="38"/>
        <v>6120</v>
      </c>
    </row>
    <row r="7439" spans="1:7">
      <c r="A7439" s="294"/>
      <c r="B7439" s="410" t="s">
        <v>3798</v>
      </c>
      <c r="C7439" s="247"/>
      <c r="D7439" s="247" t="s">
        <v>1423</v>
      </c>
      <c r="E7439" s="372">
        <v>1</v>
      </c>
      <c r="F7439" s="360">
        <f>'UPAD-BAHAN-ALAT'!$I$703</f>
        <v>358320</v>
      </c>
      <c r="G7439" s="274">
        <f t="shared" si="38"/>
        <v>358320</v>
      </c>
    </row>
    <row r="7440" spans="1:7">
      <c r="A7440" s="294"/>
      <c r="B7440" s="410" t="s">
        <v>3799</v>
      </c>
      <c r="C7440" s="247"/>
      <c r="D7440" s="247" t="s">
        <v>1423</v>
      </c>
      <c r="E7440" s="372">
        <v>1</v>
      </c>
      <c r="F7440" s="360">
        <f>'UPAD-BAHAN-ALAT'!$I$704</f>
        <v>792000</v>
      </c>
      <c r="G7440" s="274">
        <f t="shared" si="38"/>
        <v>792000</v>
      </c>
    </row>
    <row r="7441" spans="1:7">
      <c r="A7441" s="294"/>
      <c r="B7441" s="410" t="s">
        <v>3800</v>
      </c>
      <c r="C7441" s="247"/>
      <c r="D7441" s="247" t="s">
        <v>1423</v>
      </c>
      <c r="E7441" s="372">
        <v>2</v>
      </c>
      <c r="F7441" s="360">
        <f>'UPAD-BAHAN-ALAT'!$I$416</f>
        <v>4000</v>
      </c>
      <c r="G7441" s="274">
        <f t="shared" si="38"/>
        <v>8000</v>
      </c>
    </row>
    <row r="7442" spans="1:7">
      <c r="A7442" s="294"/>
      <c r="B7442" s="410" t="s">
        <v>3801</v>
      </c>
      <c r="C7442" s="247"/>
      <c r="D7442" s="247" t="s">
        <v>1423</v>
      </c>
      <c r="E7442" s="372">
        <v>1</v>
      </c>
      <c r="F7442" s="360">
        <f>'UPAD-BAHAN-ALAT'!$I$705</f>
        <v>3960</v>
      </c>
      <c r="G7442" s="274">
        <f t="shared" si="38"/>
        <v>3960</v>
      </c>
    </row>
    <row r="7443" spans="1:7">
      <c r="A7443" s="294"/>
      <c r="B7443" s="410" t="s">
        <v>3802</v>
      </c>
      <c r="C7443" s="247"/>
      <c r="D7443" s="247" t="s">
        <v>1423</v>
      </c>
      <c r="E7443" s="372">
        <v>1</v>
      </c>
      <c r="F7443" s="360">
        <f>'UPAD-BAHAN-ALAT'!$I$706</f>
        <v>12240</v>
      </c>
      <c r="G7443" s="274">
        <f t="shared" si="38"/>
        <v>12240</v>
      </c>
    </row>
    <row r="7444" spans="1:7">
      <c r="A7444" s="294"/>
      <c r="B7444" s="410"/>
      <c r="C7444" s="247"/>
      <c r="D7444" s="247"/>
      <c r="E7444" s="1146" t="s">
        <v>702</v>
      </c>
      <c r="F7444" s="1146"/>
      <c r="G7444" s="274">
        <f>SUM(G7427:G7443)</f>
        <v>2347160</v>
      </c>
    </row>
    <row r="7445" spans="1:7">
      <c r="A7445" s="294" t="s">
        <v>703</v>
      </c>
      <c r="B7445" s="410" t="s">
        <v>704</v>
      </c>
      <c r="C7445" s="247"/>
      <c r="D7445" s="247"/>
      <c r="E7445" s="372"/>
      <c r="F7445" s="360"/>
      <c r="G7445" s="274"/>
    </row>
    <row r="7446" spans="1:7">
      <c r="A7446" s="294"/>
      <c r="B7446" s="256" t="s">
        <v>3655</v>
      </c>
      <c r="C7446" s="247"/>
      <c r="D7446" s="257" t="s">
        <v>1011</v>
      </c>
      <c r="E7446" s="375">
        <v>1</v>
      </c>
      <c r="F7446" s="360">
        <v>50000</v>
      </c>
      <c r="G7446" s="274">
        <f>F7446*E7446</f>
        <v>50000</v>
      </c>
    </row>
    <row r="7447" spans="1:7">
      <c r="A7447" s="294"/>
      <c r="B7447" s="410"/>
      <c r="C7447" s="247"/>
      <c r="D7447" s="247"/>
      <c r="E7447" s="1146" t="s">
        <v>705</v>
      </c>
      <c r="F7447" s="1146"/>
      <c r="G7447" s="274">
        <f>SUM(G7446)</f>
        <v>50000</v>
      </c>
    </row>
    <row r="7448" spans="1:7">
      <c r="A7448" s="294" t="s">
        <v>706</v>
      </c>
      <c r="B7448" s="1147" t="s">
        <v>707</v>
      </c>
      <c r="C7448" s="1147"/>
      <c r="D7448" s="1147"/>
      <c r="E7448" s="1147"/>
      <c r="F7448" s="1147"/>
      <c r="G7448" s="273">
        <f>G7425+G7444+G7447</f>
        <v>2611310</v>
      </c>
    </row>
    <row r="7449" spans="1:7">
      <c r="A7449" s="294" t="s">
        <v>708</v>
      </c>
      <c r="B7449" s="1147" t="s">
        <v>709</v>
      </c>
      <c r="C7449" s="1147"/>
      <c r="D7449" s="1147"/>
      <c r="E7449" s="1147" t="s">
        <v>710</v>
      </c>
      <c r="F7449" s="1147"/>
      <c r="G7449" s="255">
        <f>G7448*0.15</f>
        <v>391696.5</v>
      </c>
    </row>
    <row r="7450" spans="1:7">
      <c r="A7450" s="294" t="s">
        <v>711</v>
      </c>
      <c r="B7450" s="1149" t="s">
        <v>712</v>
      </c>
      <c r="C7450" s="1149"/>
      <c r="D7450" s="1149"/>
      <c r="E7450" s="1149"/>
      <c r="F7450" s="1149"/>
      <c r="G7450" s="255">
        <f>ROUND(SUM(G7448:G7449),2)</f>
        <v>3003006.5</v>
      </c>
    </row>
    <row r="7451" spans="1:7">
      <c r="A7451" s="252"/>
      <c r="B7451" s="251"/>
      <c r="C7451" s="252"/>
      <c r="D7451" s="252"/>
      <c r="E7451" s="374"/>
      <c r="F7451" s="361"/>
      <c r="G7451" s="272"/>
    </row>
    <row r="7452" spans="1:7">
      <c r="A7452" s="285" t="s">
        <v>3803</v>
      </c>
      <c r="B7452" s="263" t="s">
        <v>4443</v>
      </c>
      <c r="C7452" s="276"/>
      <c r="D7452" s="276"/>
      <c r="E7452" s="383"/>
      <c r="G7452" s="277"/>
    </row>
    <row r="7453" spans="1:7" s="292" customFormat="1" ht="24.95" customHeight="1">
      <c r="A7453" s="290" t="s">
        <v>1003</v>
      </c>
      <c r="B7453" s="290" t="s">
        <v>1004</v>
      </c>
      <c r="C7453" s="290" t="s">
        <v>1005</v>
      </c>
      <c r="D7453" s="290" t="s">
        <v>1006</v>
      </c>
      <c r="E7453" s="373" t="s">
        <v>1007</v>
      </c>
      <c r="F7453" s="363" t="s">
        <v>2637</v>
      </c>
      <c r="G7453" s="353" t="s">
        <v>2638</v>
      </c>
    </row>
    <row r="7454" spans="1:7">
      <c r="A7454" s="294" t="s">
        <v>671</v>
      </c>
      <c r="B7454" s="410" t="s">
        <v>672</v>
      </c>
      <c r="C7454" s="247"/>
      <c r="D7454" s="247"/>
      <c r="E7454" s="372"/>
      <c r="F7454" s="360"/>
      <c r="G7454" s="274"/>
    </row>
    <row r="7455" spans="1:7">
      <c r="A7455" s="294"/>
      <c r="B7455" s="410" t="s">
        <v>673</v>
      </c>
      <c r="C7455" s="247" t="s">
        <v>674</v>
      </c>
      <c r="D7455" s="247" t="s">
        <v>675</v>
      </c>
      <c r="E7455" s="372">
        <f>0.106*10</f>
        <v>1.06</v>
      </c>
      <c r="F7455" s="360">
        <f>$F$7421</f>
        <v>110000</v>
      </c>
      <c r="G7455" s="274">
        <f>F7455*E7455</f>
        <v>116600</v>
      </c>
    </row>
    <row r="7456" spans="1:7">
      <c r="A7456" s="294"/>
      <c r="B7456" s="410" t="s">
        <v>1480</v>
      </c>
      <c r="C7456" s="247" t="s">
        <v>678</v>
      </c>
      <c r="D7456" s="247" t="s">
        <v>675</v>
      </c>
      <c r="E7456" s="372">
        <f>0.053*10</f>
        <v>0.53</v>
      </c>
      <c r="F7456" s="360">
        <f>$F$7422</f>
        <v>140000</v>
      </c>
      <c r="G7456" s="274">
        <f>F7456*E7456</f>
        <v>74200</v>
      </c>
    </row>
    <row r="7457" spans="1:7">
      <c r="A7457" s="294"/>
      <c r="B7457" s="410" t="s">
        <v>751</v>
      </c>
      <c r="C7457" s="247" t="s">
        <v>681</v>
      </c>
      <c r="D7457" s="247" t="s">
        <v>675</v>
      </c>
      <c r="E7457" s="372">
        <v>5.3000000000000005E-2</v>
      </c>
      <c r="F7457" s="360">
        <f>$F$6666</f>
        <v>150000</v>
      </c>
      <c r="G7457" s="274">
        <f>F7457*E7457</f>
        <v>7950.0000000000009</v>
      </c>
    </row>
    <row r="7458" spans="1:7">
      <c r="A7458" s="294"/>
      <c r="B7458" s="410" t="s">
        <v>683</v>
      </c>
      <c r="C7458" s="247" t="s">
        <v>684</v>
      </c>
      <c r="D7458" s="247" t="s">
        <v>675</v>
      </c>
      <c r="E7458" s="372">
        <f>0.011*10</f>
        <v>0.10999999999999999</v>
      </c>
      <c r="F7458" s="360">
        <f>$F$7424</f>
        <v>140000</v>
      </c>
      <c r="G7458" s="274">
        <f>F7458*E7458</f>
        <v>15399.999999999998</v>
      </c>
    </row>
    <row r="7459" spans="1:7">
      <c r="A7459" s="357"/>
      <c r="B7459" s="356"/>
      <c r="C7459" s="356"/>
      <c r="D7459" s="356"/>
      <c r="E7459" s="384" t="s">
        <v>685</v>
      </c>
      <c r="F7459" s="391"/>
      <c r="G7459" s="274">
        <f>SUM(G7455:G7458)</f>
        <v>214150</v>
      </c>
    </row>
    <row r="7460" spans="1:7">
      <c r="A7460" s="294" t="s">
        <v>686</v>
      </c>
      <c r="B7460" s="410" t="s">
        <v>687</v>
      </c>
      <c r="C7460" s="247"/>
      <c r="D7460" s="247"/>
      <c r="E7460" s="372"/>
      <c r="F7460" s="360"/>
      <c r="G7460" s="274"/>
    </row>
    <row r="7461" spans="1:7">
      <c r="A7461" s="294"/>
      <c r="B7461" s="410" t="s">
        <v>3785</v>
      </c>
      <c r="C7461" s="247"/>
      <c r="D7461" s="247" t="s">
        <v>2970</v>
      </c>
      <c r="E7461" s="372">
        <v>6</v>
      </c>
      <c r="F7461" s="360">
        <f>$F$7427</f>
        <v>14520</v>
      </c>
      <c r="G7461" s="274">
        <f t="shared" ref="G7461:G7477" si="39">F7461*E7461</f>
        <v>87120</v>
      </c>
    </row>
    <row r="7462" spans="1:7">
      <c r="A7462" s="294"/>
      <c r="B7462" s="410" t="s">
        <v>3786</v>
      </c>
      <c r="C7462" s="247"/>
      <c r="D7462" s="247" t="s">
        <v>2970</v>
      </c>
      <c r="E7462" s="372">
        <v>2</v>
      </c>
      <c r="F7462" s="360">
        <f>$F$7428</f>
        <v>68040</v>
      </c>
      <c r="G7462" s="274">
        <f t="shared" si="39"/>
        <v>136080</v>
      </c>
    </row>
    <row r="7463" spans="1:7">
      <c r="A7463" s="294"/>
      <c r="B7463" s="410" t="s">
        <v>3788</v>
      </c>
      <c r="C7463" s="247"/>
      <c r="D7463" s="247" t="s">
        <v>1423</v>
      </c>
      <c r="E7463" s="372">
        <v>1</v>
      </c>
      <c r="F7463" s="360">
        <f>$F$7429</f>
        <v>58200</v>
      </c>
      <c r="G7463" s="274">
        <f t="shared" si="39"/>
        <v>58200</v>
      </c>
    </row>
    <row r="7464" spans="1:7">
      <c r="A7464" s="294"/>
      <c r="B7464" s="410" t="s">
        <v>3965</v>
      </c>
      <c r="C7464" s="247"/>
      <c r="D7464" s="247" t="s">
        <v>1423</v>
      </c>
      <c r="E7464" s="372">
        <v>1</v>
      </c>
      <c r="F7464" s="360">
        <f>'UPAD-BAHAN-ALAT'!$I$687</f>
        <v>212640</v>
      </c>
      <c r="G7464" s="274">
        <f t="shared" si="39"/>
        <v>212640</v>
      </c>
    </row>
    <row r="7465" spans="1:7">
      <c r="A7465" s="294"/>
      <c r="B7465" s="410" t="s">
        <v>3790</v>
      </c>
      <c r="C7465" s="247"/>
      <c r="D7465" s="247" t="s">
        <v>1423</v>
      </c>
      <c r="E7465" s="372">
        <v>1</v>
      </c>
      <c r="F7465" s="360">
        <f>$F$7431</f>
        <v>37440</v>
      </c>
      <c r="G7465" s="274">
        <f t="shared" si="39"/>
        <v>37440</v>
      </c>
    </row>
    <row r="7466" spans="1:7">
      <c r="A7466" s="294"/>
      <c r="B7466" s="410" t="s">
        <v>3791</v>
      </c>
      <c r="C7466" s="247"/>
      <c r="D7466" s="247" t="s">
        <v>1423</v>
      </c>
      <c r="E7466" s="372">
        <v>1</v>
      </c>
      <c r="F7466" s="360">
        <f>$F$7432</f>
        <v>301200</v>
      </c>
      <c r="G7466" s="274">
        <f t="shared" si="39"/>
        <v>301200</v>
      </c>
    </row>
    <row r="7467" spans="1:7">
      <c r="A7467" s="294"/>
      <c r="B7467" s="410" t="s">
        <v>3792</v>
      </c>
      <c r="C7467" s="247"/>
      <c r="D7467" s="247" t="s">
        <v>1423</v>
      </c>
      <c r="E7467" s="372">
        <v>1</v>
      </c>
      <c r="F7467" s="360">
        <f>$F$7433</f>
        <v>59520</v>
      </c>
      <c r="G7467" s="274">
        <f t="shared" si="39"/>
        <v>59520</v>
      </c>
    </row>
    <row r="7468" spans="1:7">
      <c r="A7468" s="294"/>
      <c r="B7468" s="410" t="s">
        <v>3793</v>
      </c>
      <c r="C7468" s="247"/>
      <c r="D7468" s="247" t="s">
        <v>1423</v>
      </c>
      <c r="E7468" s="372">
        <v>1</v>
      </c>
      <c r="F7468" s="360">
        <f>$F$7434</f>
        <v>277200</v>
      </c>
      <c r="G7468" s="274">
        <f t="shared" si="39"/>
        <v>277200</v>
      </c>
    </row>
    <row r="7469" spans="1:7">
      <c r="A7469" s="294"/>
      <c r="B7469" s="410" t="s">
        <v>3794</v>
      </c>
      <c r="C7469" s="247"/>
      <c r="D7469" s="247" t="s">
        <v>1423</v>
      </c>
      <c r="E7469" s="372">
        <v>2</v>
      </c>
      <c r="F7469" s="360">
        <f>$F$7435</f>
        <v>12600</v>
      </c>
      <c r="G7469" s="274">
        <f t="shared" si="39"/>
        <v>25200</v>
      </c>
    </row>
    <row r="7470" spans="1:7">
      <c r="A7470" s="294"/>
      <c r="B7470" s="410" t="s">
        <v>3795</v>
      </c>
      <c r="C7470" s="247"/>
      <c r="D7470" s="247" t="s">
        <v>1423</v>
      </c>
      <c r="E7470" s="372">
        <v>1</v>
      </c>
      <c r="F7470" s="360">
        <f>$F$7436</f>
        <v>54120</v>
      </c>
      <c r="G7470" s="274">
        <f t="shared" si="39"/>
        <v>54120</v>
      </c>
    </row>
    <row r="7471" spans="1:7">
      <c r="A7471" s="294"/>
      <c r="B7471" s="410" t="s">
        <v>3796</v>
      </c>
      <c r="C7471" s="247"/>
      <c r="D7471" s="247" t="s">
        <v>1423</v>
      </c>
      <c r="E7471" s="372">
        <v>1</v>
      </c>
      <c r="F7471" s="360">
        <f>$F$7437</f>
        <v>6480</v>
      </c>
      <c r="G7471" s="274">
        <f t="shared" si="39"/>
        <v>6480</v>
      </c>
    </row>
    <row r="7472" spans="1:7">
      <c r="A7472" s="294"/>
      <c r="B7472" s="410" t="s">
        <v>3797</v>
      </c>
      <c r="C7472" s="247"/>
      <c r="D7472" s="247" t="s">
        <v>1423</v>
      </c>
      <c r="E7472" s="372">
        <v>1</v>
      </c>
      <c r="F7472" s="360">
        <f>$F$7438</f>
        <v>6120</v>
      </c>
      <c r="G7472" s="274">
        <f t="shared" si="39"/>
        <v>6120</v>
      </c>
    </row>
    <row r="7473" spans="1:7">
      <c r="A7473" s="294"/>
      <c r="B7473" s="410" t="s">
        <v>3798</v>
      </c>
      <c r="C7473" s="247"/>
      <c r="D7473" s="247" t="s">
        <v>1423</v>
      </c>
      <c r="E7473" s="372">
        <v>1</v>
      </c>
      <c r="F7473" s="360">
        <f>$F$7439</f>
        <v>358320</v>
      </c>
      <c r="G7473" s="274">
        <f t="shared" si="39"/>
        <v>358320</v>
      </c>
    </row>
    <row r="7474" spans="1:7">
      <c r="A7474" s="294"/>
      <c r="B7474" s="410" t="s">
        <v>3799</v>
      </c>
      <c r="C7474" s="247"/>
      <c r="D7474" s="247" t="s">
        <v>1423</v>
      </c>
      <c r="E7474" s="372">
        <v>1</v>
      </c>
      <c r="F7474" s="360">
        <f>$F$7440</f>
        <v>792000</v>
      </c>
      <c r="G7474" s="274">
        <f t="shared" si="39"/>
        <v>792000</v>
      </c>
    </row>
    <row r="7475" spans="1:7">
      <c r="A7475" s="294"/>
      <c r="B7475" s="410" t="s">
        <v>3800</v>
      </c>
      <c r="C7475" s="247"/>
      <c r="D7475" s="247" t="s">
        <v>1423</v>
      </c>
      <c r="E7475" s="372">
        <v>2</v>
      </c>
      <c r="F7475" s="360">
        <f>$F$7441</f>
        <v>4000</v>
      </c>
      <c r="G7475" s="274">
        <f t="shared" si="39"/>
        <v>8000</v>
      </c>
    </row>
    <row r="7476" spans="1:7">
      <c r="A7476" s="294"/>
      <c r="B7476" s="410" t="s">
        <v>3801</v>
      </c>
      <c r="C7476" s="247"/>
      <c r="D7476" s="247" t="s">
        <v>1423</v>
      </c>
      <c r="E7476" s="372">
        <v>1</v>
      </c>
      <c r="F7476" s="360">
        <f>$F$7442</f>
        <v>3960</v>
      </c>
      <c r="G7476" s="274">
        <f t="shared" si="39"/>
        <v>3960</v>
      </c>
    </row>
    <row r="7477" spans="1:7">
      <c r="A7477" s="294"/>
      <c r="B7477" s="410" t="s">
        <v>3802</v>
      </c>
      <c r="C7477" s="247"/>
      <c r="D7477" s="247" t="s">
        <v>1423</v>
      </c>
      <c r="E7477" s="372">
        <v>1</v>
      </c>
      <c r="F7477" s="360">
        <f>$F$7443</f>
        <v>12240</v>
      </c>
      <c r="G7477" s="274">
        <f t="shared" si="39"/>
        <v>12240</v>
      </c>
    </row>
    <row r="7478" spans="1:7">
      <c r="A7478" s="294"/>
      <c r="B7478" s="410"/>
      <c r="C7478" s="247"/>
      <c r="D7478" s="247"/>
      <c r="E7478" s="1146" t="s">
        <v>702</v>
      </c>
      <c r="F7478" s="1146"/>
      <c r="G7478" s="274">
        <f>SUM(G7461:G7477)</f>
        <v>2435840</v>
      </c>
    </row>
    <row r="7479" spans="1:7">
      <c r="A7479" s="294" t="s">
        <v>703</v>
      </c>
      <c r="B7479" s="410" t="s">
        <v>704</v>
      </c>
      <c r="C7479" s="247"/>
      <c r="D7479" s="247"/>
      <c r="E7479" s="372"/>
      <c r="F7479" s="360"/>
      <c r="G7479" s="274"/>
    </row>
    <row r="7480" spans="1:7">
      <c r="A7480" s="294"/>
      <c r="B7480" s="256" t="s">
        <v>3655</v>
      </c>
      <c r="C7480" s="247"/>
      <c r="D7480" s="257" t="s">
        <v>1011</v>
      </c>
      <c r="E7480" s="375">
        <v>1</v>
      </c>
      <c r="F7480" s="360">
        <v>50000</v>
      </c>
      <c r="G7480" s="274">
        <f>F7480*E7480</f>
        <v>50000</v>
      </c>
    </row>
    <row r="7481" spans="1:7">
      <c r="A7481" s="294"/>
      <c r="B7481" s="410"/>
      <c r="C7481" s="247"/>
      <c r="D7481" s="247"/>
      <c r="E7481" s="1146" t="s">
        <v>705</v>
      </c>
      <c r="F7481" s="1146"/>
      <c r="G7481" s="274">
        <f>SUM(G7480)</f>
        <v>50000</v>
      </c>
    </row>
    <row r="7482" spans="1:7">
      <c r="A7482" s="294" t="s">
        <v>706</v>
      </c>
      <c r="B7482" s="1147" t="s">
        <v>707</v>
      </c>
      <c r="C7482" s="1147"/>
      <c r="D7482" s="1147"/>
      <c r="E7482" s="1147"/>
      <c r="F7482" s="1147"/>
      <c r="G7482" s="273">
        <f>G7459+G7478+G7481</f>
        <v>2699990</v>
      </c>
    </row>
    <row r="7483" spans="1:7">
      <c r="A7483" s="294" t="s">
        <v>708</v>
      </c>
      <c r="B7483" s="1147" t="s">
        <v>709</v>
      </c>
      <c r="C7483" s="1147"/>
      <c r="D7483" s="1147"/>
      <c r="E7483" s="1147" t="s">
        <v>710</v>
      </c>
      <c r="F7483" s="1147"/>
      <c r="G7483" s="255">
        <f>G7482*0.15</f>
        <v>404998.5</v>
      </c>
    </row>
    <row r="7484" spans="1:7">
      <c r="A7484" s="294" t="s">
        <v>711</v>
      </c>
      <c r="B7484" s="1149" t="s">
        <v>712</v>
      </c>
      <c r="C7484" s="1149"/>
      <c r="D7484" s="1149"/>
      <c r="E7484" s="1149"/>
      <c r="F7484" s="1149"/>
      <c r="G7484" s="255">
        <f>ROUND(SUM(G7482:G7483),2)</f>
        <v>3104988.5</v>
      </c>
    </row>
    <row r="7485" spans="1:7">
      <c r="A7485" s="252"/>
      <c r="B7485" s="251"/>
      <c r="C7485" s="252"/>
      <c r="D7485" s="252"/>
      <c r="E7485" s="374"/>
      <c r="F7485" s="361"/>
      <c r="G7485" s="272"/>
    </row>
    <row r="7486" spans="1:7">
      <c r="A7486" s="285" t="s">
        <v>3804</v>
      </c>
      <c r="B7486" s="263" t="s">
        <v>4444</v>
      </c>
      <c r="C7486" s="276"/>
      <c r="D7486" s="276"/>
      <c r="E7486" s="383"/>
      <c r="G7486" s="277"/>
    </row>
    <row r="7487" spans="1:7" s="292" customFormat="1" ht="24.95" customHeight="1">
      <c r="A7487" s="290" t="s">
        <v>1003</v>
      </c>
      <c r="B7487" s="290" t="s">
        <v>1004</v>
      </c>
      <c r="C7487" s="290" t="s">
        <v>1005</v>
      </c>
      <c r="D7487" s="290" t="s">
        <v>1006</v>
      </c>
      <c r="E7487" s="373" t="s">
        <v>1007</v>
      </c>
      <c r="F7487" s="363" t="s">
        <v>2637</v>
      </c>
      <c r="G7487" s="353" t="s">
        <v>2638</v>
      </c>
    </row>
    <row r="7488" spans="1:7">
      <c r="A7488" s="294" t="s">
        <v>671</v>
      </c>
      <c r="B7488" s="410" t="s">
        <v>672</v>
      </c>
      <c r="C7488" s="247"/>
      <c r="D7488" s="247"/>
      <c r="E7488" s="372"/>
      <c r="F7488" s="360"/>
      <c r="G7488" s="274"/>
    </row>
    <row r="7489" spans="1:7">
      <c r="A7489" s="294"/>
      <c r="B7489" s="410" t="s">
        <v>673</v>
      </c>
      <c r="C7489" s="247" t="s">
        <v>674</v>
      </c>
      <c r="D7489" s="247" t="s">
        <v>675</v>
      </c>
      <c r="E7489" s="372">
        <f>0.106*10</f>
        <v>1.06</v>
      </c>
      <c r="F7489" s="360">
        <f>$F$7455</f>
        <v>110000</v>
      </c>
      <c r="G7489" s="274">
        <f>F7489*E7489</f>
        <v>116600</v>
      </c>
    </row>
    <row r="7490" spans="1:7">
      <c r="A7490" s="294"/>
      <c r="B7490" s="410" t="s">
        <v>1480</v>
      </c>
      <c r="C7490" s="247" t="s">
        <v>678</v>
      </c>
      <c r="D7490" s="247" t="s">
        <v>675</v>
      </c>
      <c r="E7490" s="372">
        <f>0.053*10</f>
        <v>0.53</v>
      </c>
      <c r="F7490" s="360">
        <f>$F$7456</f>
        <v>140000</v>
      </c>
      <c r="G7490" s="274">
        <f>F7490*E7490</f>
        <v>74200</v>
      </c>
    </row>
    <row r="7491" spans="1:7">
      <c r="A7491" s="294"/>
      <c r="B7491" s="410" t="s">
        <v>751</v>
      </c>
      <c r="C7491" s="247" t="s">
        <v>681</v>
      </c>
      <c r="D7491" s="247" t="s">
        <v>675</v>
      </c>
      <c r="E7491" s="372">
        <v>5.3000000000000005E-2</v>
      </c>
      <c r="F7491" s="360">
        <f>$F$6666</f>
        <v>150000</v>
      </c>
      <c r="G7491" s="274">
        <f>F7491*E7491</f>
        <v>7950.0000000000009</v>
      </c>
    </row>
    <row r="7492" spans="1:7">
      <c r="A7492" s="294"/>
      <c r="B7492" s="410" t="s">
        <v>683</v>
      </c>
      <c r="C7492" s="247" t="s">
        <v>684</v>
      </c>
      <c r="D7492" s="247" t="s">
        <v>675</v>
      </c>
      <c r="E7492" s="372">
        <f>0.011*10</f>
        <v>0.10999999999999999</v>
      </c>
      <c r="F7492" s="360">
        <f>$F$7458</f>
        <v>140000</v>
      </c>
      <c r="G7492" s="274">
        <f>F7492*E7492</f>
        <v>15399.999999999998</v>
      </c>
    </row>
    <row r="7493" spans="1:7">
      <c r="A7493" s="357"/>
      <c r="B7493" s="356"/>
      <c r="C7493" s="356"/>
      <c r="D7493" s="356"/>
      <c r="E7493" s="384" t="s">
        <v>685</v>
      </c>
      <c r="F7493" s="391"/>
      <c r="G7493" s="274">
        <f>SUM(G7489:G7492)</f>
        <v>214150</v>
      </c>
    </row>
    <row r="7494" spans="1:7">
      <c r="A7494" s="294" t="s">
        <v>686</v>
      </c>
      <c r="B7494" s="410" t="s">
        <v>687</v>
      </c>
      <c r="C7494" s="247"/>
      <c r="D7494" s="247"/>
      <c r="E7494" s="372"/>
      <c r="F7494" s="360"/>
      <c r="G7494" s="274"/>
    </row>
    <row r="7495" spans="1:7">
      <c r="A7495" s="294"/>
      <c r="B7495" s="410" t="s">
        <v>3785</v>
      </c>
      <c r="C7495" s="247"/>
      <c r="D7495" s="247" t="s">
        <v>2970</v>
      </c>
      <c r="E7495" s="372">
        <v>6</v>
      </c>
      <c r="F7495" s="360">
        <f>$F$7461</f>
        <v>14520</v>
      </c>
      <c r="G7495" s="274">
        <f t="shared" ref="G7495:G7511" si="40">F7495*E7495</f>
        <v>87120</v>
      </c>
    </row>
    <row r="7496" spans="1:7">
      <c r="A7496" s="294"/>
      <c r="B7496" s="410" t="s">
        <v>3786</v>
      </c>
      <c r="C7496" s="247"/>
      <c r="D7496" s="247" t="s">
        <v>2970</v>
      </c>
      <c r="E7496" s="372">
        <v>2</v>
      </c>
      <c r="F7496" s="360">
        <f>$F$7462</f>
        <v>68040</v>
      </c>
      <c r="G7496" s="274">
        <f t="shared" si="40"/>
        <v>136080</v>
      </c>
    </row>
    <row r="7497" spans="1:7">
      <c r="A7497" s="294"/>
      <c r="B7497" s="410" t="s">
        <v>3788</v>
      </c>
      <c r="C7497" s="247"/>
      <c r="D7497" s="247" t="s">
        <v>1423</v>
      </c>
      <c r="E7497" s="372">
        <v>1</v>
      </c>
      <c r="F7497" s="360">
        <f>$F$7463</f>
        <v>58200</v>
      </c>
      <c r="G7497" s="274">
        <f t="shared" si="40"/>
        <v>58200</v>
      </c>
    </row>
    <row r="7498" spans="1:7">
      <c r="A7498" s="294"/>
      <c r="B7498" s="281" t="s">
        <v>3964</v>
      </c>
      <c r="C7498" s="247"/>
      <c r="D7498" s="247" t="s">
        <v>1423</v>
      </c>
      <c r="E7498" s="372">
        <v>1</v>
      </c>
      <c r="F7498" s="360">
        <f>'UPAD-BAHAN-ALAT'!$I$686</f>
        <v>318960</v>
      </c>
      <c r="G7498" s="274">
        <f t="shared" si="40"/>
        <v>318960</v>
      </c>
    </row>
    <row r="7499" spans="1:7">
      <c r="A7499" s="294"/>
      <c r="B7499" s="410" t="s">
        <v>3790</v>
      </c>
      <c r="C7499" s="247"/>
      <c r="D7499" s="247" t="s">
        <v>1423</v>
      </c>
      <c r="E7499" s="372">
        <v>1</v>
      </c>
      <c r="F7499" s="360">
        <f>$F$7465</f>
        <v>37440</v>
      </c>
      <c r="G7499" s="274">
        <f t="shared" si="40"/>
        <v>37440</v>
      </c>
    </row>
    <row r="7500" spans="1:7">
      <c r="A7500" s="294"/>
      <c r="B7500" s="410" t="s">
        <v>3791</v>
      </c>
      <c r="C7500" s="247"/>
      <c r="D7500" s="247" t="s">
        <v>1423</v>
      </c>
      <c r="E7500" s="372">
        <v>1</v>
      </c>
      <c r="F7500" s="360">
        <f>$F$7466</f>
        <v>301200</v>
      </c>
      <c r="G7500" s="274">
        <f t="shared" si="40"/>
        <v>301200</v>
      </c>
    </row>
    <row r="7501" spans="1:7">
      <c r="A7501" s="294"/>
      <c r="B7501" s="410" t="s">
        <v>3792</v>
      </c>
      <c r="C7501" s="247"/>
      <c r="D7501" s="247" t="s">
        <v>1423</v>
      </c>
      <c r="E7501" s="372">
        <v>1</v>
      </c>
      <c r="F7501" s="360">
        <f>$F$7467</f>
        <v>59520</v>
      </c>
      <c r="G7501" s="274">
        <f t="shared" si="40"/>
        <v>59520</v>
      </c>
    </row>
    <row r="7502" spans="1:7">
      <c r="A7502" s="294"/>
      <c r="B7502" s="410" t="s">
        <v>3793</v>
      </c>
      <c r="C7502" s="247"/>
      <c r="D7502" s="247" t="s">
        <v>1423</v>
      </c>
      <c r="E7502" s="372">
        <v>1</v>
      </c>
      <c r="F7502" s="360">
        <f>$F$7468</f>
        <v>277200</v>
      </c>
      <c r="G7502" s="274">
        <f t="shared" si="40"/>
        <v>277200</v>
      </c>
    </row>
    <row r="7503" spans="1:7">
      <c r="A7503" s="294"/>
      <c r="B7503" s="410" t="s">
        <v>3794</v>
      </c>
      <c r="C7503" s="247"/>
      <c r="D7503" s="247" t="s">
        <v>1423</v>
      </c>
      <c r="E7503" s="372">
        <v>2</v>
      </c>
      <c r="F7503" s="360">
        <f>$F$7469</f>
        <v>12600</v>
      </c>
      <c r="G7503" s="274">
        <f t="shared" si="40"/>
        <v>25200</v>
      </c>
    </row>
    <row r="7504" spans="1:7">
      <c r="A7504" s="294"/>
      <c r="B7504" s="410" t="s">
        <v>3795</v>
      </c>
      <c r="C7504" s="247"/>
      <c r="D7504" s="247" t="s">
        <v>1423</v>
      </c>
      <c r="E7504" s="372">
        <v>1</v>
      </c>
      <c r="F7504" s="360">
        <f>$F$7470</f>
        <v>54120</v>
      </c>
      <c r="G7504" s="274">
        <f t="shared" si="40"/>
        <v>54120</v>
      </c>
    </row>
    <row r="7505" spans="1:7">
      <c r="A7505" s="294"/>
      <c r="B7505" s="410" t="s">
        <v>3796</v>
      </c>
      <c r="C7505" s="247"/>
      <c r="D7505" s="247" t="s">
        <v>1423</v>
      </c>
      <c r="E7505" s="372">
        <v>1</v>
      </c>
      <c r="F7505" s="360">
        <f>$F$7471</f>
        <v>6480</v>
      </c>
      <c r="G7505" s="274">
        <f t="shared" si="40"/>
        <v>6480</v>
      </c>
    </row>
    <row r="7506" spans="1:7">
      <c r="A7506" s="294"/>
      <c r="B7506" s="410" t="s">
        <v>3797</v>
      </c>
      <c r="C7506" s="247"/>
      <c r="D7506" s="247" t="s">
        <v>1423</v>
      </c>
      <c r="E7506" s="372">
        <v>1</v>
      </c>
      <c r="F7506" s="360">
        <f>$F$7472</f>
        <v>6120</v>
      </c>
      <c r="G7506" s="274">
        <f t="shared" si="40"/>
        <v>6120</v>
      </c>
    </row>
    <row r="7507" spans="1:7">
      <c r="A7507" s="294"/>
      <c r="B7507" s="410" t="s">
        <v>3798</v>
      </c>
      <c r="C7507" s="247"/>
      <c r="D7507" s="247" t="s">
        <v>1423</v>
      </c>
      <c r="E7507" s="372">
        <v>1</v>
      </c>
      <c r="F7507" s="360">
        <f>$F$7473</f>
        <v>358320</v>
      </c>
      <c r="G7507" s="274">
        <f t="shared" si="40"/>
        <v>358320</v>
      </c>
    </row>
    <row r="7508" spans="1:7">
      <c r="A7508" s="294"/>
      <c r="B7508" s="410" t="s">
        <v>3799</v>
      </c>
      <c r="C7508" s="247"/>
      <c r="D7508" s="247" t="s">
        <v>1423</v>
      </c>
      <c r="E7508" s="372">
        <v>1</v>
      </c>
      <c r="F7508" s="360">
        <f>$F$7474</f>
        <v>792000</v>
      </c>
      <c r="G7508" s="274">
        <f t="shared" si="40"/>
        <v>792000</v>
      </c>
    </row>
    <row r="7509" spans="1:7">
      <c r="A7509" s="294"/>
      <c r="B7509" s="410" t="s">
        <v>3800</v>
      </c>
      <c r="C7509" s="247"/>
      <c r="D7509" s="247" t="s">
        <v>1423</v>
      </c>
      <c r="E7509" s="372">
        <v>2</v>
      </c>
      <c r="F7509" s="360">
        <f>$F$7475</f>
        <v>4000</v>
      </c>
      <c r="G7509" s="274">
        <f t="shared" si="40"/>
        <v>8000</v>
      </c>
    </row>
    <row r="7510" spans="1:7">
      <c r="A7510" s="294"/>
      <c r="B7510" s="410" t="s">
        <v>3801</v>
      </c>
      <c r="C7510" s="247"/>
      <c r="D7510" s="247" t="s">
        <v>1423</v>
      </c>
      <c r="E7510" s="372">
        <v>1</v>
      </c>
      <c r="F7510" s="360">
        <f>$F$7476</f>
        <v>3960</v>
      </c>
      <c r="G7510" s="274">
        <f t="shared" si="40"/>
        <v>3960</v>
      </c>
    </row>
    <row r="7511" spans="1:7">
      <c r="A7511" s="294"/>
      <c r="B7511" s="410" t="s">
        <v>3802</v>
      </c>
      <c r="C7511" s="247"/>
      <c r="D7511" s="247" t="s">
        <v>1423</v>
      </c>
      <c r="E7511" s="372">
        <v>1</v>
      </c>
      <c r="F7511" s="360">
        <f>$F$7477</f>
        <v>12240</v>
      </c>
      <c r="G7511" s="274">
        <f t="shared" si="40"/>
        <v>12240</v>
      </c>
    </row>
    <row r="7512" spans="1:7">
      <c r="A7512" s="294"/>
      <c r="B7512" s="410"/>
      <c r="C7512" s="247"/>
      <c r="D7512" s="247"/>
      <c r="E7512" s="1146" t="s">
        <v>702</v>
      </c>
      <c r="F7512" s="1146"/>
      <c r="G7512" s="274">
        <f>SUM(G7495:G7511)</f>
        <v>2542160</v>
      </c>
    </row>
    <row r="7513" spans="1:7">
      <c r="A7513" s="294" t="s">
        <v>703</v>
      </c>
      <c r="B7513" s="410" t="s">
        <v>704</v>
      </c>
      <c r="C7513" s="247"/>
      <c r="D7513" s="247"/>
      <c r="E7513" s="372"/>
      <c r="F7513" s="360"/>
      <c r="G7513" s="274"/>
    </row>
    <row r="7514" spans="1:7">
      <c r="A7514" s="294"/>
      <c r="B7514" s="256" t="s">
        <v>3655</v>
      </c>
      <c r="C7514" s="247"/>
      <c r="D7514" s="257" t="s">
        <v>1011</v>
      </c>
      <c r="E7514" s="375">
        <v>1</v>
      </c>
      <c r="F7514" s="360">
        <v>50000</v>
      </c>
      <c r="G7514" s="274">
        <f>F7514*E7514</f>
        <v>50000</v>
      </c>
    </row>
    <row r="7515" spans="1:7">
      <c r="A7515" s="294"/>
      <c r="B7515" s="410"/>
      <c r="C7515" s="247"/>
      <c r="D7515" s="247"/>
      <c r="E7515" s="1146" t="s">
        <v>705</v>
      </c>
      <c r="F7515" s="1146"/>
      <c r="G7515" s="274">
        <f>SUM(G7514)</f>
        <v>50000</v>
      </c>
    </row>
    <row r="7516" spans="1:7">
      <c r="A7516" s="294" t="s">
        <v>706</v>
      </c>
      <c r="B7516" s="1147" t="s">
        <v>707</v>
      </c>
      <c r="C7516" s="1147"/>
      <c r="D7516" s="1147"/>
      <c r="E7516" s="1147"/>
      <c r="F7516" s="1147"/>
      <c r="G7516" s="273">
        <f>G7493+G7512+G7515</f>
        <v>2806310</v>
      </c>
    </row>
    <row r="7517" spans="1:7">
      <c r="A7517" s="294" t="s">
        <v>708</v>
      </c>
      <c r="B7517" s="1147" t="s">
        <v>709</v>
      </c>
      <c r="C7517" s="1147"/>
      <c r="D7517" s="1147"/>
      <c r="E7517" s="1147" t="s">
        <v>710</v>
      </c>
      <c r="F7517" s="1147"/>
      <c r="G7517" s="255">
        <f>G7516*0.15</f>
        <v>420946.5</v>
      </c>
    </row>
    <row r="7518" spans="1:7">
      <c r="A7518" s="294" t="s">
        <v>711</v>
      </c>
      <c r="B7518" s="1149" t="s">
        <v>712</v>
      </c>
      <c r="C7518" s="1149"/>
      <c r="D7518" s="1149"/>
      <c r="E7518" s="1149"/>
      <c r="F7518" s="1149"/>
      <c r="G7518" s="255">
        <f>ROUND(SUM(G7516:G7517),2)</f>
        <v>3227256.5</v>
      </c>
    </row>
    <row r="7519" spans="1:7">
      <c r="A7519" s="252"/>
      <c r="B7519" s="251"/>
      <c r="C7519" s="252"/>
      <c r="D7519" s="252"/>
      <c r="E7519" s="374"/>
      <c r="F7519" s="361"/>
      <c r="G7519" s="272"/>
    </row>
    <row r="7520" spans="1:7">
      <c r="A7520" s="285" t="s">
        <v>3805</v>
      </c>
      <c r="B7520" s="263" t="s">
        <v>4445</v>
      </c>
      <c r="C7520" s="276"/>
      <c r="D7520" s="276"/>
      <c r="E7520" s="383"/>
      <c r="G7520" s="277"/>
    </row>
    <row r="7521" spans="1:7" s="292" customFormat="1" ht="24.95" customHeight="1">
      <c r="A7521" s="290" t="s">
        <v>1003</v>
      </c>
      <c r="B7521" s="290" t="s">
        <v>1004</v>
      </c>
      <c r="C7521" s="290" t="s">
        <v>1005</v>
      </c>
      <c r="D7521" s="290" t="s">
        <v>1006</v>
      </c>
      <c r="E7521" s="373" t="s">
        <v>1007</v>
      </c>
      <c r="F7521" s="363" t="s">
        <v>2637</v>
      </c>
      <c r="G7521" s="353" t="s">
        <v>2638</v>
      </c>
    </row>
    <row r="7522" spans="1:7">
      <c r="A7522" s="294" t="s">
        <v>671</v>
      </c>
      <c r="B7522" s="410" t="s">
        <v>672</v>
      </c>
      <c r="C7522" s="247"/>
      <c r="D7522" s="247"/>
      <c r="E7522" s="372"/>
      <c r="F7522" s="360"/>
      <c r="G7522" s="274"/>
    </row>
    <row r="7523" spans="1:7">
      <c r="A7523" s="294"/>
      <c r="B7523" s="410" t="s">
        <v>673</v>
      </c>
      <c r="C7523" s="247" t="s">
        <v>674</v>
      </c>
      <c r="D7523" s="247" t="s">
        <v>675</v>
      </c>
      <c r="E7523" s="372">
        <f>0.106*10</f>
        <v>1.06</v>
      </c>
      <c r="F7523" s="360">
        <f>$F$7455</f>
        <v>110000</v>
      </c>
      <c r="G7523" s="274">
        <f>F7523*E7523</f>
        <v>116600</v>
      </c>
    </row>
    <row r="7524" spans="1:7">
      <c r="A7524" s="294"/>
      <c r="B7524" s="410" t="s">
        <v>1480</v>
      </c>
      <c r="C7524" s="247" t="s">
        <v>678</v>
      </c>
      <c r="D7524" s="247" t="s">
        <v>675</v>
      </c>
      <c r="E7524" s="372">
        <f>0.053*10</f>
        <v>0.53</v>
      </c>
      <c r="F7524" s="360">
        <f>$F$7456</f>
        <v>140000</v>
      </c>
      <c r="G7524" s="274">
        <f>F7524*E7524</f>
        <v>74200</v>
      </c>
    </row>
    <row r="7525" spans="1:7">
      <c r="A7525" s="294"/>
      <c r="B7525" s="410" t="s">
        <v>751</v>
      </c>
      <c r="C7525" s="247" t="s">
        <v>681</v>
      </c>
      <c r="D7525" s="247" t="s">
        <v>675</v>
      </c>
      <c r="E7525" s="372">
        <v>5.3000000000000005E-2</v>
      </c>
      <c r="F7525" s="360">
        <f>$F$6666</f>
        <v>150000</v>
      </c>
      <c r="G7525" s="274">
        <f>F7525*E7525</f>
        <v>7950.0000000000009</v>
      </c>
    </row>
    <row r="7526" spans="1:7">
      <c r="A7526" s="294"/>
      <c r="B7526" s="410" t="s">
        <v>683</v>
      </c>
      <c r="C7526" s="247" t="s">
        <v>684</v>
      </c>
      <c r="D7526" s="247" t="s">
        <v>675</v>
      </c>
      <c r="E7526" s="372">
        <f>0.011*10</f>
        <v>0.10999999999999999</v>
      </c>
      <c r="F7526" s="360">
        <f>$F$7458</f>
        <v>140000</v>
      </c>
      <c r="G7526" s="274">
        <f>F7526*E7526</f>
        <v>15399.999999999998</v>
      </c>
    </row>
    <row r="7527" spans="1:7">
      <c r="A7527" s="357"/>
      <c r="B7527" s="356"/>
      <c r="C7527" s="356"/>
      <c r="D7527" s="356"/>
      <c r="E7527" s="384" t="s">
        <v>685</v>
      </c>
      <c r="F7527" s="391"/>
      <c r="G7527" s="274">
        <f>SUM(G7523:G7526)</f>
        <v>214150</v>
      </c>
    </row>
    <row r="7528" spans="1:7">
      <c r="A7528" s="294" t="s">
        <v>686</v>
      </c>
      <c r="B7528" s="410" t="s">
        <v>687</v>
      </c>
      <c r="C7528" s="247"/>
      <c r="D7528" s="247"/>
      <c r="E7528" s="372"/>
      <c r="F7528" s="360"/>
      <c r="G7528" s="274"/>
    </row>
    <row r="7529" spans="1:7">
      <c r="A7529" s="294"/>
      <c r="B7529" s="410" t="s">
        <v>3785</v>
      </c>
      <c r="C7529" s="247"/>
      <c r="D7529" s="247" t="s">
        <v>2970</v>
      </c>
      <c r="E7529" s="372">
        <v>6</v>
      </c>
      <c r="F7529" s="360">
        <f>$F$7495</f>
        <v>14520</v>
      </c>
      <c r="G7529" s="274">
        <f t="shared" ref="G7529:G7545" si="41">F7529*E7529</f>
        <v>87120</v>
      </c>
    </row>
    <row r="7530" spans="1:7">
      <c r="A7530" s="294"/>
      <c r="B7530" s="410" t="s">
        <v>3786</v>
      </c>
      <c r="C7530" s="247"/>
      <c r="D7530" s="247" t="s">
        <v>2970</v>
      </c>
      <c r="E7530" s="372">
        <v>2</v>
      </c>
      <c r="F7530" s="360">
        <f>$F$7496</f>
        <v>68040</v>
      </c>
      <c r="G7530" s="274">
        <f t="shared" si="41"/>
        <v>136080</v>
      </c>
    </row>
    <row r="7531" spans="1:7">
      <c r="A7531" s="294"/>
      <c r="B7531" s="410" t="s">
        <v>3788</v>
      </c>
      <c r="C7531" s="247"/>
      <c r="D7531" s="247" t="s">
        <v>1423</v>
      </c>
      <c r="E7531" s="372">
        <v>1</v>
      </c>
      <c r="F7531" s="360">
        <f>$F$7497</f>
        <v>58200</v>
      </c>
      <c r="G7531" s="274">
        <f t="shared" si="41"/>
        <v>58200</v>
      </c>
    </row>
    <row r="7532" spans="1:7">
      <c r="A7532" s="294"/>
      <c r="B7532" s="410" t="s">
        <v>3963</v>
      </c>
      <c r="C7532" s="247"/>
      <c r="D7532" s="247" t="s">
        <v>1423</v>
      </c>
      <c r="E7532" s="372">
        <v>1</v>
      </c>
      <c r="F7532" s="360">
        <f>'UPAD-BAHAN-ALAT'!$I$685</f>
        <v>336600</v>
      </c>
      <c r="G7532" s="274">
        <f t="shared" si="41"/>
        <v>336600</v>
      </c>
    </row>
    <row r="7533" spans="1:7">
      <c r="A7533" s="294"/>
      <c r="B7533" s="410" t="s">
        <v>3790</v>
      </c>
      <c r="C7533" s="247"/>
      <c r="D7533" s="247" t="s">
        <v>1423</v>
      </c>
      <c r="E7533" s="372">
        <v>1</v>
      </c>
      <c r="F7533" s="360">
        <f>$F$7499</f>
        <v>37440</v>
      </c>
      <c r="G7533" s="274">
        <f t="shared" si="41"/>
        <v>37440</v>
      </c>
    </row>
    <row r="7534" spans="1:7">
      <c r="A7534" s="294"/>
      <c r="B7534" s="410" t="s">
        <v>3791</v>
      </c>
      <c r="C7534" s="247"/>
      <c r="D7534" s="247" t="s">
        <v>1423</v>
      </c>
      <c r="E7534" s="372">
        <v>1</v>
      </c>
      <c r="F7534" s="360">
        <f>$F$7500</f>
        <v>301200</v>
      </c>
      <c r="G7534" s="274">
        <f t="shared" si="41"/>
        <v>301200</v>
      </c>
    </row>
    <row r="7535" spans="1:7">
      <c r="A7535" s="294"/>
      <c r="B7535" s="410" t="s">
        <v>3792</v>
      </c>
      <c r="C7535" s="247"/>
      <c r="D7535" s="247" t="s">
        <v>1423</v>
      </c>
      <c r="E7535" s="372">
        <v>1</v>
      </c>
      <c r="F7535" s="360">
        <f>$F$7501</f>
        <v>59520</v>
      </c>
      <c r="G7535" s="274">
        <f t="shared" si="41"/>
        <v>59520</v>
      </c>
    </row>
    <row r="7536" spans="1:7">
      <c r="A7536" s="294"/>
      <c r="B7536" s="410" t="s">
        <v>3793</v>
      </c>
      <c r="C7536" s="247"/>
      <c r="D7536" s="247" t="s">
        <v>1423</v>
      </c>
      <c r="E7536" s="372">
        <v>1</v>
      </c>
      <c r="F7536" s="360">
        <f>$F$7502</f>
        <v>277200</v>
      </c>
      <c r="G7536" s="274">
        <f t="shared" si="41"/>
        <v>277200</v>
      </c>
    </row>
    <row r="7537" spans="1:7">
      <c r="A7537" s="294"/>
      <c r="B7537" s="410" t="s">
        <v>3794</v>
      </c>
      <c r="C7537" s="247"/>
      <c r="D7537" s="247" t="s">
        <v>1423</v>
      </c>
      <c r="E7537" s="372">
        <v>2</v>
      </c>
      <c r="F7537" s="360">
        <f>$F$7503</f>
        <v>12600</v>
      </c>
      <c r="G7537" s="274">
        <f t="shared" si="41"/>
        <v>25200</v>
      </c>
    </row>
    <row r="7538" spans="1:7">
      <c r="A7538" s="294"/>
      <c r="B7538" s="410" t="s">
        <v>3795</v>
      </c>
      <c r="C7538" s="247"/>
      <c r="D7538" s="247" t="s">
        <v>1423</v>
      </c>
      <c r="E7538" s="372">
        <v>1</v>
      </c>
      <c r="F7538" s="360">
        <f>$F$7504</f>
        <v>54120</v>
      </c>
      <c r="G7538" s="274">
        <f t="shared" si="41"/>
        <v>54120</v>
      </c>
    </row>
    <row r="7539" spans="1:7">
      <c r="A7539" s="294"/>
      <c r="B7539" s="410" t="s">
        <v>3796</v>
      </c>
      <c r="C7539" s="247"/>
      <c r="D7539" s="247" t="s">
        <v>1423</v>
      </c>
      <c r="E7539" s="372">
        <v>1</v>
      </c>
      <c r="F7539" s="360">
        <f>$F$7505</f>
        <v>6480</v>
      </c>
      <c r="G7539" s="274">
        <f t="shared" si="41"/>
        <v>6480</v>
      </c>
    </row>
    <row r="7540" spans="1:7">
      <c r="A7540" s="294"/>
      <c r="B7540" s="410" t="s">
        <v>3797</v>
      </c>
      <c r="C7540" s="247"/>
      <c r="D7540" s="247" t="s">
        <v>1423</v>
      </c>
      <c r="E7540" s="372">
        <v>1</v>
      </c>
      <c r="F7540" s="360">
        <f>$F$7506</f>
        <v>6120</v>
      </c>
      <c r="G7540" s="274">
        <f t="shared" si="41"/>
        <v>6120</v>
      </c>
    </row>
    <row r="7541" spans="1:7">
      <c r="A7541" s="294"/>
      <c r="B7541" s="410" t="s">
        <v>3798</v>
      </c>
      <c r="C7541" s="247"/>
      <c r="D7541" s="247" t="s">
        <v>1423</v>
      </c>
      <c r="E7541" s="372">
        <v>1</v>
      </c>
      <c r="F7541" s="360">
        <f>$F$7507</f>
        <v>358320</v>
      </c>
      <c r="G7541" s="274">
        <f t="shared" si="41"/>
        <v>358320</v>
      </c>
    </row>
    <row r="7542" spans="1:7">
      <c r="A7542" s="294"/>
      <c r="B7542" s="410" t="s">
        <v>3799</v>
      </c>
      <c r="C7542" s="247"/>
      <c r="D7542" s="247" t="s">
        <v>1423</v>
      </c>
      <c r="E7542" s="372">
        <v>1</v>
      </c>
      <c r="F7542" s="360">
        <f>$F$7508</f>
        <v>792000</v>
      </c>
      <c r="G7542" s="274">
        <f t="shared" si="41"/>
        <v>792000</v>
      </c>
    </row>
    <row r="7543" spans="1:7">
      <c r="A7543" s="294"/>
      <c r="B7543" s="410" t="s">
        <v>3800</v>
      </c>
      <c r="C7543" s="247"/>
      <c r="D7543" s="247" t="s">
        <v>1423</v>
      </c>
      <c r="E7543" s="372">
        <v>2</v>
      </c>
      <c r="F7543" s="360">
        <f>$F$7509</f>
        <v>4000</v>
      </c>
      <c r="G7543" s="274">
        <f t="shared" si="41"/>
        <v>8000</v>
      </c>
    </row>
    <row r="7544" spans="1:7">
      <c r="A7544" s="294"/>
      <c r="B7544" s="410" t="s">
        <v>3801</v>
      </c>
      <c r="C7544" s="247"/>
      <c r="D7544" s="247" t="s">
        <v>1423</v>
      </c>
      <c r="E7544" s="372">
        <v>1</v>
      </c>
      <c r="F7544" s="360">
        <f>$F$7510</f>
        <v>3960</v>
      </c>
      <c r="G7544" s="274">
        <f t="shared" si="41"/>
        <v>3960</v>
      </c>
    </row>
    <row r="7545" spans="1:7">
      <c r="A7545" s="294"/>
      <c r="B7545" s="410" t="s">
        <v>3802</v>
      </c>
      <c r="C7545" s="247"/>
      <c r="D7545" s="247" t="s">
        <v>1423</v>
      </c>
      <c r="E7545" s="372">
        <v>1</v>
      </c>
      <c r="F7545" s="360">
        <f>$F$7511</f>
        <v>12240</v>
      </c>
      <c r="G7545" s="274">
        <f t="shared" si="41"/>
        <v>12240</v>
      </c>
    </row>
    <row r="7546" spans="1:7">
      <c r="A7546" s="294"/>
      <c r="B7546" s="410"/>
      <c r="C7546" s="247"/>
      <c r="D7546" s="247"/>
      <c r="E7546" s="1146" t="s">
        <v>702</v>
      </c>
      <c r="F7546" s="1146"/>
      <c r="G7546" s="274">
        <f>SUM(G7529:G7545)</f>
        <v>2559800</v>
      </c>
    </row>
    <row r="7547" spans="1:7">
      <c r="A7547" s="294" t="s">
        <v>703</v>
      </c>
      <c r="B7547" s="410" t="s">
        <v>704</v>
      </c>
      <c r="C7547" s="247"/>
      <c r="D7547" s="247"/>
      <c r="E7547" s="372"/>
      <c r="F7547" s="360"/>
      <c r="G7547" s="274"/>
    </row>
    <row r="7548" spans="1:7">
      <c r="A7548" s="294"/>
      <c r="B7548" s="256" t="s">
        <v>3655</v>
      </c>
      <c r="C7548" s="247"/>
      <c r="D7548" s="257" t="s">
        <v>1011</v>
      </c>
      <c r="E7548" s="375">
        <v>1</v>
      </c>
      <c r="F7548" s="360">
        <v>50000</v>
      </c>
      <c r="G7548" s="274">
        <f>F7548*E7548</f>
        <v>50000</v>
      </c>
    </row>
    <row r="7549" spans="1:7">
      <c r="A7549" s="294"/>
      <c r="B7549" s="410"/>
      <c r="C7549" s="247"/>
      <c r="D7549" s="247"/>
      <c r="E7549" s="1146" t="s">
        <v>705</v>
      </c>
      <c r="F7549" s="1146"/>
      <c r="G7549" s="274">
        <f>SUM(G7548)</f>
        <v>50000</v>
      </c>
    </row>
    <row r="7550" spans="1:7">
      <c r="A7550" s="294" t="s">
        <v>706</v>
      </c>
      <c r="B7550" s="1147" t="s">
        <v>707</v>
      </c>
      <c r="C7550" s="1147"/>
      <c r="D7550" s="1147"/>
      <c r="E7550" s="1147"/>
      <c r="F7550" s="1147"/>
      <c r="G7550" s="273">
        <f>G7527+G7546+G7549</f>
        <v>2823950</v>
      </c>
    </row>
    <row r="7551" spans="1:7">
      <c r="A7551" s="294" t="s">
        <v>708</v>
      </c>
      <c r="B7551" s="1147" t="s">
        <v>709</v>
      </c>
      <c r="C7551" s="1147"/>
      <c r="D7551" s="1147"/>
      <c r="E7551" s="1147" t="s">
        <v>710</v>
      </c>
      <c r="F7551" s="1147"/>
      <c r="G7551" s="255">
        <f>G7550*0.15</f>
        <v>423592.5</v>
      </c>
    </row>
    <row r="7552" spans="1:7">
      <c r="A7552" s="294" t="s">
        <v>711</v>
      </c>
      <c r="B7552" s="1149" t="s">
        <v>712</v>
      </c>
      <c r="C7552" s="1149"/>
      <c r="D7552" s="1149"/>
      <c r="E7552" s="1149"/>
      <c r="F7552" s="1149"/>
      <c r="G7552" s="255">
        <f>ROUND(SUM(G7550:G7551),2)</f>
        <v>3247542.5</v>
      </c>
    </row>
    <row r="7553" spans="1:7">
      <c r="A7553" s="252"/>
      <c r="B7553" s="251"/>
      <c r="C7553" s="252"/>
      <c r="D7553" s="252"/>
      <c r="E7553" s="374"/>
      <c r="F7553" s="361"/>
      <c r="G7553" s="272"/>
    </row>
    <row r="7554" spans="1:7">
      <c r="A7554" s="285" t="s">
        <v>3824</v>
      </c>
      <c r="B7554" s="263" t="s">
        <v>3825</v>
      </c>
      <c r="C7554" s="276"/>
      <c r="D7554" s="276"/>
      <c r="E7554" s="383"/>
      <c r="G7554" s="277"/>
    </row>
    <row r="7555" spans="1:7">
      <c r="A7555" s="285" t="s">
        <v>3826</v>
      </c>
      <c r="B7555" s="263" t="s">
        <v>3827</v>
      </c>
      <c r="C7555" s="276"/>
      <c r="D7555" s="276"/>
      <c r="E7555" s="383"/>
      <c r="G7555" s="277"/>
    </row>
    <row r="7556" spans="1:7" s="292" customFormat="1" ht="24.95" customHeight="1">
      <c r="A7556" s="290" t="s">
        <v>1003</v>
      </c>
      <c r="B7556" s="290" t="s">
        <v>1004</v>
      </c>
      <c r="C7556" s="290" t="s">
        <v>1005</v>
      </c>
      <c r="D7556" s="290" t="s">
        <v>1006</v>
      </c>
      <c r="E7556" s="373" t="s">
        <v>1007</v>
      </c>
      <c r="F7556" s="363" t="s">
        <v>2637</v>
      </c>
      <c r="G7556" s="353" t="s">
        <v>2638</v>
      </c>
    </row>
    <row r="7557" spans="1:7">
      <c r="A7557" s="294" t="s">
        <v>671</v>
      </c>
      <c r="B7557" s="410" t="s">
        <v>672</v>
      </c>
      <c r="C7557" s="247"/>
      <c r="D7557" s="247"/>
      <c r="E7557" s="372"/>
      <c r="F7557" s="360"/>
      <c r="G7557" s="274"/>
    </row>
    <row r="7558" spans="1:7">
      <c r="A7558" s="294"/>
      <c r="B7558" s="410" t="s">
        <v>673</v>
      </c>
      <c r="C7558" s="247" t="s">
        <v>674</v>
      </c>
      <c r="D7558" s="247" t="s">
        <v>675</v>
      </c>
      <c r="E7558" s="372">
        <v>0.216</v>
      </c>
      <c r="F7558" s="360">
        <f>'UPAD-BAHAN-ALAT'!$I$12</f>
        <v>110000</v>
      </c>
      <c r="G7558" s="274">
        <f>F7558*E7558</f>
        <v>23760</v>
      </c>
    </row>
    <row r="7559" spans="1:7">
      <c r="A7559" s="294"/>
      <c r="B7559" s="410" t="s">
        <v>1480</v>
      </c>
      <c r="C7559" s="247" t="s">
        <v>678</v>
      </c>
      <c r="D7559" s="247" t="s">
        <v>675</v>
      </c>
      <c r="E7559" s="372">
        <v>0.108</v>
      </c>
      <c r="F7559" s="360">
        <f>'UPAD-BAHAN-ALAT'!$I$13</f>
        <v>140000</v>
      </c>
      <c r="G7559" s="274">
        <f>F7559*E7559</f>
        <v>15120</v>
      </c>
    </row>
    <row r="7560" spans="1:7">
      <c r="A7560" s="294"/>
      <c r="B7560" s="410" t="s">
        <v>751</v>
      </c>
      <c r="C7560" s="247" t="s">
        <v>681</v>
      </c>
      <c r="D7560" s="247" t="s">
        <v>675</v>
      </c>
      <c r="E7560" s="372">
        <v>1.0800000000000001E-2</v>
      </c>
      <c r="F7560" s="360">
        <f>$F$6666</f>
        <v>150000</v>
      </c>
      <c r="G7560" s="274">
        <f>F7560*E7560</f>
        <v>1620</v>
      </c>
    </row>
    <row r="7561" spans="1:7">
      <c r="A7561" s="294"/>
      <c r="B7561" s="410" t="s">
        <v>683</v>
      </c>
      <c r="C7561" s="247" t="s">
        <v>684</v>
      </c>
      <c r="D7561" s="247" t="s">
        <v>675</v>
      </c>
      <c r="E7561" s="372">
        <v>2.1999999999999999E-2</v>
      </c>
      <c r="F7561" s="360">
        <f>$F$7458</f>
        <v>140000</v>
      </c>
      <c r="G7561" s="274">
        <f>F7561*E7561</f>
        <v>3080</v>
      </c>
    </row>
    <row r="7562" spans="1:7">
      <c r="A7562" s="357"/>
      <c r="B7562" s="356"/>
      <c r="C7562" s="356"/>
      <c r="D7562" s="356"/>
      <c r="E7562" s="384" t="s">
        <v>685</v>
      </c>
      <c r="F7562" s="391"/>
      <c r="G7562" s="274">
        <f>SUM(G7558:G7561)</f>
        <v>43580</v>
      </c>
    </row>
    <row r="7563" spans="1:7">
      <c r="A7563" s="294" t="s">
        <v>686</v>
      </c>
      <c r="B7563" s="410" t="s">
        <v>687</v>
      </c>
      <c r="C7563" s="247"/>
      <c r="D7563" s="247"/>
      <c r="E7563" s="372"/>
      <c r="F7563" s="360"/>
      <c r="G7563" s="274"/>
    </row>
    <row r="7564" spans="1:7">
      <c r="A7564" s="294"/>
      <c r="B7564" s="410" t="s">
        <v>3828</v>
      </c>
      <c r="C7564" s="247"/>
      <c r="D7564" s="247" t="s">
        <v>1423</v>
      </c>
      <c r="E7564" s="372">
        <v>1</v>
      </c>
      <c r="F7564" s="360">
        <f>'UPAD-BAHAN-ALAT'!$I$597</f>
        <v>184920</v>
      </c>
      <c r="G7564" s="274">
        <f>F7564*E7564</f>
        <v>184920</v>
      </c>
    </row>
    <row r="7565" spans="1:7">
      <c r="A7565" s="294"/>
      <c r="B7565" s="410" t="s">
        <v>3716</v>
      </c>
      <c r="C7565" s="247"/>
      <c r="D7565" s="247" t="s">
        <v>773</v>
      </c>
      <c r="E7565" s="385">
        <v>2.5000000000000001E-2</v>
      </c>
      <c r="F7565" s="368">
        <f>'UPAD-BAHAN-ALAT'!$I$599</f>
        <v>125280</v>
      </c>
      <c r="G7565" s="274">
        <f>F7565*E7565</f>
        <v>3132</v>
      </c>
    </row>
    <row r="7566" spans="1:7">
      <c r="A7566" s="294"/>
      <c r="B7566" s="410"/>
      <c r="C7566" s="247"/>
      <c r="D7566" s="247"/>
      <c r="E7566" s="1146"/>
      <c r="F7566" s="1146"/>
      <c r="G7566" s="274">
        <f>SUM(G7564:G7565)</f>
        <v>188052</v>
      </c>
    </row>
    <row r="7567" spans="1:7">
      <c r="A7567" s="294" t="s">
        <v>703</v>
      </c>
      <c r="B7567" s="410" t="s">
        <v>704</v>
      </c>
      <c r="C7567" s="247"/>
      <c r="D7567" s="247"/>
      <c r="E7567" s="372"/>
      <c r="F7567" s="360"/>
      <c r="G7567" s="274"/>
    </row>
    <row r="7568" spans="1:7">
      <c r="A7568" s="294"/>
      <c r="B7568" s="256" t="s">
        <v>3655</v>
      </c>
      <c r="C7568" s="247"/>
      <c r="D7568" s="257" t="s">
        <v>1011</v>
      </c>
      <c r="E7568" s="375">
        <v>1</v>
      </c>
      <c r="F7568" s="360">
        <v>2000</v>
      </c>
      <c r="G7568" s="274">
        <f>F7568*E7568</f>
        <v>2000</v>
      </c>
    </row>
    <row r="7569" spans="1:7">
      <c r="A7569" s="294"/>
      <c r="B7569" s="410"/>
      <c r="C7569" s="247"/>
      <c r="D7569" s="247"/>
      <c r="E7569" s="1146" t="s">
        <v>705</v>
      </c>
      <c r="F7569" s="1146"/>
      <c r="G7569" s="274">
        <f>SUM(G7568)</f>
        <v>2000</v>
      </c>
    </row>
    <row r="7570" spans="1:7">
      <c r="A7570" s="294" t="s">
        <v>706</v>
      </c>
      <c r="B7570" s="1147" t="s">
        <v>707</v>
      </c>
      <c r="C7570" s="1147"/>
      <c r="D7570" s="1147"/>
      <c r="E7570" s="1147"/>
      <c r="F7570" s="1147"/>
      <c r="G7570" s="273">
        <f>G7562+G7566+G7569</f>
        <v>233632</v>
      </c>
    </row>
    <row r="7571" spans="1:7">
      <c r="A7571" s="294" t="s">
        <v>708</v>
      </c>
      <c r="B7571" s="1147" t="s">
        <v>709</v>
      </c>
      <c r="C7571" s="1147"/>
      <c r="D7571" s="1147"/>
      <c r="E7571" s="1147" t="s">
        <v>710</v>
      </c>
      <c r="F7571" s="1147"/>
      <c r="G7571" s="255">
        <f>G7570*0.15</f>
        <v>35044.799999999996</v>
      </c>
    </row>
    <row r="7572" spans="1:7">
      <c r="A7572" s="294" t="s">
        <v>711</v>
      </c>
      <c r="B7572" s="1149" t="s">
        <v>712</v>
      </c>
      <c r="C7572" s="1149"/>
      <c r="D7572" s="1149"/>
      <c r="E7572" s="1149"/>
      <c r="F7572" s="1149"/>
      <c r="G7572" s="255">
        <f>ROUND(SUM(G7570:G7571),2)</f>
        <v>268676.8</v>
      </c>
    </row>
    <row r="7573" spans="1:7">
      <c r="A7573" s="276"/>
      <c r="B7573" s="275"/>
      <c r="C7573" s="276"/>
      <c r="D7573" s="276"/>
      <c r="E7573" s="383"/>
      <c r="G7573" s="277"/>
    </row>
    <row r="7574" spans="1:7">
      <c r="A7574" s="285" t="s">
        <v>3829</v>
      </c>
      <c r="B7574" s="263" t="s">
        <v>3830</v>
      </c>
      <c r="C7574" s="276"/>
      <c r="D7574" s="276"/>
      <c r="E7574" s="383"/>
      <c r="G7574" s="277"/>
    </row>
    <row r="7575" spans="1:7" s="292" customFormat="1" ht="24.95" customHeight="1">
      <c r="A7575" s="290" t="s">
        <v>1003</v>
      </c>
      <c r="B7575" s="290" t="s">
        <v>1004</v>
      </c>
      <c r="C7575" s="290" t="s">
        <v>1005</v>
      </c>
      <c r="D7575" s="290" t="s">
        <v>1006</v>
      </c>
      <c r="E7575" s="373" t="s">
        <v>1007</v>
      </c>
      <c r="F7575" s="363" t="s">
        <v>2637</v>
      </c>
      <c r="G7575" s="353" t="s">
        <v>2638</v>
      </c>
    </row>
    <row r="7576" spans="1:7">
      <c r="A7576" s="294" t="s">
        <v>671</v>
      </c>
      <c r="B7576" s="410" t="s">
        <v>672</v>
      </c>
      <c r="C7576" s="247"/>
      <c r="D7576" s="247"/>
      <c r="E7576" s="372"/>
      <c r="F7576" s="360"/>
      <c r="G7576" s="274"/>
    </row>
    <row r="7577" spans="1:7">
      <c r="A7577" s="294"/>
      <c r="B7577" s="410" t="s">
        <v>673</v>
      </c>
      <c r="C7577" s="247" t="s">
        <v>674</v>
      </c>
      <c r="D7577" s="247" t="s">
        <v>675</v>
      </c>
      <c r="E7577" s="372">
        <v>0.216</v>
      </c>
      <c r="F7577" s="360">
        <f>'UPAD-BAHAN-ALAT'!$I$12</f>
        <v>110000</v>
      </c>
      <c r="G7577" s="274">
        <f>F7577*E7577</f>
        <v>23760</v>
      </c>
    </row>
    <row r="7578" spans="1:7">
      <c r="A7578" s="294"/>
      <c r="B7578" s="410" t="s">
        <v>1480</v>
      </c>
      <c r="C7578" s="247" t="s">
        <v>678</v>
      </c>
      <c r="D7578" s="247" t="s">
        <v>675</v>
      </c>
      <c r="E7578" s="372">
        <v>0.108</v>
      </c>
      <c r="F7578" s="360">
        <f>'UPAD-BAHAN-ALAT'!$I$13</f>
        <v>140000</v>
      </c>
      <c r="G7578" s="274">
        <f>F7578*E7578</f>
        <v>15120</v>
      </c>
    </row>
    <row r="7579" spans="1:7">
      <c r="A7579" s="294"/>
      <c r="B7579" s="410" t="s">
        <v>751</v>
      </c>
      <c r="C7579" s="247" t="s">
        <v>681</v>
      </c>
      <c r="D7579" s="247" t="s">
        <v>675</v>
      </c>
      <c r="E7579" s="372">
        <f>E7578*0.1</f>
        <v>1.0800000000000001E-2</v>
      </c>
      <c r="F7579" s="360">
        <f>$F$6666</f>
        <v>150000</v>
      </c>
      <c r="G7579" s="274">
        <f>F7579*E7579</f>
        <v>1620</v>
      </c>
    </row>
    <row r="7580" spans="1:7">
      <c r="A7580" s="294"/>
      <c r="B7580" s="410" t="s">
        <v>683</v>
      </c>
      <c r="C7580" s="247" t="s">
        <v>684</v>
      </c>
      <c r="D7580" s="247" t="s">
        <v>675</v>
      </c>
      <c r="E7580" s="372">
        <v>2.1999999999999999E-2</v>
      </c>
      <c r="F7580" s="360">
        <f>$F$7458</f>
        <v>140000</v>
      </c>
      <c r="G7580" s="274">
        <f>F7580*E7580</f>
        <v>3080</v>
      </c>
    </row>
    <row r="7581" spans="1:7">
      <c r="A7581" s="357"/>
      <c r="B7581" s="356"/>
      <c r="C7581" s="356"/>
      <c r="D7581" s="356"/>
      <c r="E7581" s="384" t="s">
        <v>685</v>
      </c>
      <c r="F7581" s="391"/>
      <c r="G7581" s="274">
        <f>SUM(G7577:G7580)</f>
        <v>43580</v>
      </c>
    </row>
    <row r="7582" spans="1:7">
      <c r="A7582" s="294" t="s">
        <v>686</v>
      </c>
      <c r="B7582" s="410" t="s">
        <v>687</v>
      </c>
      <c r="C7582" s="247"/>
      <c r="D7582" s="247"/>
      <c r="E7582" s="372"/>
      <c r="F7582" s="360"/>
      <c r="G7582" s="274"/>
    </row>
    <row r="7583" spans="1:7">
      <c r="A7583" s="294"/>
      <c r="B7583" s="410" t="s">
        <v>3322</v>
      </c>
      <c r="C7583" s="247"/>
      <c r="D7583" s="247" t="s">
        <v>1423</v>
      </c>
      <c r="E7583" s="372">
        <v>1</v>
      </c>
      <c r="F7583" s="360">
        <f>'UPAD-BAHAN-ALAT'!$I$596</f>
        <v>494880</v>
      </c>
      <c r="G7583" s="274">
        <f>F7583*E7583</f>
        <v>494880</v>
      </c>
    </row>
    <row r="7584" spans="1:7">
      <c r="A7584" s="294"/>
      <c r="B7584" s="410" t="s">
        <v>3716</v>
      </c>
      <c r="C7584" s="247"/>
      <c r="D7584" s="247" t="s">
        <v>773</v>
      </c>
      <c r="E7584" s="385">
        <v>2.5000000000000001E-2</v>
      </c>
      <c r="F7584" s="368">
        <f>$F$7565</f>
        <v>125280</v>
      </c>
      <c r="G7584" s="274">
        <f>F7584*E7584</f>
        <v>3132</v>
      </c>
    </row>
    <row r="7585" spans="1:7">
      <c r="A7585" s="294"/>
      <c r="B7585" s="410"/>
      <c r="C7585" s="247"/>
      <c r="D7585" s="247"/>
      <c r="E7585" s="1159" t="s">
        <v>702</v>
      </c>
      <c r="F7585" s="1160"/>
      <c r="G7585" s="274">
        <f>SUM(G7583:G7584)</f>
        <v>498012</v>
      </c>
    </row>
    <row r="7586" spans="1:7">
      <c r="A7586" s="294" t="s">
        <v>703</v>
      </c>
      <c r="B7586" s="410" t="s">
        <v>704</v>
      </c>
      <c r="C7586" s="247"/>
      <c r="D7586" s="247"/>
      <c r="E7586" s="372"/>
      <c r="F7586" s="360"/>
      <c r="G7586" s="274"/>
    </row>
    <row r="7587" spans="1:7">
      <c r="A7587" s="294"/>
      <c r="B7587" s="256" t="s">
        <v>3655</v>
      </c>
      <c r="C7587" s="247"/>
      <c r="D7587" s="257" t="s">
        <v>1011</v>
      </c>
      <c r="E7587" s="375">
        <v>1</v>
      </c>
      <c r="F7587" s="360">
        <v>2000</v>
      </c>
      <c r="G7587" s="274">
        <f>F7587*E7587</f>
        <v>2000</v>
      </c>
    </row>
    <row r="7588" spans="1:7">
      <c r="A7588" s="294"/>
      <c r="B7588" s="410"/>
      <c r="C7588" s="247"/>
      <c r="D7588" s="247"/>
      <c r="E7588" s="1146" t="s">
        <v>705</v>
      </c>
      <c r="F7588" s="1146"/>
      <c r="G7588" s="274">
        <f>SUM(G7587)</f>
        <v>2000</v>
      </c>
    </row>
    <row r="7589" spans="1:7">
      <c r="A7589" s="294" t="s">
        <v>706</v>
      </c>
      <c r="B7589" s="1147" t="s">
        <v>707</v>
      </c>
      <c r="C7589" s="1147"/>
      <c r="D7589" s="1147"/>
      <c r="E7589" s="1147"/>
      <c r="F7589" s="1147"/>
      <c r="G7589" s="273">
        <f>G7581+G7585+G7588</f>
        <v>543592</v>
      </c>
    </row>
    <row r="7590" spans="1:7">
      <c r="A7590" s="294" t="s">
        <v>708</v>
      </c>
      <c r="B7590" s="1147" t="s">
        <v>709</v>
      </c>
      <c r="C7590" s="1147"/>
      <c r="D7590" s="1147"/>
      <c r="E7590" s="1147" t="s">
        <v>710</v>
      </c>
      <c r="F7590" s="1147"/>
      <c r="G7590" s="255">
        <f>G7589*0.15</f>
        <v>81538.8</v>
      </c>
    </row>
    <row r="7591" spans="1:7">
      <c r="A7591" s="294" t="s">
        <v>711</v>
      </c>
      <c r="B7591" s="1149" t="s">
        <v>712</v>
      </c>
      <c r="C7591" s="1149"/>
      <c r="D7591" s="1149"/>
      <c r="E7591" s="1149"/>
      <c r="F7591" s="1149"/>
      <c r="G7591" s="255">
        <f>ROUND(SUM(G7589:G7590),2)</f>
        <v>625130.80000000005</v>
      </c>
    </row>
    <row r="7592" spans="1:7">
      <c r="A7592" s="252"/>
      <c r="B7592" s="251"/>
      <c r="C7592" s="252"/>
      <c r="D7592" s="252"/>
      <c r="E7592" s="374"/>
      <c r="F7592" s="361"/>
      <c r="G7592" s="272"/>
    </row>
    <row r="7593" spans="1:7">
      <c r="A7593" s="285" t="s">
        <v>3831</v>
      </c>
      <c r="B7593" s="263" t="s">
        <v>4669</v>
      </c>
      <c r="C7593" s="276"/>
      <c r="D7593" s="276"/>
      <c r="E7593" s="383"/>
      <c r="G7593" s="277"/>
    </row>
    <row r="7594" spans="1:7" s="292" customFormat="1" ht="24.95" customHeight="1">
      <c r="A7594" s="290" t="s">
        <v>1003</v>
      </c>
      <c r="B7594" s="290" t="s">
        <v>1004</v>
      </c>
      <c r="C7594" s="290" t="s">
        <v>1005</v>
      </c>
      <c r="D7594" s="290" t="s">
        <v>1006</v>
      </c>
      <c r="E7594" s="373" t="s">
        <v>1007</v>
      </c>
      <c r="F7594" s="363" t="s">
        <v>2637</v>
      </c>
      <c r="G7594" s="353" t="s">
        <v>2638</v>
      </c>
    </row>
    <row r="7595" spans="1:7">
      <c r="A7595" s="298" t="s">
        <v>671</v>
      </c>
      <c r="B7595" s="410" t="s">
        <v>3832</v>
      </c>
      <c r="C7595" s="254"/>
      <c r="D7595" s="254"/>
      <c r="E7595" s="386"/>
      <c r="F7595" s="393"/>
      <c r="G7595" s="273"/>
    </row>
    <row r="7596" spans="1:7">
      <c r="A7596" s="298"/>
      <c r="B7596" s="282" t="str">
        <f>'[43]analisa baru'!$B$366</f>
        <v xml:space="preserve"> Penggalian 1 m3 tanah biasa sedalam 1 m</v>
      </c>
      <c r="C7596" s="247" t="str">
        <f>'Rekap Analisa'!$B$22</f>
        <v>A.2.3.1.1</v>
      </c>
      <c r="D7596" s="283" t="s">
        <v>2646</v>
      </c>
      <c r="E7596" s="372">
        <f>0.4*0.4*0.5</f>
        <v>8.0000000000000016E-2</v>
      </c>
      <c r="F7596" s="360">
        <f>'Rekap Analisa'!$E$22</f>
        <v>98900</v>
      </c>
      <c r="G7596" s="274">
        <f>F7596*E7596</f>
        <v>7912.0000000000018</v>
      </c>
    </row>
    <row r="7597" spans="1:7">
      <c r="A7597" s="298"/>
      <c r="B7597" s="282"/>
      <c r="C7597" s="247"/>
      <c r="D7597" s="283"/>
      <c r="E7597" s="387" t="str">
        <f>"JUMLAH "&amp;B7595</f>
        <v>JUMLAH GALIAN TANAH</v>
      </c>
      <c r="F7597" s="360"/>
      <c r="G7597" s="274">
        <f>SUM(G7596)</f>
        <v>7912.0000000000018</v>
      </c>
    </row>
    <row r="7598" spans="1:7">
      <c r="A7598" s="298" t="s">
        <v>686</v>
      </c>
      <c r="B7598" s="410" t="s">
        <v>3833</v>
      </c>
      <c r="C7598" s="247"/>
      <c r="D7598" s="247"/>
      <c r="E7598" s="372"/>
      <c r="F7598" s="360"/>
      <c r="G7598" s="274"/>
    </row>
    <row r="7599" spans="1:7" ht="27">
      <c r="A7599" s="298"/>
      <c r="B7599" s="256" t="str">
        <f>'Rekap Analisa'!$C$146</f>
        <v>Pemasangan 1m2  dinding bata merah (5x11x22) cm tebal ½ batu campuran  1SP :2PP</v>
      </c>
      <c r="C7599" s="247" t="str">
        <f>'Rekap Analisa'!$B$146</f>
        <v>A. 4.4.1.7</v>
      </c>
      <c r="D7599" s="247" t="s">
        <v>2647</v>
      </c>
      <c r="E7599" s="372">
        <f>0.4*0.4*4</f>
        <v>0.64000000000000012</v>
      </c>
      <c r="F7599" s="360">
        <f>'Rekap Analisa'!$E$146</f>
        <v>157644.01</v>
      </c>
      <c r="G7599" s="274">
        <f>F7599*E7599</f>
        <v>100892.16640000003</v>
      </c>
    </row>
    <row r="7600" spans="1:7" ht="27">
      <c r="A7600" s="298"/>
      <c r="B7600" s="256" t="str">
        <f>'Rekap Analisa'!$C$163</f>
        <v>Pemasangan 1 m2 plesteran 1SP : 2PP tebal 15 mm</v>
      </c>
      <c r="C7600" s="247" t="str">
        <f>'Rekap Analisa'!$B$163</f>
        <v>A.4.4.2.2</v>
      </c>
      <c r="D7600" s="247" t="s">
        <v>2647</v>
      </c>
      <c r="E7600" s="372">
        <f>0.3*0.4*4</f>
        <v>0.48</v>
      </c>
      <c r="F7600" s="360">
        <f>'Rekap Analisa'!$E$163</f>
        <v>90256.6</v>
      </c>
      <c r="G7600" s="274">
        <f>F7600*E7600</f>
        <v>43323.167999999998</v>
      </c>
    </row>
    <row r="7601" spans="1:7">
      <c r="A7601" s="298"/>
      <c r="B7601" s="256"/>
      <c r="C7601" s="247"/>
      <c r="D7601" s="247"/>
      <c r="E7601" s="387" t="str">
        <f>"JUMLAH "&amp;B7598</f>
        <v>JUMLAH PAS.BATU BATA</v>
      </c>
      <c r="F7601" s="360"/>
      <c r="G7601" s="274">
        <f>SUM(G7599:G7600)</f>
        <v>144215.33440000002</v>
      </c>
    </row>
    <row r="7602" spans="1:7">
      <c r="A7602" s="298" t="s">
        <v>703</v>
      </c>
      <c r="B7602" s="410" t="s">
        <v>3834</v>
      </c>
      <c r="C7602" s="247"/>
      <c r="D7602" s="247"/>
      <c r="E7602" s="372"/>
      <c r="F7602" s="360"/>
      <c r="G7602" s="274"/>
    </row>
    <row r="7603" spans="1:7" ht="27">
      <c r="A7603" s="298"/>
      <c r="B7603" s="256" t="str">
        <f>'[43]analisa baru'!$B$869</f>
        <v>Membuat 1 m3 beton mutu f’= 7.4 MPa (K 100). slump (12 ± 2) cm. w/c = 0.87</v>
      </c>
      <c r="C7603" s="247" t="str">
        <f>'Rekap Analisa'!$B$49</f>
        <v>A.4.1.1.1</v>
      </c>
      <c r="D7603" s="247" t="s">
        <v>2646</v>
      </c>
      <c r="E7603" s="372">
        <f>0.3*0.3*0.1</f>
        <v>8.9999999999999993E-3</v>
      </c>
      <c r="F7603" s="360">
        <f>'Rekap Analisa'!$E$49</f>
        <v>1120814.8899999999</v>
      </c>
      <c r="G7603" s="274">
        <f>F7603*E7603</f>
        <v>10087.334009999999</v>
      </c>
    </row>
    <row r="7604" spans="1:7">
      <c r="A7604" s="298"/>
      <c r="B7604" s="410"/>
      <c r="C7604" s="247"/>
      <c r="D7604" s="247"/>
      <c r="E7604" s="387" t="str">
        <f>"JUMLAH "&amp;B7602</f>
        <v xml:space="preserve">JUMLAH COR BETON </v>
      </c>
      <c r="F7604" s="360"/>
      <c r="G7604" s="274">
        <f>SUM(G7603)</f>
        <v>10087.334009999999</v>
      </c>
    </row>
    <row r="7605" spans="1:7">
      <c r="A7605" s="298" t="s">
        <v>706</v>
      </c>
      <c r="B7605" s="410" t="s">
        <v>3835</v>
      </c>
      <c r="C7605" s="247"/>
      <c r="D7605" s="247"/>
      <c r="E7605" s="372"/>
      <c r="F7605" s="360"/>
      <c r="G7605" s="274"/>
    </row>
    <row r="7606" spans="1:7" ht="27">
      <c r="A7606" s="298"/>
      <c r="B7606" s="256" t="str">
        <f>'[43]analisa baru'!$B$963</f>
        <v>Membuat 1 m3 beton mutu f’  = 14.5 MPa (K 175). slump (12 ±2) cm. w/c = 0.66</v>
      </c>
      <c r="C7606" s="247" t="str">
        <f>'Rekap Analisa'!$B$53</f>
        <v>A.4.1.1.5</v>
      </c>
      <c r="D7606" s="247" t="s">
        <v>2646</v>
      </c>
      <c r="E7606" s="372">
        <f>0.3*0.3*0.05</f>
        <v>4.4999999999999997E-3</v>
      </c>
      <c r="F7606" s="360">
        <f>'Rekap Analisa'!$E$53</f>
        <v>1417037.32</v>
      </c>
      <c r="G7606" s="274">
        <f>F7606*E7606</f>
        <v>6376.6679399999994</v>
      </c>
    </row>
    <row r="7607" spans="1:7">
      <c r="A7607" s="298"/>
      <c r="B7607" s="410" t="str">
        <f>'[43]analisa baru'!$B$1231</f>
        <v xml:space="preserve">Pembesian 1 kg dengan besi polos </v>
      </c>
      <c r="C7607" s="247" t="str">
        <f>'Rekap Analisa'!$B$65</f>
        <v>A.4.1.1.17</v>
      </c>
      <c r="D7607" s="247" t="s">
        <v>773</v>
      </c>
      <c r="E7607" s="372">
        <f>$E$7606*75</f>
        <v>0.33749999999999997</v>
      </c>
      <c r="F7607" s="360">
        <f>'Rekap Analisa'!$E$65</f>
        <v>18554.099999999999</v>
      </c>
      <c r="G7607" s="274">
        <f>F7607*E7607</f>
        <v>6262.0087499999991</v>
      </c>
    </row>
    <row r="7608" spans="1:7">
      <c r="A7608" s="298"/>
      <c r="B7608" s="410" t="str">
        <f>'[43]analisa baru'!$B$1317</f>
        <v>Pemasangan 1 m2  bekisting untuk pondasi</v>
      </c>
      <c r="C7608" s="247" t="str">
        <f>'Rekap Analisa'!$B$68</f>
        <v>A.4.1.1.20</v>
      </c>
      <c r="D7608" s="247" t="s">
        <v>2646</v>
      </c>
      <c r="E7608" s="372">
        <f>(0.3*0.3)/(1.2*2.4)</f>
        <v>3.125E-2</v>
      </c>
      <c r="F7608" s="360">
        <f>'Rekap Analisa'!$E$68</f>
        <v>286281</v>
      </c>
      <c r="G7608" s="274">
        <f>F7608*E7608</f>
        <v>8946.28125</v>
      </c>
    </row>
    <row r="7609" spans="1:7">
      <c r="A7609" s="298"/>
      <c r="B7609" s="410"/>
      <c r="C7609" s="247"/>
      <c r="D7609" s="247"/>
      <c r="E7609" s="387" t="str">
        <f>"JUMLAH "&amp;B7605</f>
        <v>JUMLAH COR BETON BERTULANG</v>
      </c>
      <c r="F7609" s="360"/>
      <c r="G7609" s="274">
        <f>SUM(G7606:G7608)</f>
        <v>21584.95794</v>
      </c>
    </row>
    <row r="7610" spans="1:7">
      <c r="A7610" s="298" t="s">
        <v>708</v>
      </c>
      <c r="B7610" s="410" t="s">
        <v>3836</v>
      </c>
      <c r="C7610" s="247"/>
      <c r="D7610" s="247"/>
      <c r="E7610" s="372"/>
      <c r="F7610" s="360"/>
      <c r="G7610" s="274"/>
    </row>
    <row r="7611" spans="1:7">
      <c r="A7611" s="298"/>
      <c r="B7611" s="410" t="str">
        <f>'[43]analisa baru'!$B$2295</f>
        <v>Pemasangan 1 kg besi profil</v>
      </c>
      <c r="C7611" s="247" t="str">
        <f>'Rekap Analisa'!$B$110</f>
        <v>A.4.2.1.1</v>
      </c>
      <c r="D7611" s="247" t="s">
        <v>773</v>
      </c>
      <c r="E7611" s="372">
        <f>(0.3*4*2)*(18.4/5)</f>
        <v>8.831999999999999</v>
      </c>
      <c r="F7611" s="360">
        <f>'Rekap Analisa'!$E$110</f>
        <v>40287.379999999997</v>
      </c>
      <c r="G7611" s="274">
        <f>F7611*E7611</f>
        <v>355818.14015999995</v>
      </c>
    </row>
    <row r="7612" spans="1:7">
      <c r="A7612" s="298"/>
      <c r="B7612" s="410"/>
      <c r="C7612" s="247"/>
      <c r="D7612" s="247"/>
      <c r="E7612" s="387" t="str">
        <f>"JUMLAH "&amp;B7610</f>
        <v>JUMLAH PAS.BESI SIKU L.50.50.4</v>
      </c>
      <c r="F7612" s="360"/>
      <c r="G7612" s="274">
        <f>SUM(G7611)</f>
        <v>355818.14015999995</v>
      </c>
    </row>
    <row r="7613" spans="1:7">
      <c r="A7613" s="294"/>
      <c r="B7613" s="410"/>
      <c r="C7613" s="247"/>
      <c r="D7613" s="247"/>
      <c r="E7613" s="372"/>
      <c r="F7613" s="360"/>
      <c r="G7613" s="274"/>
    </row>
    <row r="7614" spans="1:7" s="265" customFormat="1">
      <c r="A7614" s="294" t="s">
        <v>711</v>
      </c>
      <c r="B7614" s="1141" t="s">
        <v>3837</v>
      </c>
      <c r="C7614" s="1142"/>
      <c r="D7614" s="1142"/>
      <c r="E7614" s="1142"/>
      <c r="F7614" s="1143"/>
      <c r="G7614" s="273">
        <f>SUM(G7597,G7601,G7604,G7612)</f>
        <v>518032.80856999999</v>
      </c>
    </row>
    <row r="7615" spans="1:7" s="265" customFormat="1">
      <c r="A7615" s="294" t="s">
        <v>3532</v>
      </c>
      <c r="B7615" s="1141" t="s">
        <v>709</v>
      </c>
      <c r="C7615" s="1142"/>
      <c r="D7615" s="1143"/>
      <c r="E7615" s="1141" t="s">
        <v>3838</v>
      </c>
      <c r="F7615" s="1143"/>
      <c r="G7615" s="273">
        <f>G7614*0%</f>
        <v>0</v>
      </c>
    </row>
    <row r="7616" spans="1:7" s="265" customFormat="1">
      <c r="A7616" s="294" t="s">
        <v>3839</v>
      </c>
      <c r="B7616" s="1141" t="s">
        <v>3840</v>
      </c>
      <c r="C7616" s="1142"/>
      <c r="D7616" s="1142"/>
      <c r="E7616" s="1142"/>
      <c r="F7616" s="1143"/>
      <c r="G7616" s="273">
        <f>SUM(G7614:G7615)</f>
        <v>518032.80856999999</v>
      </c>
    </row>
    <row r="7617" spans="1:7">
      <c r="A7617" s="252"/>
      <c r="B7617" s="251"/>
      <c r="C7617" s="252"/>
      <c r="D7617" s="252"/>
      <c r="E7617" s="374"/>
      <c r="F7617" s="361"/>
      <c r="G7617" s="272"/>
    </row>
    <row r="7618" spans="1:7">
      <c r="A7618" s="285" t="s">
        <v>4446</v>
      </c>
      <c r="B7618" s="263" t="s">
        <v>4668</v>
      </c>
      <c r="C7618" s="276"/>
      <c r="D7618" s="276"/>
      <c r="E7618" s="383"/>
      <c r="G7618" s="277"/>
    </row>
    <row r="7619" spans="1:7" ht="24.95" customHeight="1">
      <c r="A7619" s="290" t="s">
        <v>1003</v>
      </c>
      <c r="B7619" s="290" t="s">
        <v>1004</v>
      </c>
      <c r="C7619" s="290" t="s">
        <v>1005</v>
      </c>
      <c r="D7619" s="290" t="s">
        <v>1006</v>
      </c>
      <c r="E7619" s="373" t="s">
        <v>1007</v>
      </c>
      <c r="F7619" s="363" t="s">
        <v>2637</v>
      </c>
      <c r="G7619" s="353" t="s">
        <v>2638</v>
      </c>
    </row>
    <row r="7620" spans="1:7">
      <c r="A7620" s="298" t="s">
        <v>671</v>
      </c>
      <c r="B7620" s="410" t="s">
        <v>3832</v>
      </c>
      <c r="C7620" s="254"/>
      <c r="D7620" s="254"/>
      <c r="E7620" s="386"/>
      <c r="F7620" s="393"/>
      <c r="G7620" s="273"/>
    </row>
    <row r="7621" spans="1:7">
      <c r="A7621" s="298"/>
      <c r="B7621" s="282" t="str">
        <f>'[43]analisa baru'!$B$366</f>
        <v xml:space="preserve"> Penggalian 1 m3 tanah biasa sedalam 1 m</v>
      </c>
      <c r="C7621" s="247" t="str">
        <f>'Rekap Analisa'!$B$22</f>
        <v>A.2.3.1.1</v>
      </c>
      <c r="D7621" s="283" t="s">
        <v>2646</v>
      </c>
      <c r="E7621" s="372">
        <f>0.55*0.55*0.6</f>
        <v>0.18150000000000002</v>
      </c>
      <c r="F7621" s="360">
        <f>'Rekap Analisa'!$E$22</f>
        <v>98900</v>
      </c>
      <c r="G7621" s="274">
        <f>F7621*E7621</f>
        <v>17950.350000000002</v>
      </c>
    </row>
    <row r="7622" spans="1:7">
      <c r="A7622" s="298"/>
      <c r="B7622" s="282"/>
      <c r="C7622" s="247"/>
      <c r="D7622" s="283"/>
      <c r="E7622" s="387" t="str">
        <f>"JUMLAH "&amp;B7620</f>
        <v>JUMLAH GALIAN TANAH</v>
      </c>
      <c r="F7622" s="360"/>
      <c r="G7622" s="274">
        <f>SUM(G7621)</f>
        <v>17950.350000000002</v>
      </c>
    </row>
    <row r="7623" spans="1:7">
      <c r="A7623" s="298" t="s">
        <v>686</v>
      </c>
      <c r="B7623" s="410" t="s">
        <v>3833</v>
      </c>
      <c r="C7623" s="247"/>
      <c r="D7623" s="247"/>
      <c r="E7623" s="372"/>
      <c r="F7623" s="360"/>
      <c r="G7623" s="274"/>
    </row>
    <row r="7624" spans="1:7" ht="27">
      <c r="A7624" s="298"/>
      <c r="B7624" s="256" t="str">
        <f>$B$7599</f>
        <v>Pemasangan 1m2  dinding bata merah (5x11x22) cm tebal ½ batu campuran  1SP :2PP</v>
      </c>
      <c r="C7624" s="247" t="str">
        <f>$C$7599</f>
        <v>A. 4.4.1.7</v>
      </c>
      <c r="D7624" s="247" t="s">
        <v>2647</v>
      </c>
      <c r="E7624" s="372">
        <f>0.55*0.45*4</f>
        <v>0.9900000000000001</v>
      </c>
      <c r="F7624" s="360">
        <f>$F$7599</f>
        <v>157644.01</v>
      </c>
      <c r="G7624" s="274">
        <f>F7624*E7624</f>
        <v>156067.56990000003</v>
      </c>
    </row>
    <row r="7625" spans="1:7" ht="27">
      <c r="A7625" s="298"/>
      <c r="B7625" s="256" t="str">
        <f>$B$7600</f>
        <v>Pemasangan 1 m2 plesteran 1SP : 2PP tebal 15 mm</v>
      </c>
      <c r="C7625" s="247" t="str">
        <f>$C$7600</f>
        <v>A.4.4.2.2</v>
      </c>
      <c r="D7625" s="247" t="s">
        <v>2647</v>
      </c>
      <c r="E7625" s="372">
        <f>0.45*0.4*4</f>
        <v>0.72000000000000008</v>
      </c>
      <c r="F7625" s="360">
        <f>$F$7600</f>
        <v>90256.6</v>
      </c>
      <c r="G7625" s="274">
        <f>F7625*E7625</f>
        <v>64984.752000000015</v>
      </c>
    </row>
    <row r="7626" spans="1:7">
      <c r="A7626" s="298"/>
      <c r="B7626" s="256"/>
      <c r="C7626" s="247"/>
      <c r="D7626" s="247"/>
      <c r="E7626" s="387" t="str">
        <f>"JUMLAH "&amp;B7623</f>
        <v>JUMLAH PAS.BATU BATA</v>
      </c>
      <c r="F7626" s="360"/>
      <c r="G7626" s="274">
        <f>SUM(G7624:G7625)</f>
        <v>221052.32190000004</v>
      </c>
    </row>
    <row r="7627" spans="1:7">
      <c r="A7627" s="298" t="s">
        <v>703</v>
      </c>
      <c r="B7627" s="410" t="s">
        <v>3834</v>
      </c>
      <c r="C7627" s="247"/>
      <c r="D7627" s="247"/>
      <c r="E7627" s="372"/>
      <c r="F7627" s="360"/>
      <c r="G7627" s="274"/>
    </row>
    <row r="7628" spans="1:7" ht="27">
      <c r="A7628" s="298"/>
      <c r="B7628" s="256" t="str">
        <f>'[43]analisa baru'!$B$869</f>
        <v>Membuat 1 m3 beton mutu f’= 7.4 MPa (K 100). slump (12 ± 2) cm. w/c = 0.87</v>
      </c>
      <c r="C7628" s="247" t="str">
        <f>'Rekap Analisa'!$B$49</f>
        <v>A.4.1.1.1</v>
      </c>
      <c r="D7628" s="247" t="s">
        <v>2646</v>
      </c>
      <c r="E7628" s="372">
        <f>0.45*0.45*0.1</f>
        <v>2.0250000000000004E-2</v>
      </c>
      <c r="F7628" s="360">
        <f>'Rekap Analisa'!$E$49</f>
        <v>1120814.8899999999</v>
      </c>
      <c r="G7628" s="274">
        <f>F7628*E7628</f>
        <v>22696.501522500002</v>
      </c>
    </row>
    <row r="7629" spans="1:7">
      <c r="A7629" s="298"/>
      <c r="B7629" s="410"/>
      <c r="C7629" s="247"/>
      <c r="D7629" s="247"/>
      <c r="E7629" s="387" t="str">
        <f>"JUMLAH "&amp;B7627</f>
        <v xml:space="preserve">JUMLAH COR BETON </v>
      </c>
      <c r="F7629" s="360"/>
      <c r="G7629" s="274">
        <f>SUM(G7628)</f>
        <v>22696.501522500002</v>
      </c>
    </row>
    <row r="7630" spans="1:7">
      <c r="A7630" s="298" t="s">
        <v>706</v>
      </c>
      <c r="B7630" s="410" t="s">
        <v>3835</v>
      </c>
      <c r="C7630" s="247"/>
      <c r="D7630" s="247"/>
      <c r="E7630" s="372"/>
      <c r="F7630" s="360"/>
      <c r="G7630" s="274"/>
    </row>
    <row r="7631" spans="1:7" ht="27">
      <c r="A7631" s="298"/>
      <c r="B7631" s="256" t="str">
        <f>'[43]analisa baru'!$B$963</f>
        <v>Membuat 1 m3 beton mutu f’  = 14.5 MPa (K 175). slump (12 ±2) cm. w/c = 0.66</v>
      </c>
      <c r="C7631" s="247" t="str">
        <f>'Rekap Analisa'!$B$53</f>
        <v>A.4.1.1.5</v>
      </c>
      <c r="D7631" s="247" t="s">
        <v>2646</v>
      </c>
      <c r="E7631" s="372">
        <f>0.4*0.4*0.05</f>
        <v>8.0000000000000019E-3</v>
      </c>
      <c r="F7631" s="360">
        <f>'Rekap Analisa'!$E$53</f>
        <v>1417037.32</v>
      </c>
      <c r="G7631" s="274">
        <f>F7631*E7631</f>
        <v>11336.298560000003</v>
      </c>
    </row>
    <row r="7632" spans="1:7">
      <c r="A7632" s="298"/>
      <c r="B7632" s="410" t="str">
        <f>'[43]analisa baru'!$B$1231</f>
        <v xml:space="preserve">Pembesian 1 kg dengan besi polos </v>
      </c>
      <c r="C7632" s="247" t="str">
        <f>'Rekap Analisa'!$B$65</f>
        <v>A.4.1.1.17</v>
      </c>
      <c r="D7632" s="247" t="s">
        <v>773</v>
      </c>
      <c r="E7632" s="372">
        <f>$E$7631*75</f>
        <v>0.60000000000000009</v>
      </c>
      <c r="F7632" s="360">
        <f>'Rekap Analisa'!$E$65</f>
        <v>18554.099999999999</v>
      </c>
      <c r="G7632" s="274">
        <f>F7632*E7632</f>
        <v>11132.460000000001</v>
      </c>
    </row>
    <row r="7633" spans="1:7">
      <c r="A7633" s="298"/>
      <c r="B7633" s="410" t="str">
        <f>'[43]analisa baru'!$B$1317</f>
        <v>Pemasangan 1 m2  bekisting untuk pondasi</v>
      </c>
      <c r="C7633" s="247" t="str">
        <f>'Rekap Analisa'!$B$68</f>
        <v>A.4.1.1.20</v>
      </c>
      <c r="D7633" s="247" t="s">
        <v>2646</v>
      </c>
      <c r="E7633" s="372">
        <f>(0.45*0.45)/(1.2*2.4)</f>
        <v>7.0312500000000014E-2</v>
      </c>
      <c r="F7633" s="360">
        <f>'Rekap Analisa'!$E$68</f>
        <v>286281</v>
      </c>
      <c r="G7633" s="274">
        <f>F7633*E7633</f>
        <v>20129.132812500004</v>
      </c>
    </row>
    <row r="7634" spans="1:7">
      <c r="A7634" s="298"/>
      <c r="B7634" s="410"/>
      <c r="C7634" s="247"/>
      <c r="D7634" s="247"/>
      <c r="E7634" s="387" t="str">
        <f>"JUMLAH "&amp;B7630</f>
        <v>JUMLAH COR BETON BERTULANG</v>
      </c>
      <c r="F7634" s="360"/>
      <c r="G7634" s="274">
        <f>SUM(G7631:G7633)</f>
        <v>42597.891372500002</v>
      </c>
    </row>
    <row r="7635" spans="1:7">
      <c r="A7635" s="298" t="s">
        <v>708</v>
      </c>
      <c r="B7635" s="410" t="s">
        <v>3836</v>
      </c>
      <c r="C7635" s="247"/>
      <c r="D7635" s="247"/>
      <c r="E7635" s="372"/>
      <c r="F7635" s="360"/>
      <c r="G7635" s="274"/>
    </row>
    <row r="7636" spans="1:7">
      <c r="A7636" s="298"/>
      <c r="B7636" s="410" t="str">
        <f>'[43]analisa baru'!$B$2295</f>
        <v>Pemasangan 1 kg besi profil</v>
      </c>
      <c r="C7636" s="247" t="str">
        <f>'Rekap Analisa'!$B$110</f>
        <v>A.4.2.1.1</v>
      </c>
      <c r="D7636" s="247" t="s">
        <v>773</v>
      </c>
      <c r="E7636" s="372">
        <f>(0.45*4*2)*(18.4/5)</f>
        <v>13.247999999999999</v>
      </c>
      <c r="F7636" s="360">
        <f>'Rekap Analisa'!$E$110</f>
        <v>40287.379999999997</v>
      </c>
      <c r="G7636" s="274">
        <f>F7636*E7636</f>
        <v>533727.21023999993</v>
      </c>
    </row>
    <row r="7637" spans="1:7">
      <c r="A7637" s="298"/>
      <c r="B7637" s="410"/>
      <c r="C7637" s="247"/>
      <c r="D7637" s="247"/>
      <c r="E7637" s="387" t="str">
        <f>"JUMLAH "&amp;B7635</f>
        <v>JUMLAH PAS.BESI SIKU L.50.50.4</v>
      </c>
      <c r="F7637" s="360"/>
      <c r="G7637" s="274">
        <f>SUM(G7636)</f>
        <v>533727.21023999993</v>
      </c>
    </row>
    <row r="7638" spans="1:7">
      <c r="A7638" s="294"/>
      <c r="B7638" s="410"/>
      <c r="C7638" s="247"/>
      <c r="D7638" s="247"/>
      <c r="E7638" s="372"/>
      <c r="F7638" s="360"/>
      <c r="G7638" s="274"/>
    </row>
    <row r="7639" spans="1:7">
      <c r="A7639" s="294" t="s">
        <v>711</v>
      </c>
      <c r="B7639" s="1141" t="s">
        <v>3837</v>
      </c>
      <c r="C7639" s="1142"/>
      <c r="D7639" s="1142"/>
      <c r="E7639" s="1142"/>
      <c r="F7639" s="1143"/>
      <c r="G7639" s="273">
        <f>SUM(G7622,G7626,G7629,G7637)</f>
        <v>795426.38366249995</v>
      </c>
    </row>
    <row r="7640" spans="1:7">
      <c r="A7640" s="294" t="s">
        <v>3532</v>
      </c>
      <c r="B7640" s="1141" t="s">
        <v>709</v>
      </c>
      <c r="C7640" s="1142"/>
      <c r="D7640" s="1143"/>
      <c r="E7640" s="1141" t="s">
        <v>3838</v>
      </c>
      <c r="F7640" s="1143"/>
      <c r="G7640" s="273">
        <f>G7639*0%</f>
        <v>0</v>
      </c>
    </row>
    <row r="7641" spans="1:7">
      <c r="A7641" s="294" t="s">
        <v>3839</v>
      </c>
      <c r="B7641" s="1141" t="s">
        <v>3840</v>
      </c>
      <c r="C7641" s="1142"/>
      <c r="D7641" s="1142"/>
      <c r="E7641" s="1142"/>
      <c r="F7641" s="1143"/>
      <c r="G7641" s="273">
        <f>SUM(G7639:G7640)</f>
        <v>795426.38366249995</v>
      </c>
    </row>
    <row r="7642" spans="1:7">
      <c r="A7642" s="252"/>
      <c r="B7642" s="251"/>
      <c r="C7642" s="252"/>
      <c r="D7642" s="252"/>
      <c r="E7642" s="374"/>
      <c r="F7642" s="361"/>
      <c r="G7642" s="272"/>
    </row>
    <row r="7643" spans="1:7">
      <c r="A7643" s="285" t="s">
        <v>4670</v>
      </c>
      <c r="B7643" s="263" t="s">
        <v>4671</v>
      </c>
      <c r="C7643" s="276"/>
      <c r="D7643" s="276"/>
      <c r="E7643" s="383"/>
      <c r="G7643" s="277"/>
    </row>
    <row r="7644" spans="1:7" ht="24.95" customHeight="1">
      <c r="A7644" s="290" t="s">
        <v>1003</v>
      </c>
      <c r="B7644" s="290" t="s">
        <v>1004</v>
      </c>
      <c r="C7644" s="290" t="s">
        <v>1005</v>
      </c>
      <c r="D7644" s="290" t="s">
        <v>1006</v>
      </c>
      <c r="E7644" s="373" t="s">
        <v>1007</v>
      </c>
      <c r="F7644" s="363" t="s">
        <v>2637</v>
      </c>
      <c r="G7644" s="353" t="s">
        <v>2638</v>
      </c>
    </row>
    <row r="7645" spans="1:7">
      <c r="A7645" s="298" t="s">
        <v>671</v>
      </c>
      <c r="B7645" s="410" t="s">
        <v>3832</v>
      </c>
      <c r="C7645" s="254"/>
      <c r="D7645" s="254"/>
      <c r="E7645" s="386"/>
      <c r="F7645" s="393"/>
      <c r="G7645" s="273"/>
    </row>
    <row r="7646" spans="1:7">
      <c r="A7646" s="298"/>
      <c r="B7646" s="282" t="str">
        <f>'[43]analisa baru'!$B$366</f>
        <v xml:space="preserve"> Penggalian 1 m3 tanah biasa sedalam 1 m</v>
      </c>
      <c r="C7646" s="247" t="str">
        <f>'Rekap Analisa'!$B$22</f>
        <v>A.2.3.1.1</v>
      </c>
      <c r="D7646" s="283" t="s">
        <v>2646</v>
      </c>
      <c r="E7646" s="372">
        <f>0.7*0.7*0.75</f>
        <v>0.36749999999999994</v>
      </c>
      <c r="F7646" s="360">
        <f>'Rekap Analisa'!$E$22</f>
        <v>98900</v>
      </c>
      <c r="G7646" s="274">
        <f>F7646*E7646</f>
        <v>36345.749999999993</v>
      </c>
    </row>
    <row r="7647" spans="1:7">
      <c r="A7647" s="298"/>
      <c r="B7647" s="282"/>
      <c r="C7647" s="247"/>
      <c r="D7647" s="283"/>
      <c r="E7647" s="387" t="str">
        <f>"JUMLAH "&amp;B7645</f>
        <v>JUMLAH GALIAN TANAH</v>
      </c>
      <c r="F7647" s="360"/>
      <c r="G7647" s="274">
        <f>SUM(G7646)</f>
        <v>36345.749999999993</v>
      </c>
    </row>
    <row r="7648" spans="1:7">
      <c r="A7648" s="298" t="s">
        <v>686</v>
      </c>
      <c r="B7648" s="410" t="s">
        <v>3833</v>
      </c>
      <c r="C7648" s="247"/>
      <c r="D7648" s="247"/>
      <c r="E7648" s="372"/>
      <c r="F7648" s="360"/>
      <c r="G7648" s="274"/>
    </row>
    <row r="7649" spans="1:7" ht="27">
      <c r="A7649" s="298"/>
      <c r="B7649" s="256" t="str">
        <f>$B$7599</f>
        <v>Pemasangan 1m2  dinding bata merah (5x11x22) cm tebal ½ batu campuran  1SP :2PP</v>
      </c>
      <c r="C7649" s="247" t="str">
        <f>$C$7599</f>
        <v>A. 4.4.1.7</v>
      </c>
      <c r="D7649" s="247" t="s">
        <v>2647</v>
      </c>
      <c r="E7649" s="372">
        <f>0.7*0.65*4</f>
        <v>1.8199999999999998</v>
      </c>
      <c r="F7649" s="360">
        <f>$F$7599</f>
        <v>157644.01</v>
      </c>
      <c r="G7649" s="274">
        <f>F7649*E7649</f>
        <v>286912.09820000001</v>
      </c>
    </row>
    <row r="7650" spans="1:7" ht="27">
      <c r="A7650" s="298"/>
      <c r="B7650" s="256" t="str">
        <f>$B$7600</f>
        <v>Pemasangan 1 m2 plesteran 1SP : 2PP tebal 15 mm</v>
      </c>
      <c r="C7650" s="247" t="str">
        <f>$C$7600</f>
        <v>A.4.4.2.2</v>
      </c>
      <c r="D7650" s="247" t="s">
        <v>2647</v>
      </c>
      <c r="E7650" s="372">
        <f>0.6*0.65*4</f>
        <v>1.56</v>
      </c>
      <c r="F7650" s="360">
        <f>$F$7600</f>
        <v>90256.6</v>
      </c>
      <c r="G7650" s="274">
        <f>F7650*E7650</f>
        <v>140800.296</v>
      </c>
    </row>
    <row r="7651" spans="1:7">
      <c r="A7651" s="298"/>
      <c r="B7651" s="256"/>
      <c r="C7651" s="247"/>
      <c r="D7651" s="247"/>
      <c r="E7651" s="387" t="str">
        <f>"JUMLAH "&amp;B7648</f>
        <v>JUMLAH PAS.BATU BATA</v>
      </c>
      <c r="F7651" s="360"/>
      <c r="G7651" s="274">
        <f>SUM(G7649:G7650)</f>
        <v>427712.39419999998</v>
      </c>
    </row>
    <row r="7652" spans="1:7">
      <c r="A7652" s="298" t="s">
        <v>703</v>
      </c>
      <c r="B7652" s="410" t="s">
        <v>3834</v>
      </c>
      <c r="C7652" s="247"/>
      <c r="D7652" s="247"/>
      <c r="E7652" s="372"/>
      <c r="F7652" s="360"/>
      <c r="G7652" s="274"/>
    </row>
    <row r="7653" spans="1:7" ht="27">
      <c r="A7653" s="298"/>
      <c r="B7653" s="256" t="str">
        <f>'[43]analisa baru'!$B$869</f>
        <v>Membuat 1 m3 beton mutu f’= 7.4 MPa (K 100). slump (12 ± 2) cm. w/c = 0.87</v>
      </c>
      <c r="C7653" s="247" t="str">
        <f>'Rekap Analisa'!$B$49</f>
        <v>A.4.1.1.1</v>
      </c>
      <c r="D7653" s="247" t="s">
        <v>2646</v>
      </c>
      <c r="E7653" s="372">
        <f>0.6*0.6*0.1</f>
        <v>3.5999999999999997E-2</v>
      </c>
      <c r="F7653" s="360">
        <f>'Rekap Analisa'!$E$49</f>
        <v>1120814.8899999999</v>
      </c>
      <c r="G7653" s="274">
        <f>F7653*E7653</f>
        <v>40349.336039999995</v>
      </c>
    </row>
    <row r="7654" spans="1:7">
      <c r="A7654" s="298"/>
      <c r="B7654" s="410"/>
      <c r="C7654" s="247"/>
      <c r="D7654" s="247"/>
      <c r="E7654" s="387" t="str">
        <f>"JUMLAH "&amp;B7652</f>
        <v xml:space="preserve">JUMLAH COR BETON </v>
      </c>
      <c r="F7654" s="360"/>
      <c r="G7654" s="274">
        <f>SUM(G7653)</f>
        <v>40349.336039999995</v>
      </c>
    </row>
    <row r="7655" spans="1:7">
      <c r="A7655" s="298" t="s">
        <v>706</v>
      </c>
      <c r="B7655" s="410" t="s">
        <v>3835</v>
      </c>
      <c r="C7655" s="247"/>
      <c r="D7655" s="247"/>
      <c r="E7655" s="372"/>
      <c r="F7655" s="360"/>
      <c r="G7655" s="274"/>
    </row>
    <row r="7656" spans="1:7" ht="27">
      <c r="A7656" s="298"/>
      <c r="B7656" s="256" t="str">
        <f>'[43]analisa baru'!$B$963</f>
        <v>Membuat 1 m3 beton mutu f’  = 14.5 MPa (K 175). slump (12 ±2) cm. w/c = 0.66</v>
      </c>
      <c r="C7656" s="247" t="str">
        <f>'Rekap Analisa'!$B$53</f>
        <v>A.4.1.1.5</v>
      </c>
      <c r="D7656" s="247" t="s">
        <v>2646</v>
      </c>
      <c r="E7656" s="372">
        <f>0.6*0.6*0.05</f>
        <v>1.7999999999999999E-2</v>
      </c>
      <c r="F7656" s="360">
        <f>'Rekap Analisa'!$E$53</f>
        <v>1417037.32</v>
      </c>
      <c r="G7656" s="274">
        <f>F7656*E7656</f>
        <v>25506.671759999997</v>
      </c>
    </row>
    <row r="7657" spans="1:7">
      <c r="A7657" s="298"/>
      <c r="B7657" s="410" t="str">
        <f>'[43]analisa baru'!$B$1231</f>
        <v xml:space="preserve">Pembesian 1 kg dengan besi polos </v>
      </c>
      <c r="C7657" s="247" t="str">
        <f>'Rekap Analisa'!$B$65</f>
        <v>A.4.1.1.17</v>
      </c>
      <c r="D7657" s="247" t="s">
        <v>773</v>
      </c>
      <c r="E7657" s="372">
        <f>$E$7656*75</f>
        <v>1.3499999999999999</v>
      </c>
      <c r="F7657" s="360">
        <f>'Rekap Analisa'!$E$65</f>
        <v>18554.099999999999</v>
      </c>
      <c r="G7657" s="274">
        <f>F7657*E7657</f>
        <v>25048.034999999996</v>
      </c>
    </row>
    <row r="7658" spans="1:7">
      <c r="A7658" s="298"/>
      <c r="B7658" s="410" t="str">
        <f>'[43]analisa baru'!$B$1317</f>
        <v>Pemasangan 1 m2  bekisting untuk pondasi</v>
      </c>
      <c r="C7658" s="247" t="str">
        <f>'Rekap Analisa'!$B$68</f>
        <v>A.4.1.1.20</v>
      </c>
      <c r="D7658" s="247" t="s">
        <v>2646</v>
      </c>
      <c r="E7658" s="372">
        <f>(0.6*0.6)/(1.2*2.4)</f>
        <v>0.125</v>
      </c>
      <c r="F7658" s="360">
        <f>'Rekap Analisa'!$E$68</f>
        <v>286281</v>
      </c>
      <c r="G7658" s="274">
        <f>F7658*E7658</f>
        <v>35785.125</v>
      </c>
    </row>
    <row r="7659" spans="1:7">
      <c r="A7659" s="298"/>
      <c r="B7659" s="410"/>
      <c r="C7659" s="247"/>
      <c r="D7659" s="247"/>
      <c r="E7659" s="387" t="str">
        <f>"JUMLAH "&amp;B7655</f>
        <v>JUMLAH COR BETON BERTULANG</v>
      </c>
      <c r="F7659" s="360"/>
      <c r="G7659" s="274">
        <f>SUM(G7656:G7658)</f>
        <v>86339.831760000001</v>
      </c>
    </row>
    <row r="7660" spans="1:7">
      <c r="A7660" s="298" t="s">
        <v>708</v>
      </c>
      <c r="B7660" s="410" t="s">
        <v>3836</v>
      </c>
      <c r="C7660" s="247"/>
      <c r="D7660" s="247"/>
      <c r="E7660" s="372"/>
      <c r="F7660" s="360"/>
      <c r="G7660" s="274"/>
    </row>
    <row r="7661" spans="1:7">
      <c r="A7661" s="298"/>
      <c r="B7661" s="410" t="str">
        <f>'[43]analisa baru'!$B$2295</f>
        <v>Pemasangan 1 kg besi profil</v>
      </c>
      <c r="C7661" s="247" t="str">
        <f>'Rekap Analisa'!$B$110</f>
        <v>A.4.2.1.1</v>
      </c>
      <c r="D7661" s="247" t="s">
        <v>773</v>
      </c>
      <c r="E7661" s="372">
        <f>(0.6*4*2)*(18.4/5)</f>
        <v>17.663999999999998</v>
      </c>
      <c r="F7661" s="360">
        <f>'Rekap Analisa'!$E$110</f>
        <v>40287.379999999997</v>
      </c>
      <c r="G7661" s="274">
        <f>F7661*E7661</f>
        <v>711636.2803199999</v>
      </c>
    </row>
    <row r="7662" spans="1:7">
      <c r="A7662" s="298"/>
      <c r="B7662" s="410"/>
      <c r="C7662" s="247"/>
      <c r="D7662" s="247"/>
      <c r="E7662" s="387" t="str">
        <f>"JUMLAH "&amp;B7660</f>
        <v>JUMLAH PAS.BESI SIKU L.50.50.4</v>
      </c>
      <c r="F7662" s="360"/>
      <c r="G7662" s="274">
        <f>SUM(G7661)</f>
        <v>711636.2803199999</v>
      </c>
    </row>
    <row r="7663" spans="1:7">
      <c r="A7663" s="294"/>
      <c r="B7663" s="410"/>
      <c r="C7663" s="247"/>
      <c r="D7663" s="247"/>
      <c r="E7663" s="372"/>
      <c r="F7663" s="360"/>
      <c r="G7663" s="274"/>
    </row>
    <row r="7664" spans="1:7">
      <c r="A7664" s="294" t="s">
        <v>711</v>
      </c>
      <c r="B7664" s="1141" t="s">
        <v>3837</v>
      </c>
      <c r="C7664" s="1142"/>
      <c r="D7664" s="1142"/>
      <c r="E7664" s="1142"/>
      <c r="F7664" s="1143"/>
      <c r="G7664" s="273">
        <f>SUM(G7647,G7651,G7654,G7662)</f>
        <v>1216043.7605599998</v>
      </c>
    </row>
    <row r="7665" spans="1:7">
      <c r="A7665" s="294" t="s">
        <v>3532</v>
      </c>
      <c r="B7665" s="1141" t="s">
        <v>709</v>
      </c>
      <c r="C7665" s="1142"/>
      <c r="D7665" s="1143"/>
      <c r="E7665" s="1141" t="s">
        <v>3838</v>
      </c>
      <c r="F7665" s="1143"/>
      <c r="G7665" s="273">
        <f>G7664*0%</f>
        <v>0</v>
      </c>
    </row>
    <row r="7666" spans="1:7">
      <c r="A7666" s="294" t="s">
        <v>3839</v>
      </c>
      <c r="B7666" s="1141" t="s">
        <v>3840</v>
      </c>
      <c r="C7666" s="1142"/>
      <c r="D7666" s="1142"/>
      <c r="E7666" s="1142"/>
      <c r="F7666" s="1143"/>
      <c r="G7666" s="273">
        <f>SUM(G7664:G7665)</f>
        <v>1216043.7605599998</v>
      </c>
    </row>
    <row r="7667" spans="1:7">
      <c r="A7667" s="252"/>
      <c r="B7667" s="251"/>
      <c r="C7667" s="252"/>
      <c r="D7667" s="252"/>
      <c r="E7667" s="374"/>
      <c r="F7667" s="361"/>
      <c r="G7667" s="272"/>
    </row>
    <row r="7668" spans="1:7">
      <c r="A7668" s="285" t="s">
        <v>4672</v>
      </c>
      <c r="B7668" s="263" t="s">
        <v>3841</v>
      </c>
      <c r="C7668" s="252"/>
      <c r="D7668" s="252"/>
      <c r="E7668" s="374"/>
      <c r="F7668" s="361"/>
      <c r="G7668" s="272"/>
    </row>
    <row r="7669" spans="1:7" s="292" customFormat="1" ht="24.95" customHeight="1">
      <c r="A7669" s="290" t="s">
        <v>1003</v>
      </c>
      <c r="B7669" s="290" t="s">
        <v>1004</v>
      </c>
      <c r="C7669" s="290" t="s">
        <v>1005</v>
      </c>
      <c r="D7669" s="290" t="s">
        <v>1006</v>
      </c>
      <c r="E7669" s="373" t="s">
        <v>1007</v>
      </c>
      <c r="F7669" s="363" t="s">
        <v>2637</v>
      </c>
      <c r="G7669" s="353" t="s">
        <v>2638</v>
      </c>
    </row>
    <row r="7670" spans="1:7">
      <c r="A7670" s="294" t="s">
        <v>671</v>
      </c>
      <c r="B7670" s="410" t="s">
        <v>672</v>
      </c>
      <c r="C7670" s="247"/>
      <c r="D7670" s="247"/>
      <c r="E7670" s="372"/>
      <c r="F7670" s="360"/>
      <c r="G7670" s="274"/>
    </row>
    <row r="7671" spans="1:7">
      <c r="A7671" s="294"/>
      <c r="B7671" s="410" t="s">
        <v>673</v>
      </c>
      <c r="C7671" s="247" t="s">
        <v>674</v>
      </c>
      <c r="D7671" s="247" t="s">
        <v>675</v>
      </c>
      <c r="E7671" s="372">
        <v>0.2</v>
      </c>
      <c r="F7671" s="360">
        <f>'UPAD-BAHAN-ALAT'!I12</f>
        <v>110000</v>
      </c>
      <c r="G7671" s="274">
        <f>F7671*E7671</f>
        <v>22000</v>
      </c>
    </row>
    <row r="7672" spans="1:7">
      <c r="A7672" s="294"/>
      <c r="B7672" s="410" t="s">
        <v>1480</v>
      </c>
      <c r="C7672" s="247" t="s">
        <v>678</v>
      </c>
      <c r="D7672" s="247" t="s">
        <v>675</v>
      </c>
      <c r="E7672" s="372">
        <v>0.1</v>
      </c>
      <c r="F7672" s="360">
        <f>'UPAD-BAHAN-ALAT'!I13</f>
        <v>140000</v>
      </c>
      <c r="G7672" s="274">
        <f>F7672*E7672</f>
        <v>14000</v>
      </c>
    </row>
    <row r="7673" spans="1:7">
      <c r="A7673" s="294"/>
      <c r="B7673" s="410" t="s">
        <v>683</v>
      </c>
      <c r="C7673" s="247" t="s">
        <v>684</v>
      </c>
      <c r="D7673" s="247" t="s">
        <v>675</v>
      </c>
      <c r="E7673" s="372">
        <v>0.02</v>
      </c>
      <c r="F7673" s="360">
        <f>'UPAD-BAHAN-ALAT'!I14</f>
        <v>140000</v>
      </c>
      <c r="G7673" s="274">
        <f>F7673*E7673</f>
        <v>2800</v>
      </c>
    </row>
    <row r="7674" spans="1:7">
      <c r="A7674" s="357"/>
      <c r="B7674" s="356"/>
      <c r="C7674" s="356"/>
      <c r="D7674" s="356"/>
      <c r="E7674" s="384" t="s">
        <v>685</v>
      </c>
      <c r="F7674" s="391"/>
      <c r="G7674" s="274">
        <f>SUM(G7671:G7673)</f>
        <v>38800</v>
      </c>
    </row>
    <row r="7675" spans="1:7">
      <c r="A7675" s="294" t="s">
        <v>686</v>
      </c>
      <c r="B7675" s="410" t="s">
        <v>687</v>
      </c>
      <c r="C7675" s="247"/>
      <c r="D7675" s="247"/>
      <c r="E7675" s="372"/>
      <c r="F7675" s="360"/>
      <c r="G7675" s="274"/>
    </row>
    <row r="7676" spans="1:7">
      <c r="A7676" s="294"/>
      <c r="B7676" s="410" t="str">
        <f>'[43]UPAD-BAHAN-ALAT'!$B$577</f>
        <v xml:space="preserve">Box kontrol precast dia. 30cm h=60cm </v>
      </c>
      <c r="C7676" s="247"/>
      <c r="D7676" s="247" t="s">
        <v>1423</v>
      </c>
      <c r="E7676" s="372">
        <v>1</v>
      </c>
      <c r="F7676" s="360">
        <f>'UPAD-BAHAN-ALAT'!$I$598</f>
        <v>1166400</v>
      </c>
      <c r="G7676" s="274">
        <f>F7676*E7676</f>
        <v>1166400</v>
      </c>
    </row>
    <row r="7677" spans="1:7">
      <c r="A7677" s="294"/>
      <c r="B7677" s="410"/>
      <c r="C7677" s="247"/>
      <c r="D7677" s="247"/>
      <c r="E7677" s="1159" t="s">
        <v>702</v>
      </c>
      <c r="F7677" s="1160"/>
      <c r="G7677" s="274">
        <f>SUM(G7676:G7676)</f>
        <v>1166400</v>
      </c>
    </row>
    <row r="7678" spans="1:7">
      <c r="A7678" s="294" t="s">
        <v>703</v>
      </c>
      <c r="B7678" s="410" t="s">
        <v>704</v>
      </c>
      <c r="C7678" s="247"/>
      <c r="D7678" s="247"/>
      <c r="E7678" s="372"/>
      <c r="F7678" s="360"/>
      <c r="G7678" s="274"/>
    </row>
    <row r="7679" spans="1:7">
      <c r="A7679" s="294"/>
      <c r="B7679" s="256" t="s">
        <v>3655</v>
      </c>
      <c r="C7679" s="247"/>
      <c r="D7679" s="257" t="s">
        <v>1011</v>
      </c>
      <c r="E7679" s="375">
        <v>1</v>
      </c>
      <c r="F7679" s="360">
        <v>10000</v>
      </c>
      <c r="G7679" s="274">
        <f>F7679*E7679</f>
        <v>10000</v>
      </c>
    </row>
    <row r="7680" spans="1:7">
      <c r="A7680" s="294"/>
      <c r="B7680" s="410"/>
      <c r="C7680" s="247"/>
      <c r="D7680" s="247"/>
      <c r="E7680" s="1159" t="s">
        <v>705</v>
      </c>
      <c r="F7680" s="1160"/>
      <c r="G7680" s="274">
        <f>SUM(G7679)</f>
        <v>10000</v>
      </c>
    </row>
    <row r="7681" spans="1:7" s="265" customFormat="1">
      <c r="A7681" s="294" t="s">
        <v>706</v>
      </c>
      <c r="B7681" s="1141" t="s">
        <v>707</v>
      </c>
      <c r="C7681" s="1142"/>
      <c r="D7681" s="1142"/>
      <c r="E7681" s="1142"/>
      <c r="F7681" s="1143"/>
      <c r="G7681" s="273">
        <f>G7674+G7677+G7680</f>
        <v>1215200</v>
      </c>
    </row>
    <row r="7682" spans="1:7" s="265" customFormat="1">
      <c r="A7682" s="294" t="s">
        <v>708</v>
      </c>
      <c r="B7682" s="1141" t="s">
        <v>709</v>
      </c>
      <c r="C7682" s="1142"/>
      <c r="D7682" s="1143"/>
      <c r="E7682" s="1141" t="s">
        <v>710</v>
      </c>
      <c r="F7682" s="1143"/>
      <c r="G7682" s="255">
        <f>G7681*0.15</f>
        <v>182280</v>
      </c>
    </row>
    <row r="7683" spans="1:7" s="265" customFormat="1">
      <c r="A7683" s="294" t="s">
        <v>711</v>
      </c>
      <c r="B7683" s="1141" t="s">
        <v>712</v>
      </c>
      <c r="C7683" s="1142"/>
      <c r="D7683" s="1142"/>
      <c r="E7683" s="1142"/>
      <c r="F7683" s="1143"/>
      <c r="G7683" s="255">
        <f>ROUND(SUM(G7681:G7682),2)</f>
        <v>1397480</v>
      </c>
    </row>
    <row r="7684" spans="1:7">
      <c r="A7684" s="276"/>
      <c r="B7684" s="275"/>
      <c r="C7684" s="276"/>
      <c r="D7684" s="276"/>
      <c r="E7684" s="383"/>
      <c r="G7684" s="277"/>
    </row>
    <row r="7685" spans="1:7">
      <c r="A7685" s="285" t="s">
        <v>3842</v>
      </c>
      <c r="B7685" s="263" t="s">
        <v>3843</v>
      </c>
      <c r="C7685" s="276"/>
      <c r="D7685" s="276"/>
      <c r="E7685" s="383"/>
      <c r="G7685" s="277"/>
    </row>
    <row r="7686" spans="1:7" s="292" customFormat="1" ht="24.95" customHeight="1">
      <c r="A7686" s="290" t="s">
        <v>1003</v>
      </c>
      <c r="B7686" s="290" t="s">
        <v>1004</v>
      </c>
      <c r="C7686" s="290" t="s">
        <v>1005</v>
      </c>
      <c r="D7686" s="290" t="s">
        <v>1006</v>
      </c>
      <c r="E7686" s="373" t="s">
        <v>1007</v>
      </c>
      <c r="F7686" s="363" t="s">
        <v>2637</v>
      </c>
      <c r="G7686" s="353" t="s">
        <v>2638</v>
      </c>
    </row>
    <row r="7687" spans="1:7">
      <c r="A7687" s="298" t="s">
        <v>671</v>
      </c>
      <c r="B7687" s="410" t="s">
        <v>3832</v>
      </c>
      <c r="C7687" s="254"/>
      <c r="D7687" s="254"/>
      <c r="E7687" s="386"/>
      <c r="F7687" s="393"/>
      <c r="G7687" s="273"/>
    </row>
    <row r="7688" spans="1:7">
      <c r="A7688" s="298"/>
      <c r="B7688" s="282" t="str">
        <f>'[43]analisa baru'!$B$366</f>
        <v xml:space="preserve"> Penggalian 1 m3 tanah biasa sedalam 1 m</v>
      </c>
      <c r="C7688" s="247" t="str">
        <f>'[43]analisa baru'!$A$366</f>
        <v>A.2.3.1.1.</v>
      </c>
      <c r="D7688" s="283" t="s">
        <v>2646</v>
      </c>
      <c r="E7688" s="372">
        <f>0.5*0.5*0.7</f>
        <v>0.17499999999999999</v>
      </c>
      <c r="F7688" s="360">
        <f>F7596</f>
        <v>98900</v>
      </c>
      <c r="G7688" s="274">
        <f>F7688*E7688</f>
        <v>17307.5</v>
      </c>
    </row>
    <row r="7689" spans="1:7">
      <c r="A7689" s="298"/>
      <c r="B7689" s="410"/>
      <c r="C7689" s="247"/>
      <c r="D7689" s="283"/>
      <c r="E7689" s="387" t="str">
        <f>"JUMLAH "&amp;B7687</f>
        <v>JUMLAH GALIAN TANAH</v>
      </c>
      <c r="F7689" s="360"/>
      <c r="G7689" s="274">
        <f>SUM(G7688)</f>
        <v>17307.5</v>
      </c>
    </row>
    <row r="7690" spans="1:7">
      <c r="A7690" s="298" t="s">
        <v>686</v>
      </c>
      <c r="B7690" s="410" t="s">
        <v>3833</v>
      </c>
      <c r="C7690" s="247"/>
      <c r="D7690" s="247"/>
      <c r="E7690" s="372"/>
      <c r="F7690" s="360"/>
      <c r="G7690" s="274"/>
    </row>
    <row r="7691" spans="1:7" ht="27">
      <c r="A7691" s="298"/>
      <c r="B7691" s="256" t="str">
        <f>$B$7599</f>
        <v>Pemasangan 1m2  dinding bata merah (5x11x22) cm tebal ½ batu campuran  1SP :2PP</v>
      </c>
      <c r="C7691" s="247" t="str">
        <f>$C$7599</f>
        <v>A. 4.4.1.7</v>
      </c>
      <c r="D7691" s="247" t="s">
        <v>2647</v>
      </c>
      <c r="E7691" s="372">
        <f>0.65*(0.5*4)</f>
        <v>1.3</v>
      </c>
      <c r="F7691" s="360">
        <f>$F$7599</f>
        <v>157644.01</v>
      </c>
      <c r="G7691" s="274">
        <f>F7691*E7691</f>
        <v>204937.21300000002</v>
      </c>
    </row>
    <row r="7692" spans="1:7" ht="27">
      <c r="A7692" s="298"/>
      <c r="B7692" s="256" t="str">
        <f>$B$7600</f>
        <v>Pemasangan 1 m2 plesteran 1SP : 2PP tebal 15 mm</v>
      </c>
      <c r="C7692" s="247" t="str">
        <f>$C$7600</f>
        <v>A.4.4.2.2</v>
      </c>
      <c r="D7692" s="247" t="s">
        <v>2647</v>
      </c>
      <c r="E7692" s="372">
        <f>0.5*0.5*4</f>
        <v>1</v>
      </c>
      <c r="F7692" s="360">
        <f>$F$7600</f>
        <v>90256.6</v>
      </c>
      <c r="G7692" s="274">
        <f>F7692*E7692</f>
        <v>90256.6</v>
      </c>
    </row>
    <row r="7693" spans="1:7">
      <c r="A7693" s="298"/>
      <c r="B7693" s="256"/>
      <c r="C7693" s="247"/>
      <c r="D7693" s="247"/>
      <c r="E7693" s="387" t="str">
        <f>"JUMLAH "&amp;B7690</f>
        <v>JUMLAH PAS.BATU BATA</v>
      </c>
      <c r="F7693" s="360"/>
      <c r="G7693" s="274">
        <f>SUM(G7691:G7692)</f>
        <v>295193.81300000002</v>
      </c>
    </row>
    <row r="7694" spans="1:7">
      <c r="A7694" s="298" t="s">
        <v>703</v>
      </c>
      <c r="B7694" s="410" t="s">
        <v>3834</v>
      </c>
      <c r="C7694" s="247"/>
      <c r="D7694" s="247"/>
      <c r="E7694" s="372"/>
      <c r="F7694" s="360"/>
      <c r="G7694" s="274"/>
    </row>
    <row r="7695" spans="1:7" ht="27">
      <c r="A7695" s="298"/>
      <c r="B7695" s="256" t="str">
        <f>'[43]analisa baru'!$B$869</f>
        <v>Membuat 1 m3 beton mutu f’= 7.4 MPa (K 100). slump (12 ± 2) cm. w/c = 0.87</v>
      </c>
      <c r="C7695" s="247" t="str">
        <f>'[43]analisa baru'!$A$869</f>
        <v xml:space="preserve">A.4.1.1.1 </v>
      </c>
      <c r="D7695" s="247" t="s">
        <v>2646</v>
      </c>
      <c r="E7695" s="372">
        <f>0.49*0.3</f>
        <v>0.14699999999999999</v>
      </c>
      <c r="F7695" s="360">
        <f>F7603</f>
        <v>1120814.8899999999</v>
      </c>
      <c r="G7695" s="274">
        <f>F7695*E7695</f>
        <v>164759.78882999998</v>
      </c>
    </row>
    <row r="7696" spans="1:7">
      <c r="A7696" s="298"/>
      <c r="B7696" s="410"/>
      <c r="C7696" s="247"/>
      <c r="D7696" s="247"/>
      <c r="E7696" s="387" t="str">
        <f>"JUMLAH "&amp;B7694</f>
        <v xml:space="preserve">JUMLAH COR BETON </v>
      </c>
      <c r="F7696" s="360"/>
      <c r="G7696" s="274">
        <f>SUM(G7695)</f>
        <v>164759.78882999998</v>
      </c>
    </row>
    <row r="7697" spans="1:7">
      <c r="A7697" s="298" t="s">
        <v>706</v>
      </c>
      <c r="B7697" s="410" t="s">
        <v>3835</v>
      </c>
      <c r="C7697" s="247"/>
      <c r="D7697" s="247"/>
      <c r="E7697" s="372"/>
      <c r="F7697" s="360"/>
      <c r="G7697" s="274"/>
    </row>
    <row r="7698" spans="1:7" ht="27">
      <c r="A7698" s="298"/>
      <c r="B7698" s="256" t="str">
        <f>'[43]analisa baru'!$B$963</f>
        <v>Membuat 1 m3 beton mutu f’  = 14.5 MPa (K 175). slump (12 ±2) cm. w/c = 0.66</v>
      </c>
      <c r="C7698" s="247" t="str">
        <f>'[43]analisa baru'!$A$963</f>
        <v xml:space="preserve">A.4.1.1.5. </v>
      </c>
      <c r="D7698" s="247" t="s">
        <v>2646</v>
      </c>
      <c r="E7698" s="372">
        <f>0.4*0.4*0.06</f>
        <v>9.6000000000000009E-3</v>
      </c>
      <c r="F7698" s="360">
        <f>F7606</f>
        <v>1417037.32</v>
      </c>
      <c r="G7698" s="274">
        <f>F7698*E7698</f>
        <v>13603.558272000002</v>
      </c>
    </row>
    <row r="7699" spans="1:7">
      <c r="A7699" s="298"/>
      <c r="B7699" s="410" t="str">
        <f>'[43]analisa baru'!$B$1231</f>
        <v xml:space="preserve">Pembesian 1 kg dengan besi polos </v>
      </c>
      <c r="C7699" s="247" t="str">
        <f>'[43]analisa baru'!$A$1231</f>
        <v xml:space="preserve">A.4.1.1.17  </v>
      </c>
      <c r="D7699" s="247" t="s">
        <v>773</v>
      </c>
      <c r="E7699" s="372">
        <f>E7698*75</f>
        <v>0.72000000000000008</v>
      </c>
      <c r="F7699" s="360">
        <f>'analisa 2019'!F7607</f>
        <v>18554.099999999999</v>
      </c>
      <c r="G7699" s="274">
        <f>F7699*E7699</f>
        <v>13358.952000000001</v>
      </c>
    </row>
    <row r="7700" spans="1:7">
      <c r="A7700" s="298"/>
      <c r="B7700" s="410" t="str">
        <f>'[43]analisa baru'!$B$1317</f>
        <v>Pemasangan 1 m2  bekisting untuk pondasi</v>
      </c>
      <c r="C7700" s="247" t="str">
        <f>'[43]analisa baru'!$A$1317</f>
        <v xml:space="preserve">A.4.1.1.20  </v>
      </c>
      <c r="D7700" s="247" t="s">
        <v>2646</v>
      </c>
      <c r="E7700" s="372">
        <f>(0.4*0.4)/(1.2*2.4)</f>
        <v>5.5555555555555566E-2</v>
      </c>
      <c r="F7700" s="360">
        <f>F7608</f>
        <v>286281</v>
      </c>
      <c r="G7700" s="274">
        <f>F7700*E7700</f>
        <v>15904.500000000004</v>
      </c>
    </row>
    <row r="7701" spans="1:7">
      <c r="A7701" s="298"/>
      <c r="B7701" s="410"/>
      <c r="C7701" s="247"/>
      <c r="D7701" s="247"/>
      <c r="E7701" s="387" t="str">
        <f>"JUMLAH "&amp;B7697</f>
        <v>JUMLAH COR BETON BERTULANG</v>
      </c>
      <c r="F7701" s="360"/>
      <c r="G7701" s="274">
        <f>SUM(G7698:G7700)</f>
        <v>42867.010272000007</v>
      </c>
    </row>
    <row r="7702" spans="1:7">
      <c r="A7702" s="298" t="s">
        <v>708</v>
      </c>
      <c r="B7702" s="410" t="s">
        <v>3844</v>
      </c>
      <c r="C7702" s="247"/>
      <c r="D7702" s="247"/>
      <c r="E7702" s="372"/>
      <c r="F7702" s="360"/>
      <c r="G7702" s="274"/>
    </row>
    <row r="7703" spans="1:7">
      <c r="A7703" s="298"/>
      <c r="B7703" s="410" t="str">
        <f>'[43]analisa baru'!$B$2295</f>
        <v>Pemasangan 1 kg besi profil</v>
      </c>
      <c r="C7703" s="247" t="str">
        <f>'[43]analisa baru'!$A$2295</f>
        <v xml:space="preserve"> A.4.2.1.1. </v>
      </c>
      <c r="D7703" s="247" t="s">
        <v>773</v>
      </c>
      <c r="E7703" s="372">
        <f>((0.4*4)*(27.3/5))+((0.4*4*2)*(6.72/6))</f>
        <v>12.32</v>
      </c>
      <c r="F7703" s="360">
        <f>F7611</f>
        <v>40287.379999999997</v>
      </c>
      <c r="G7703" s="274">
        <f>F7703*E7703</f>
        <v>496340.52159999998</v>
      </c>
    </row>
    <row r="7704" spans="1:7">
      <c r="A7704" s="294"/>
      <c r="B7704" s="410"/>
      <c r="C7704" s="247"/>
      <c r="D7704" s="247"/>
      <c r="E7704" s="387" t="str">
        <f>"JUMLAH "&amp;B7702</f>
        <v>JUMLAH PAS.BESI SIKU L.60.60.5 + L.25.25.3</v>
      </c>
      <c r="F7704" s="360"/>
      <c r="G7704" s="274">
        <f>SUM(G7703)</f>
        <v>496340.52159999998</v>
      </c>
    </row>
    <row r="7705" spans="1:7" s="265" customFormat="1">
      <c r="A7705" s="294" t="s">
        <v>711</v>
      </c>
      <c r="B7705" s="1141" t="s">
        <v>3837</v>
      </c>
      <c r="C7705" s="1142"/>
      <c r="D7705" s="1142"/>
      <c r="E7705" s="1142"/>
      <c r="F7705" s="1143"/>
      <c r="G7705" s="273">
        <f>G7689+G7693+G7696+G7701+G7703</f>
        <v>1016468.6337019999</v>
      </c>
    </row>
    <row r="7706" spans="1:7" s="265" customFormat="1">
      <c r="A7706" s="294" t="s">
        <v>3532</v>
      </c>
      <c r="B7706" s="1141" t="s">
        <v>709</v>
      </c>
      <c r="C7706" s="1142"/>
      <c r="D7706" s="1143"/>
      <c r="E7706" s="1141" t="s">
        <v>3838</v>
      </c>
      <c r="F7706" s="1143"/>
      <c r="G7706" s="273">
        <f>G7705*0%</f>
        <v>0</v>
      </c>
    </row>
    <row r="7707" spans="1:7" s="265" customFormat="1">
      <c r="A7707" s="294" t="s">
        <v>3839</v>
      </c>
      <c r="B7707" s="1141" t="s">
        <v>3840</v>
      </c>
      <c r="C7707" s="1142"/>
      <c r="D7707" s="1142"/>
      <c r="E7707" s="1142"/>
      <c r="F7707" s="1143"/>
      <c r="G7707" s="273">
        <f>SUM(G7705:G7706)</f>
        <v>1016468.6337019999</v>
      </c>
    </row>
    <row r="7708" spans="1:7">
      <c r="A7708" s="252"/>
      <c r="B7708" s="251"/>
      <c r="C7708" s="252"/>
      <c r="D7708" s="252"/>
      <c r="E7708" s="374"/>
      <c r="F7708" s="361"/>
      <c r="G7708" s="272"/>
    </row>
    <row r="7709" spans="1:7">
      <c r="A7709" s="285" t="s">
        <v>3845</v>
      </c>
      <c r="B7709" s="263" t="s">
        <v>3846</v>
      </c>
      <c r="C7709" s="276"/>
      <c r="D7709" s="276"/>
      <c r="E7709" s="383"/>
      <c r="G7709" s="277"/>
    </row>
    <row r="7710" spans="1:7" s="292" customFormat="1" ht="24.95" customHeight="1">
      <c r="A7710" s="290" t="s">
        <v>1003</v>
      </c>
      <c r="B7710" s="290" t="s">
        <v>1004</v>
      </c>
      <c r="C7710" s="290" t="s">
        <v>1005</v>
      </c>
      <c r="D7710" s="290" t="s">
        <v>1006</v>
      </c>
      <c r="E7710" s="373" t="s">
        <v>1007</v>
      </c>
      <c r="F7710" s="363" t="s">
        <v>2637</v>
      </c>
      <c r="G7710" s="353" t="s">
        <v>2638</v>
      </c>
    </row>
    <row r="7711" spans="1:7">
      <c r="A7711" s="298" t="s">
        <v>671</v>
      </c>
      <c r="B7711" s="410" t="s">
        <v>3832</v>
      </c>
      <c r="C7711" s="254"/>
      <c r="D7711" s="254"/>
      <c r="E7711" s="386"/>
      <c r="F7711" s="393"/>
      <c r="G7711" s="273"/>
    </row>
    <row r="7712" spans="1:7">
      <c r="A7712" s="298"/>
      <c r="B7712" s="282" t="str">
        <f>'[43]analisa baru'!$B$366</f>
        <v xml:space="preserve"> Penggalian 1 m3 tanah biasa sedalam 1 m</v>
      </c>
      <c r="C7712" s="247" t="str">
        <f>'[43]analisa baru'!$A$366</f>
        <v>A.2.3.1.1.</v>
      </c>
      <c r="D7712" s="283" t="s">
        <v>2646</v>
      </c>
      <c r="E7712" s="372">
        <f>0.5*0.5*0.6</f>
        <v>0.15</v>
      </c>
      <c r="F7712" s="360">
        <f>F7688</f>
        <v>98900</v>
      </c>
      <c r="G7712" s="274">
        <f>F7712*E7712</f>
        <v>14835</v>
      </c>
    </row>
    <row r="7713" spans="1:7">
      <c r="A7713" s="298"/>
      <c r="B7713" s="410"/>
      <c r="C7713" s="247"/>
      <c r="D7713" s="283"/>
      <c r="E7713" s="387" t="str">
        <f>"JUMLAH "&amp;B7711</f>
        <v>JUMLAH GALIAN TANAH</v>
      </c>
      <c r="F7713" s="360"/>
      <c r="G7713" s="274">
        <f>SUM(G7712)</f>
        <v>14835</v>
      </c>
    </row>
    <row r="7714" spans="1:7">
      <c r="A7714" s="298" t="s">
        <v>686</v>
      </c>
      <c r="B7714" s="410" t="s">
        <v>3833</v>
      </c>
      <c r="C7714" s="247"/>
      <c r="D7714" s="247"/>
      <c r="E7714" s="372"/>
      <c r="F7714" s="360"/>
      <c r="G7714" s="274"/>
    </row>
    <row r="7715" spans="1:7" ht="27">
      <c r="A7715" s="298"/>
      <c r="B7715" s="256" t="str">
        <f>$B$7599</f>
        <v>Pemasangan 1m2  dinding bata merah (5x11x22) cm tebal ½ batu campuran  1SP :2PP</v>
      </c>
      <c r="C7715" s="247" t="str">
        <f>$C$7599</f>
        <v>A. 4.4.1.7</v>
      </c>
      <c r="D7715" s="247" t="s">
        <v>2647</v>
      </c>
      <c r="E7715" s="372">
        <f>0.55*(0.5*4)</f>
        <v>1.1000000000000001</v>
      </c>
      <c r="F7715" s="360">
        <f>$F$7691</f>
        <v>157644.01</v>
      </c>
      <c r="G7715" s="274">
        <f>F7715*E7715</f>
        <v>173408.41100000002</v>
      </c>
    </row>
    <row r="7716" spans="1:7" ht="27">
      <c r="A7716" s="298"/>
      <c r="B7716" s="256" t="str">
        <f>$B$7600</f>
        <v>Pemasangan 1 m2 plesteran 1SP : 2PP tebal 15 mm</v>
      </c>
      <c r="C7716" s="247" t="str">
        <f>$C$7600</f>
        <v>A.4.4.2.2</v>
      </c>
      <c r="D7716" s="247" t="s">
        <v>2647</v>
      </c>
      <c r="E7716" s="372">
        <f>0.4*0.4*4</f>
        <v>0.64000000000000012</v>
      </c>
      <c r="F7716" s="360">
        <f>$F$7692</f>
        <v>90256.6</v>
      </c>
      <c r="G7716" s="274">
        <f>F7716*E7716</f>
        <v>57764.224000000017</v>
      </c>
    </row>
    <row r="7717" spans="1:7">
      <c r="A7717" s="298"/>
      <c r="B7717" s="256"/>
      <c r="C7717" s="247"/>
      <c r="D7717" s="247"/>
      <c r="E7717" s="387" t="str">
        <f>"JUMLAH "&amp;B7714</f>
        <v>JUMLAH PAS.BATU BATA</v>
      </c>
      <c r="F7717" s="360"/>
      <c r="G7717" s="274">
        <f>SUM(G7715:G7716)</f>
        <v>231172.63500000004</v>
      </c>
    </row>
    <row r="7718" spans="1:7">
      <c r="A7718" s="298" t="s">
        <v>703</v>
      </c>
      <c r="B7718" s="410" t="s">
        <v>3834</v>
      </c>
      <c r="C7718" s="247"/>
      <c r="D7718" s="247"/>
      <c r="E7718" s="372"/>
      <c r="F7718" s="360"/>
      <c r="G7718" s="274"/>
    </row>
    <row r="7719" spans="1:7" ht="27">
      <c r="A7719" s="298"/>
      <c r="B7719" s="256" t="str">
        <f>'[43]analisa baru'!$B$869</f>
        <v>Membuat 1 m3 beton mutu f’= 7.4 MPa (K 100). slump (12 ± 2) cm. w/c = 0.87</v>
      </c>
      <c r="C7719" s="247" t="str">
        <f>'[43]analisa baru'!$A$869</f>
        <v xml:space="preserve">A.4.1.1.1 </v>
      </c>
      <c r="D7719" s="247" t="s">
        <v>2646</v>
      </c>
      <c r="E7719" s="372">
        <f>0.49*0.3</f>
        <v>0.14699999999999999</v>
      </c>
      <c r="F7719" s="360">
        <f>F7695</f>
        <v>1120814.8899999999</v>
      </c>
      <c r="G7719" s="274">
        <f>F7719*E7719</f>
        <v>164759.78882999998</v>
      </c>
    </row>
    <row r="7720" spans="1:7">
      <c r="A7720" s="298"/>
      <c r="B7720" s="410"/>
      <c r="C7720" s="247"/>
      <c r="D7720" s="247"/>
      <c r="E7720" s="387" t="str">
        <f>"JUMLAH "&amp;B7718</f>
        <v xml:space="preserve">JUMLAH COR BETON </v>
      </c>
      <c r="F7720" s="360"/>
      <c r="G7720" s="274">
        <f>SUM(G7719)</f>
        <v>164759.78882999998</v>
      </c>
    </row>
    <row r="7721" spans="1:7">
      <c r="A7721" s="298" t="s">
        <v>706</v>
      </c>
      <c r="B7721" s="410" t="s">
        <v>3835</v>
      </c>
      <c r="C7721" s="247"/>
      <c r="D7721" s="247"/>
      <c r="E7721" s="372"/>
      <c r="F7721" s="360"/>
      <c r="G7721" s="274"/>
    </row>
    <row r="7722" spans="1:7" ht="27">
      <c r="A7722" s="298"/>
      <c r="B7722" s="256" t="str">
        <f>'[43]analisa baru'!$B$963</f>
        <v>Membuat 1 m3 beton mutu f’  = 14.5 MPa (K 175). slump (12 ±2) cm. w/c = 0.66</v>
      </c>
      <c r="C7722" s="247" t="str">
        <f>'[43]analisa baru'!$A$963</f>
        <v xml:space="preserve">A.4.1.1.5. </v>
      </c>
      <c r="D7722" s="247" t="s">
        <v>2646</v>
      </c>
      <c r="E7722" s="372">
        <f>0.4*0.4*0.06</f>
        <v>9.6000000000000009E-3</v>
      </c>
      <c r="F7722" s="360">
        <f>F7698</f>
        <v>1417037.32</v>
      </c>
      <c r="G7722" s="274">
        <f>F7722*E7722</f>
        <v>13603.558272000002</v>
      </c>
    </row>
    <row r="7723" spans="1:7">
      <c r="A7723" s="298"/>
      <c r="B7723" s="410" t="str">
        <f>'[43]analisa baru'!$B$1231</f>
        <v xml:space="preserve">Pembesian 1 kg dengan besi polos </v>
      </c>
      <c r="C7723" s="247" t="str">
        <f>'[43]analisa baru'!$A$1231</f>
        <v xml:space="preserve">A.4.1.1.17  </v>
      </c>
      <c r="D7723" s="247" t="s">
        <v>773</v>
      </c>
      <c r="E7723" s="372">
        <f>E7722*75</f>
        <v>0.72000000000000008</v>
      </c>
      <c r="F7723" s="360">
        <f>F7699</f>
        <v>18554.099999999999</v>
      </c>
      <c r="G7723" s="274">
        <f>F7723*E7723</f>
        <v>13358.952000000001</v>
      </c>
    </row>
    <row r="7724" spans="1:7">
      <c r="A7724" s="298"/>
      <c r="B7724" s="410" t="str">
        <f>'[43]analisa baru'!$B$1317</f>
        <v>Pemasangan 1 m2  bekisting untuk pondasi</v>
      </c>
      <c r="C7724" s="247" t="str">
        <f>'[43]analisa baru'!$A$1317</f>
        <v xml:space="preserve">A.4.1.1.20  </v>
      </c>
      <c r="D7724" s="247" t="s">
        <v>2646</v>
      </c>
      <c r="E7724" s="372">
        <f>(0.4*0.4)/(1.2*2.4)</f>
        <v>5.5555555555555566E-2</v>
      </c>
      <c r="F7724" s="360">
        <f>F7700</f>
        <v>286281</v>
      </c>
      <c r="G7724" s="274">
        <f>F7724*E7724</f>
        <v>15904.500000000004</v>
      </c>
    </row>
    <row r="7725" spans="1:7">
      <c r="A7725" s="298"/>
      <c r="B7725" s="410"/>
      <c r="C7725" s="247"/>
      <c r="D7725" s="247"/>
      <c r="E7725" s="387" t="str">
        <f>"JUMLAH "&amp;B7721</f>
        <v>JUMLAH COR BETON BERTULANG</v>
      </c>
      <c r="F7725" s="360"/>
      <c r="G7725" s="274">
        <f>SUM(G7722:G7724)</f>
        <v>42867.010272000007</v>
      </c>
    </row>
    <row r="7726" spans="1:7">
      <c r="A7726" s="298" t="s">
        <v>708</v>
      </c>
      <c r="B7726" s="410" t="s">
        <v>3844</v>
      </c>
      <c r="C7726" s="247"/>
      <c r="D7726" s="247"/>
      <c r="E7726" s="372"/>
      <c r="F7726" s="360"/>
      <c r="G7726" s="274"/>
    </row>
    <row r="7727" spans="1:7">
      <c r="A7727" s="425"/>
      <c r="B7727" s="410" t="str">
        <f>'[43]analisa baru'!$B$2295</f>
        <v>Pemasangan 1 kg besi profil</v>
      </c>
      <c r="C7727" s="247" t="str">
        <f>'[43]analisa baru'!$A$2295</f>
        <v xml:space="preserve"> A.4.2.1.1. </v>
      </c>
      <c r="D7727" s="247" t="s">
        <v>773</v>
      </c>
      <c r="E7727" s="372">
        <f>((0.4*4)*(27.3/5))+((0.4*4*2)*(6.72/6))</f>
        <v>12.32</v>
      </c>
      <c r="F7727" s="360">
        <f>F7703</f>
        <v>40287.379999999997</v>
      </c>
      <c r="G7727" s="274">
        <f>F7727*E7727</f>
        <v>496340.52159999998</v>
      </c>
    </row>
    <row r="7728" spans="1:7">
      <c r="A7728" s="247"/>
      <c r="B7728" s="410"/>
      <c r="C7728" s="247"/>
      <c r="D7728" s="247"/>
      <c r="E7728" s="387" t="str">
        <f>"JUMLAH "&amp;B7726</f>
        <v>JUMLAH PAS.BESI SIKU L.60.60.5 + L.25.25.3</v>
      </c>
      <c r="F7728" s="360"/>
      <c r="G7728" s="274">
        <f>SUM(G7727)</f>
        <v>496340.52159999998</v>
      </c>
    </row>
    <row r="7729" spans="1:7" s="265" customFormat="1">
      <c r="A7729" s="294" t="s">
        <v>711</v>
      </c>
      <c r="B7729" s="1141" t="s">
        <v>3837</v>
      </c>
      <c r="C7729" s="1142"/>
      <c r="D7729" s="1142"/>
      <c r="E7729" s="1142"/>
      <c r="F7729" s="1143"/>
      <c r="G7729" s="273">
        <f>G7713+G7717+G7720+G7725+G7728</f>
        <v>949974.95570199995</v>
      </c>
    </row>
    <row r="7730" spans="1:7" s="265" customFormat="1">
      <c r="A7730" s="294" t="s">
        <v>3532</v>
      </c>
      <c r="B7730" s="1141" t="s">
        <v>709</v>
      </c>
      <c r="C7730" s="1142"/>
      <c r="D7730" s="1143"/>
      <c r="E7730" s="1141" t="s">
        <v>3838</v>
      </c>
      <c r="F7730" s="1143"/>
      <c r="G7730" s="273">
        <f>G7729*0%</f>
        <v>0</v>
      </c>
    </row>
    <row r="7731" spans="1:7" s="265" customFormat="1">
      <c r="A7731" s="294" t="s">
        <v>3839</v>
      </c>
      <c r="B7731" s="1141" t="s">
        <v>3840</v>
      </c>
      <c r="C7731" s="1142"/>
      <c r="D7731" s="1142"/>
      <c r="E7731" s="1142"/>
      <c r="F7731" s="1143"/>
      <c r="G7731" s="273">
        <f>SUM(G7729:G7730)</f>
        <v>949974.95570199995</v>
      </c>
    </row>
    <row r="7732" spans="1:7">
      <c r="A7732" s="252"/>
      <c r="B7732" s="251"/>
      <c r="C7732" s="252"/>
      <c r="D7732" s="252"/>
      <c r="E7732" s="374"/>
      <c r="F7732" s="361"/>
      <c r="G7732" s="272"/>
    </row>
    <row r="7733" spans="1:7">
      <c r="A7733" s="285" t="s">
        <v>3847</v>
      </c>
      <c r="B7733" s="263" t="s">
        <v>3848</v>
      </c>
      <c r="C7733" s="276"/>
      <c r="D7733" s="276"/>
      <c r="E7733" s="383"/>
      <c r="G7733" s="277"/>
    </row>
    <row r="7734" spans="1:7" s="292" customFormat="1" ht="24.95" customHeight="1">
      <c r="A7734" s="290" t="s">
        <v>1003</v>
      </c>
      <c r="B7734" s="290" t="s">
        <v>1004</v>
      </c>
      <c r="C7734" s="290" t="s">
        <v>1005</v>
      </c>
      <c r="D7734" s="290" t="s">
        <v>1006</v>
      </c>
      <c r="E7734" s="373" t="s">
        <v>1007</v>
      </c>
      <c r="F7734" s="363" t="s">
        <v>2637</v>
      </c>
      <c r="G7734" s="353" t="s">
        <v>2638</v>
      </c>
    </row>
    <row r="7735" spans="1:7">
      <c r="A7735" s="298" t="s">
        <v>671</v>
      </c>
      <c r="B7735" s="410" t="s">
        <v>3832</v>
      </c>
      <c r="C7735" s="254"/>
      <c r="D7735" s="254"/>
      <c r="E7735" s="386"/>
      <c r="F7735" s="393"/>
      <c r="G7735" s="273"/>
    </row>
    <row r="7736" spans="1:7">
      <c r="A7736" s="298"/>
      <c r="B7736" s="282" t="str">
        <f>'[43]analisa baru'!$B$366</f>
        <v xml:space="preserve"> Penggalian 1 m3 tanah biasa sedalam 1 m</v>
      </c>
      <c r="C7736" s="247" t="str">
        <f>'[43]analisa baru'!$A$366</f>
        <v>A.2.3.1.1.</v>
      </c>
      <c r="D7736" s="283" t="s">
        <v>2646</v>
      </c>
      <c r="E7736" s="372">
        <f>0.5*0.5*0.6</f>
        <v>0.15</v>
      </c>
      <c r="F7736" s="360">
        <f>F7712</f>
        <v>98900</v>
      </c>
      <c r="G7736" s="274">
        <f>F7736*E7736</f>
        <v>14835</v>
      </c>
    </row>
    <row r="7737" spans="1:7">
      <c r="A7737" s="298"/>
      <c r="B7737" s="410"/>
      <c r="C7737" s="247"/>
      <c r="D7737" s="283"/>
      <c r="E7737" s="387" t="str">
        <f>"JUMLAH "&amp;B7735</f>
        <v>JUMLAH GALIAN TANAH</v>
      </c>
      <c r="F7737" s="360"/>
      <c r="G7737" s="274">
        <f>SUM(G7736)</f>
        <v>14835</v>
      </c>
    </row>
    <row r="7738" spans="1:7">
      <c r="A7738" s="298" t="s">
        <v>686</v>
      </c>
      <c r="B7738" s="410" t="s">
        <v>3833</v>
      </c>
      <c r="C7738" s="247"/>
      <c r="D7738" s="247"/>
      <c r="E7738" s="372"/>
      <c r="F7738" s="360"/>
      <c r="G7738" s="274"/>
    </row>
    <row r="7739" spans="1:7" ht="27">
      <c r="A7739" s="298"/>
      <c r="B7739" s="256" t="str">
        <f>$B$7599</f>
        <v>Pemasangan 1m2  dinding bata merah (5x11x22) cm tebal ½ batu campuran  1SP :2PP</v>
      </c>
      <c r="C7739" s="247" t="str">
        <f>$C$7599</f>
        <v>A. 4.4.1.7</v>
      </c>
      <c r="D7739" s="247" t="s">
        <v>2647</v>
      </c>
      <c r="E7739" s="372">
        <f>0.55*(0.5*4)</f>
        <v>1.1000000000000001</v>
      </c>
      <c r="F7739" s="360">
        <f>F7715</f>
        <v>157644.01</v>
      </c>
      <c r="G7739" s="274">
        <f>F7739*E7739</f>
        <v>173408.41100000002</v>
      </c>
    </row>
    <row r="7740" spans="1:7" ht="27">
      <c r="A7740" s="298"/>
      <c r="B7740" s="256" t="str">
        <f>$B$7600</f>
        <v>Pemasangan 1 m2 plesteran 1SP : 2PP tebal 15 mm</v>
      </c>
      <c r="C7740" s="247" t="str">
        <f>$C$7600</f>
        <v>A.4.4.2.2</v>
      </c>
      <c r="D7740" s="247" t="s">
        <v>2647</v>
      </c>
      <c r="E7740" s="372">
        <f>0.4*0.4*4</f>
        <v>0.64000000000000012</v>
      </c>
      <c r="F7740" s="360">
        <f>F7716</f>
        <v>90256.6</v>
      </c>
      <c r="G7740" s="274">
        <f>F7740*E7740</f>
        <v>57764.224000000017</v>
      </c>
    </row>
    <row r="7741" spans="1:7">
      <c r="A7741" s="298"/>
      <c r="B7741" s="256"/>
      <c r="C7741" s="247"/>
      <c r="D7741" s="247"/>
      <c r="E7741" s="387" t="str">
        <f>"JUMLAH "&amp;B7738</f>
        <v>JUMLAH PAS.BATU BATA</v>
      </c>
      <c r="F7741" s="360"/>
      <c r="G7741" s="274">
        <f>SUM(G7739:G7740)</f>
        <v>231172.63500000004</v>
      </c>
    </row>
    <row r="7742" spans="1:7">
      <c r="A7742" s="298" t="s">
        <v>703</v>
      </c>
      <c r="B7742" s="410" t="s">
        <v>3834</v>
      </c>
      <c r="C7742" s="247"/>
      <c r="D7742" s="247"/>
      <c r="E7742" s="372"/>
      <c r="F7742" s="360"/>
      <c r="G7742" s="274"/>
    </row>
    <row r="7743" spans="1:7" ht="27">
      <c r="A7743" s="298"/>
      <c r="B7743" s="256" t="str">
        <f>'[43]analisa baru'!$B$869</f>
        <v>Membuat 1 m3 beton mutu f’= 7.4 MPa (K 100). slump (12 ± 2) cm. w/c = 0.87</v>
      </c>
      <c r="C7743" s="247" t="str">
        <f>'[43]analisa baru'!$A$869</f>
        <v xml:space="preserve">A.4.1.1.1 </v>
      </c>
      <c r="D7743" s="247" t="s">
        <v>2646</v>
      </c>
      <c r="E7743" s="372">
        <f>0.49*0.3</f>
        <v>0.14699999999999999</v>
      </c>
      <c r="F7743" s="360">
        <f>F7719</f>
        <v>1120814.8899999999</v>
      </c>
      <c r="G7743" s="274">
        <f>F7743*E7743</f>
        <v>164759.78882999998</v>
      </c>
    </row>
    <row r="7744" spans="1:7">
      <c r="A7744" s="298"/>
      <c r="B7744" s="410"/>
      <c r="C7744" s="247"/>
      <c r="D7744" s="247"/>
      <c r="E7744" s="387" t="str">
        <f>"JUMLAH "&amp;B7742</f>
        <v xml:space="preserve">JUMLAH COR BETON </v>
      </c>
      <c r="F7744" s="360"/>
      <c r="G7744" s="274">
        <f>SUM(G7743)</f>
        <v>164759.78882999998</v>
      </c>
    </row>
    <row r="7745" spans="1:7">
      <c r="A7745" s="298" t="s">
        <v>706</v>
      </c>
      <c r="B7745" s="410" t="s">
        <v>3835</v>
      </c>
      <c r="C7745" s="247"/>
      <c r="D7745" s="247"/>
      <c r="E7745" s="372"/>
      <c r="F7745" s="360"/>
      <c r="G7745" s="274"/>
    </row>
    <row r="7746" spans="1:7" ht="27">
      <c r="A7746" s="298"/>
      <c r="B7746" s="256" t="str">
        <f>'[43]analisa baru'!$B$963</f>
        <v>Membuat 1 m3 beton mutu f’  = 14.5 MPa (K 175). slump (12 ±2) cm. w/c = 0.66</v>
      </c>
      <c r="C7746" s="247" t="str">
        <f>'[43]analisa baru'!$A$963</f>
        <v xml:space="preserve">A.4.1.1.5. </v>
      </c>
      <c r="D7746" s="247" t="s">
        <v>2646</v>
      </c>
      <c r="E7746" s="372">
        <f>0.4*0.4*0.06</f>
        <v>9.6000000000000009E-3</v>
      </c>
      <c r="F7746" s="360">
        <f>F7722</f>
        <v>1417037.32</v>
      </c>
      <c r="G7746" s="274">
        <f>F7746*E7746</f>
        <v>13603.558272000002</v>
      </c>
    </row>
    <row r="7747" spans="1:7">
      <c r="A7747" s="298"/>
      <c r="B7747" s="410" t="str">
        <f>'[43]analisa baru'!$B$1231</f>
        <v xml:space="preserve">Pembesian 1 kg dengan besi polos </v>
      </c>
      <c r="C7747" s="247" t="str">
        <f>'[43]analisa baru'!$A$1231</f>
        <v xml:space="preserve">A.4.1.1.17  </v>
      </c>
      <c r="D7747" s="247" t="s">
        <v>773</v>
      </c>
      <c r="E7747" s="372">
        <f>E7746*75</f>
        <v>0.72000000000000008</v>
      </c>
      <c r="F7747" s="360">
        <f>F7723</f>
        <v>18554.099999999999</v>
      </c>
      <c r="G7747" s="274">
        <f>F7747*E7747</f>
        <v>13358.952000000001</v>
      </c>
    </row>
    <row r="7748" spans="1:7">
      <c r="A7748" s="298"/>
      <c r="B7748" s="410" t="str">
        <f>'[43]analisa baru'!$B$1317</f>
        <v>Pemasangan 1 m2  bekisting untuk pondasi</v>
      </c>
      <c r="C7748" s="247" t="str">
        <f>'[43]analisa baru'!$A$1317</f>
        <v xml:space="preserve">A.4.1.1.20  </v>
      </c>
      <c r="D7748" s="247" t="s">
        <v>2646</v>
      </c>
      <c r="E7748" s="372">
        <f>(0.4*0.4)/(1.2*2.4)</f>
        <v>5.5555555555555566E-2</v>
      </c>
      <c r="F7748" s="360">
        <f>F7724</f>
        <v>286281</v>
      </c>
      <c r="G7748" s="274">
        <f>F7748*E7748</f>
        <v>15904.500000000004</v>
      </c>
    </row>
    <row r="7749" spans="1:7">
      <c r="A7749" s="298"/>
      <c r="B7749" s="410"/>
      <c r="C7749" s="247"/>
      <c r="D7749" s="247"/>
      <c r="E7749" s="387" t="str">
        <f>"JUMLAH "&amp;B7745</f>
        <v>JUMLAH COR BETON BERTULANG</v>
      </c>
      <c r="F7749" s="360"/>
      <c r="G7749" s="274">
        <f>SUM(G7746:G7748)</f>
        <v>42867.010272000007</v>
      </c>
    </row>
    <row r="7750" spans="1:7">
      <c r="A7750" s="298" t="s">
        <v>708</v>
      </c>
      <c r="B7750" s="410" t="s">
        <v>3844</v>
      </c>
      <c r="C7750" s="247"/>
      <c r="D7750" s="247"/>
      <c r="E7750" s="372"/>
      <c r="F7750" s="360"/>
      <c r="G7750" s="274"/>
    </row>
    <row r="7751" spans="1:7">
      <c r="A7751" s="298"/>
      <c r="B7751" s="410" t="str">
        <f>'[43]analisa baru'!$B$2295</f>
        <v>Pemasangan 1 kg besi profil</v>
      </c>
      <c r="C7751" s="247" t="str">
        <f>'[43]analisa baru'!$A$2295</f>
        <v xml:space="preserve"> A.4.2.1.1. </v>
      </c>
      <c r="D7751" s="247" t="s">
        <v>773</v>
      </c>
      <c r="E7751" s="372">
        <f>((0.4*4)*(27.3/5))+((0.4*4*2)*(6.72/6))</f>
        <v>12.32</v>
      </c>
      <c r="F7751" s="360">
        <f>F7727</f>
        <v>40287.379999999997</v>
      </c>
      <c r="G7751" s="274">
        <f>F7751*E7751</f>
        <v>496340.52159999998</v>
      </c>
    </row>
    <row r="7752" spans="1:7">
      <c r="A7752" s="298"/>
      <c r="B7752" s="410"/>
      <c r="C7752" s="247"/>
      <c r="D7752" s="247"/>
      <c r="E7752" s="387" t="str">
        <f>"JUMLAH "&amp;B7750</f>
        <v>JUMLAH PAS.BESI SIKU L.60.60.5 + L.25.25.3</v>
      </c>
      <c r="F7752" s="360"/>
      <c r="G7752" s="274">
        <f>SUM(G7751)</f>
        <v>496340.52159999998</v>
      </c>
    </row>
    <row r="7753" spans="1:7">
      <c r="A7753" s="298" t="s">
        <v>711</v>
      </c>
      <c r="B7753" s="410" t="s">
        <v>3849</v>
      </c>
      <c r="C7753" s="247"/>
      <c r="D7753" s="247"/>
      <c r="E7753" s="372"/>
      <c r="F7753" s="360"/>
      <c r="G7753" s="274"/>
    </row>
    <row r="7754" spans="1:7">
      <c r="A7754" s="298"/>
      <c r="B7754" s="410" t="s">
        <v>3936</v>
      </c>
      <c r="C7754" s="247" t="s">
        <v>3850</v>
      </c>
      <c r="D7754" s="247" t="s">
        <v>1423</v>
      </c>
      <c r="E7754" s="372">
        <v>1</v>
      </c>
      <c r="F7754" s="360">
        <f>'UPAD-BAHAN-ALAT'!$I$606</f>
        <v>60000</v>
      </c>
      <c r="G7754" s="274">
        <f>F7754*E7754</f>
        <v>60000</v>
      </c>
    </row>
    <row r="7755" spans="1:7">
      <c r="A7755" s="298"/>
      <c r="B7755" s="410" t="s">
        <v>3937</v>
      </c>
      <c r="C7755" s="247" t="s">
        <v>3850</v>
      </c>
      <c r="D7755" s="247" t="s">
        <v>1423</v>
      </c>
      <c r="E7755" s="372">
        <v>1</v>
      </c>
      <c r="F7755" s="360">
        <f>'UPAD-BAHAN-ALAT'!$I$607</f>
        <v>90000</v>
      </c>
      <c r="G7755" s="274">
        <f>F7755*E7755</f>
        <v>90000</v>
      </c>
    </row>
    <row r="7756" spans="1:7">
      <c r="A7756" s="298"/>
      <c r="B7756" s="410" t="s">
        <v>3851</v>
      </c>
      <c r="C7756" s="247" t="s">
        <v>3850</v>
      </c>
      <c r="D7756" s="247" t="s">
        <v>2970</v>
      </c>
      <c r="E7756" s="372">
        <v>0.3</v>
      </c>
      <c r="F7756" s="360">
        <f>'UPAD-BAHAN-ALAT'!I595</f>
        <v>104640</v>
      </c>
      <c r="G7756" s="274">
        <f>F7756*E7756</f>
        <v>31392</v>
      </c>
    </row>
    <row r="7757" spans="1:7">
      <c r="A7757" s="247"/>
      <c r="B7757" s="410"/>
      <c r="C7757" s="247"/>
      <c r="D7757" s="247"/>
      <c r="E7757" s="387" t="str">
        <f>"JUMLAH "&amp;B7753</f>
        <v>JUMLAH Pas. Smell trap</v>
      </c>
      <c r="F7757" s="360"/>
      <c r="G7757" s="274">
        <f>SUM(G7754:G7756)</f>
        <v>181392</v>
      </c>
    </row>
    <row r="7758" spans="1:7" s="265" customFormat="1">
      <c r="A7758" s="294" t="s">
        <v>3532</v>
      </c>
      <c r="B7758" s="1141" t="s">
        <v>3852</v>
      </c>
      <c r="C7758" s="1142"/>
      <c r="D7758" s="1142"/>
      <c r="E7758" s="1142"/>
      <c r="F7758" s="1143"/>
      <c r="G7758" s="273">
        <f>SUM(G7737,G7741,G7744,G7749,G7752,G7757)</f>
        <v>1131366.9557019998</v>
      </c>
    </row>
    <row r="7759" spans="1:7" s="265" customFormat="1">
      <c r="A7759" s="294" t="s">
        <v>3839</v>
      </c>
      <c r="B7759" s="1141" t="s">
        <v>709</v>
      </c>
      <c r="C7759" s="1142"/>
      <c r="D7759" s="1143"/>
      <c r="E7759" s="1141" t="s">
        <v>3838</v>
      </c>
      <c r="F7759" s="1143"/>
      <c r="G7759" s="273">
        <f>G7758*0%</f>
        <v>0</v>
      </c>
    </row>
    <row r="7760" spans="1:7" s="265" customFormat="1">
      <c r="A7760" s="294" t="s">
        <v>2097</v>
      </c>
      <c r="B7760" s="1141" t="s">
        <v>3853</v>
      </c>
      <c r="C7760" s="1142"/>
      <c r="D7760" s="1142"/>
      <c r="E7760" s="1142"/>
      <c r="F7760" s="1143"/>
      <c r="G7760" s="273">
        <f>SUM(G7758:G7759)</f>
        <v>1131366.9557019998</v>
      </c>
    </row>
    <row r="7761" spans="1:7">
      <c r="A7761" s="252"/>
      <c r="B7761" s="251"/>
      <c r="C7761" s="252"/>
      <c r="D7761" s="252"/>
      <c r="E7761" s="374"/>
      <c r="F7761" s="361"/>
      <c r="G7761" s="272"/>
    </row>
    <row r="7762" spans="1:7">
      <c r="A7762" s="285" t="s">
        <v>3854</v>
      </c>
      <c r="B7762" s="263" t="s">
        <v>3855</v>
      </c>
      <c r="C7762" s="276"/>
      <c r="D7762" s="276"/>
      <c r="E7762" s="383"/>
      <c r="G7762" s="277"/>
    </row>
    <row r="7763" spans="1:7" s="292" customFormat="1" ht="24.95" customHeight="1">
      <c r="A7763" s="290" t="s">
        <v>1003</v>
      </c>
      <c r="B7763" s="290" t="s">
        <v>1004</v>
      </c>
      <c r="C7763" s="290" t="s">
        <v>1005</v>
      </c>
      <c r="D7763" s="290" t="s">
        <v>1006</v>
      </c>
      <c r="E7763" s="373" t="s">
        <v>1007</v>
      </c>
      <c r="F7763" s="363" t="s">
        <v>2637</v>
      </c>
      <c r="G7763" s="353" t="s">
        <v>2638</v>
      </c>
    </row>
    <row r="7764" spans="1:7">
      <c r="A7764" s="298" t="s">
        <v>671</v>
      </c>
      <c r="B7764" s="410" t="s">
        <v>3832</v>
      </c>
      <c r="C7764" s="254"/>
      <c r="D7764" s="254"/>
      <c r="E7764" s="386"/>
      <c r="F7764" s="393"/>
      <c r="G7764" s="273"/>
    </row>
    <row r="7765" spans="1:7">
      <c r="A7765" s="298"/>
      <c r="B7765" s="282" t="str">
        <f>'[43]analisa baru'!$B$366</f>
        <v xml:space="preserve"> Penggalian 1 m3 tanah biasa sedalam 1 m</v>
      </c>
      <c r="C7765" s="247" t="str">
        <f>'[43]analisa baru'!$A$366</f>
        <v>A.2.3.1.1.</v>
      </c>
      <c r="D7765" s="283" t="s">
        <v>2646</v>
      </c>
      <c r="E7765" s="372">
        <f>0.7*0.6*1</f>
        <v>0.42</v>
      </c>
      <c r="F7765" s="360">
        <f>F7688</f>
        <v>98900</v>
      </c>
      <c r="G7765" s="274">
        <f>F7765*E7765</f>
        <v>41538</v>
      </c>
    </row>
    <row r="7766" spans="1:7">
      <c r="A7766" s="298"/>
      <c r="B7766" s="410"/>
      <c r="C7766" s="247"/>
      <c r="D7766" s="283"/>
      <c r="E7766" s="387" t="str">
        <f>"JUMLAH "&amp;B7764</f>
        <v>JUMLAH GALIAN TANAH</v>
      </c>
      <c r="F7766" s="360"/>
      <c r="G7766" s="274">
        <f>SUM(G7765)</f>
        <v>41538</v>
      </c>
    </row>
    <row r="7767" spans="1:7">
      <c r="A7767" s="298" t="s">
        <v>686</v>
      </c>
      <c r="B7767" s="410" t="s">
        <v>3833</v>
      </c>
      <c r="C7767" s="247"/>
      <c r="D7767" s="247"/>
      <c r="E7767" s="372"/>
      <c r="F7767" s="360"/>
      <c r="G7767" s="274"/>
    </row>
    <row r="7768" spans="1:7" ht="27">
      <c r="A7768" s="298"/>
      <c r="B7768" s="256" t="str">
        <f>$B$7599</f>
        <v>Pemasangan 1m2  dinding bata merah (5x11x22) cm tebal ½ batu campuran  1SP :2PP</v>
      </c>
      <c r="C7768" s="247" t="str">
        <f>$C$7599</f>
        <v>A. 4.4.1.7</v>
      </c>
      <c r="D7768" s="247" t="s">
        <v>2647</v>
      </c>
      <c r="E7768" s="372">
        <f>1*(0.8+0.8+0.7+0.7)</f>
        <v>3</v>
      </c>
      <c r="F7768" s="360">
        <f>$F$7691</f>
        <v>157644.01</v>
      </c>
      <c r="G7768" s="274">
        <f>F7768*E7768</f>
        <v>472932.03</v>
      </c>
    </row>
    <row r="7769" spans="1:7" ht="27">
      <c r="A7769" s="298"/>
      <c r="B7769" s="256" t="str">
        <f>$B$7600</f>
        <v>Pemasangan 1 m2 plesteran 1SP : 2PP tebal 15 mm</v>
      </c>
      <c r="C7769" s="247" t="str">
        <f>$C$7600</f>
        <v>A.4.4.2.2</v>
      </c>
      <c r="D7769" s="247" t="s">
        <v>2647</v>
      </c>
      <c r="E7769" s="372">
        <f>(0.8*0.7*2)+(0.8*0.6*2)</f>
        <v>2.08</v>
      </c>
      <c r="F7769" s="360">
        <f>$F$7692</f>
        <v>90256.6</v>
      </c>
      <c r="G7769" s="274">
        <f>F7769*E7769</f>
        <v>187733.72800000003</v>
      </c>
    </row>
    <row r="7770" spans="1:7">
      <c r="A7770" s="298"/>
      <c r="B7770" s="256"/>
      <c r="C7770" s="247"/>
      <c r="D7770" s="247"/>
      <c r="E7770" s="387" t="str">
        <f>"JUMLAH "&amp;B7767</f>
        <v>JUMLAH PAS.BATU BATA</v>
      </c>
      <c r="F7770" s="360"/>
      <c r="G7770" s="274">
        <f>SUM(G7768:G7769)</f>
        <v>660665.75800000003</v>
      </c>
    </row>
    <row r="7771" spans="1:7">
      <c r="A7771" s="298" t="s">
        <v>703</v>
      </c>
      <c r="B7771" s="410" t="s">
        <v>3834</v>
      </c>
      <c r="C7771" s="247"/>
      <c r="D7771" s="247"/>
      <c r="E7771" s="372"/>
      <c r="F7771" s="360"/>
      <c r="G7771" s="274"/>
    </row>
    <row r="7772" spans="1:7" ht="27">
      <c r="A7772" s="298"/>
      <c r="B7772" s="256" t="str">
        <f>'[43]analisa baru'!$B$869</f>
        <v>Membuat 1 m3 beton mutu f’= 7.4 MPa (K 100). slump (12 ± 2) cm. w/c = 0.87</v>
      </c>
      <c r="C7772" s="247" t="str">
        <f>'[43]analisa baru'!$A$869</f>
        <v xml:space="preserve">A.4.1.1.1 </v>
      </c>
      <c r="D7772" s="247" t="s">
        <v>2646</v>
      </c>
      <c r="E7772" s="372">
        <f>0.973*0.8</f>
        <v>0.77839999999999998</v>
      </c>
      <c r="F7772" s="360">
        <f>F7695</f>
        <v>1120814.8899999999</v>
      </c>
      <c r="G7772" s="274">
        <f>F7772*E7772</f>
        <v>872442.31037599989</v>
      </c>
    </row>
    <row r="7773" spans="1:7">
      <c r="A7773" s="298"/>
      <c r="B7773" s="410"/>
      <c r="C7773" s="247"/>
      <c r="D7773" s="247"/>
      <c r="E7773" s="387" t="str">
        <f>"JUMLAH "&amp;B7771</f>
        <v xml:space="preserve">JUMLAH COR BETON </v>
      </c>
      <c r="F7773" s="360"/>
      <c r="G7773" s="274">
        <f>SUM(G7772)</f>
        <v>872442.31037599989</v>
      </c>
    </row>
    <row r="7774" spans="1:7">
      <c r="A7774" s="298" t="s">
        <v>706</v>
      </c>
      <c r="B7774" s="410" t="s">
        <v>3835</v>
      </c>
      <c r="C7774" s="247"/>
      <c r="D7774" s="247"/>
      <c r="E7774" s="372"/>
      <c r="F7774" s="360"/>
      <c r="G7774" s="274"/>
    </row>
    <row r="7775" spans="1:7" ht="27">
      <c r="A7775" s="298"/>
      <c r="B7775" s="256" t="str">
        <f>'[43]analisa baru'!$B$963</f>
        <v>Membuat 1 m3 beton mutu f’  = 14.5 MPa (K 175). slump (12 ±2) cm. w/c = 0.66</v>
      </c>
      <c r="C7775" s="247" t="str">
        <f>'[43]analisa baru'!$A$963</f>
        <v xml:space="preserve">A.4.1.1.5. </v>
      </c>
      <c r="D7775" s="247" t="s">
        <v>2646</v>
      </c>
      <c r="E7775" s="372">
        <f>0.6*0.7*0.08*2</f>
        <v>6.7199999999999996E-2</v>
      </c>
      <c r="F7775" s="360">
        <f>F7698</f>
        <v>1417037.32</v>
      </c>
      <c r="G7775" s="274">
        <f>F7775*E7775</f>
        <v>95224.907903999992</v>
      </c>
    </row>
    <row r="7776" spans="1:7">
      <c r="A7776" s="298"/>
      <c r="B7776" s="410" t="str">
        <f>'[43]analisa baru'!$B$1231</f>
        <v xml:space="preserve">Pembesian 1 kg dengan besi polos </v>
      </c>
      <c r="C7776" s="247" t="str">
        <f>'[43]analisa baru'!$A$1231</f>
        <v xml:space="preserve">A.4.1.1.17  </v>
      </c>
      <c r="D7776" s="247" t="s">
        <v>773</v>
      </c>
      <c r="E7776" s="372">
        <f>E7775*125</f>
        <v>8.4</v>
      </c>
      <c r="F7776" s="360">
        <f>F7699</f>
        <v>18554.099999999999</v>
      </c>
      <c r="G7776" s="274">
        <f>F7776*E7776</f>
        <v>155854.44</v>
      </c>
    </row>
    <row r="7777" spans="1:7">
      <c r="A7777" s="298"/>
      <c r="B7777" s="410" t="str">
        <f>'[43]analisa baru'!$B$1317</f>
        <v>Pemasangan 1 m2  bekisting untuk pondasi</v>
      </c>
      <c r="C7777" s="247" t="str">
        <f>'[43]analisa baru'!$A$1317</f>
        <v xml:space="preserve">A.4.1.1.20  </v>
      </c>
      <c r="D7777" s="247" t="s">
        <v>2646</v>
      </c>
      <c r="E7777" s="372">
        <f>(0.6*0.7*2)/(1.2*2.4)</f>
        <v>0.29166666666666669</v>
      </c>
      <c r="F7777" s="360">
        <f>F7700</f>
        <v>286281</v>
      </c>
      <c r="G7777" s="274">
        <f>F7777*E7777</f>
        <v>83498.625</v>
      </c>
    </row>
    <row r="7778" spans="1:7">
      <c r="A7778" s="298"/>
      <c r="B7778" s="410"/>
      <c r="C7778" s="247"/>
      <c r="D7778" s="247"/>
      <c r="E7778" s="387" t="str">
        <f>"JUMLAH "&amp;B7774</f>
        <v>JUMLAH COR BETON BERTULANG</v>
      </c>
      <c r="F7778" s="360"/>
      <c r="G7778" s="274">
        <f>SUM(G7775:G7777)</f>
        <v>334577.97290399997</v>
      </c>
    </row>
    <row r="7779" spans="1:7">
      <c r="A7779" s="298" t="s">
        <v>708</v>
      </c>
      <c r="B7779" s="410" t="s">
        <v>3844</v>
      </c>
      <c r="C7779" s="247"/>
      <c r="D7779" s="247"/>
      <c r="E7779" s="372"/>
      <c r="F7779" s="360"/>
      <c r="G7779" s="274"/>
    </row>
    <row r="7780" spans="1:7">
      <c r="A7780" s="425"/>
      <c r="B7780" s="410" t="str">
        <f>'[43]analisa baru'!$B$2295</f>
        <v>Pemasangan 1 kg besi profil</v>
      </c>
      <c r="C7780" s="247" t="str">
        <f>'[43]analisa baru'!$A$2295</f>
        <v xml:space="preserve"> A.4.2.1.1. </v>
      </c>
      <c r="D7780" s="247" t="s">
        <v>773</v>
      </c>
      <c r="E7780" s="372">
        <f>((1.4+1.2)*(27.3/5))+((2*4)*(6.72/6))</f>
        <v>23.155999999999999</v>
      </c>
      <c r="F7780" s="360">
        <f>F7703</f>
        <v>40287.379999999997</v>
      </c>
      <c r="G7780" s="274">
        <f>F7780*E7780</f>
        <v>932894.57127999992</v>
      </c>
    </row>
    <row r="7781" spans="1:7">
      <c r="A7781" s="425"/>
      <c r="B7781" s="410"/>
      <c r="C7781" s="247"/>
      <c r="D7781" s="247"/>
      <c r="E7781" s="387" t="str">
        <f>"JUMLAH "&amp;B7779</f>
        <v>JUMLAH PAS.BESI SIKU L.60.60.5 + L.25.25.3</v>
      </c>
      <c r="F7781" s="360"/>
      <c r="G7781" s="274">
        <f>SUM(G7780)</f>
        <v>932894.57127999992</v>
      </c>
    </row>
    <row r="7782" spans="1:7" s="265" customFormat="1">
      <c r="A7782" s="294" t="s">
        <v>711</v>
      </c>
      <c r="B7782" s="1141" t="s">
        <v>3837</v>
      </c>
      <c r="C7782" s="1142"/>
      <c r="D7782" s="1142"/>
      <c r="E7782" s="1142"/>
      <c r="F7782" s="1143"/>
      <c r="G7782" s="273">
        <f>SUM(G7766,G7770,G7773,G7778,G7781)</f>
        <v>2842118.6125599998</v>
      </c>
    </row>
    <row r="7783" spans="1:7" s="265" customFormat="1">
      <c r="A7783" s="294" t="s">
        <v>3532</v>
      </c>
      <c r="B7783" s="1141" t="s">
        <v>709</v>
      </c>
      <c r="C7783" s="1142"/>
      <c r="D7783" s="1143"/>
      <c r="E7783" s="1141" t="s">
        <v>3838</v>
      </c>
      <c r="F7783" s="1143"/>
      <c r="G7783" s="273">
        <f>G7782*0%</f>
        <v>0</v>
      </c>
    </row>
    <row r="7784" spans="1:7" s="265" customFormat="1">
      <c r="A7784" s="294" t="s">
        <v>3839</v>
      </c>
      <c r="B7784" s="1141" t="s">
        <v>3840</v>
      </c>
      <c r="C7784" s="1142"/>
      <c r="D7784" s="1142"/>
      <c r="E7784" s="1142"/>
      <c r="F7784" s="1143"/>
      <c r="G7784" s="273">
        <f>SUM(G7782:G7783)</f>
        <v>2842118.6125599998</v>
      </c>
    </row>
    <row r="7785" spans="1:7">
      <c r="A7785" s="252"/>
      <c r="B7785" s="251"/>
      <c r="C7785" s="252"/>
      <c r="D7785" s="252"/>
      <c r="E7785" s="374"/>
      <c r="F7785" s="361"/>
      <c r="G7785" s="272"/>
    </row>
    <row r="7786" spans="1:7">
      <c r="A7786" s="285" t="s">
        <v>3856</v>
      </c>
      <c r="B7786" s="263" t="s">
        <v>3857</v>
      </c>
      <c r="C7786" s="276"/>
      <c r="D7786" s="276"/>
      <c r="E7786" s="383"/>
      <c r="G7786" s="277"/>
    </row>
    <row r="7787" spans="1:7" s="292" customFormat="1" ht="24.95" customHeight="1">
      <c r="A7787" s="290" t="s">
        <v>1003</v>
      </c>
      <c r="B7787" s="290" t="s">
        <v>1004</v>
      </c>
      <c r="C7787" s="290" t="s">
        <v>1005</v>
      </c>
      <c r="D7787" s="290" t="s">
        <v>1006</v>
      </c>
      <c r="E7787" s="373" t="s">
        <v>1007</v>
      </c>
      <c r="F7787" s="363" t="s">
        <v>2637</v>
      </c>
      <c r="G7787" s="353" t="s">
        <v>2638</v>
      </c>
    </row>
    <row r="7788" spans="1:7">
      <c r="A7788" s="294" t="s">
        <v>671</v>
      </c>
      <c r="B7788" s="410" t="s">
        <v>672</v>
      </c>
      <c r="C7788" s="247"/>
      <c r="D7788" s="247"/>
      <c r="E7788" s="372"/>
      <c r="F7788" s="360"/>
      <c r="G7788" s="274"/>
    </row>
    <row r="7789" spans="1:7">
      <c r="A7789" s="294"/>
      <c r="B7789" s="410" t="s">
        <v>673</v>
      </c>
      <c r="C7789" s="247" t="s">
        <v>674</v>
      </c>
      <c r="D7789" s="247" t="s">
        <v>675</v>
      </c>
      <c r="E7789" s="372">
        <v>0.33</v>
      </c>
      <c r="F7789" s="360">
        <f>'UPAD-BAHAN-ALAT'!$I$12</f>
        <v>110000</v>
      </c>
      <c r="G7789" s="274">
        <f>F7789*E7789</f>
        <v>36300</v>
      </c>
    </row>
    <row r="7790" spans="1:7">
      <c r="A7790" s="294"/>
      <c r="B7790" s="410" t="s">
        <v>782</v>
      </c>
      <c r="C7790" s="247" t="s">
        <v>678</v>
      </c>
      <c r="D7790" s="247" t="s">
        <v>675</v>
      </c>
      <c r="E7790" s="372">
        <v>0.33</v>
      </c>
      <c r="F7790" s="360">
        <f>'UPAD-BAHAN-ALAT'!$I$13</f>
        <v>140000</v>
      </c>
      <c r="G7790" s="274">
        <f>F7790*E7790</f>
        <v>46200</v>
      </c>
    </row>
    <row r="7791" spans="1:7">
      <c r="A7791" s="294"/>
      <c r="B7791" s="410" t="s">
        <v>683</v>
      </c>
      <c r="C7791" s="247" t="s">
        <v>684</v>
      </c>
      <c r="D7791" s="247" t="s">
        <v>675</v>
      </c>
      <c r="E7791" s="372">
        <v>2.5000000000000001E-2</v>
      </c>
      <c r="F7791" s="360">
        <f>$F$7458</f>
        <v>140000</v>
      </c>
      <c r="G7791" s="274">
        <f>F7791*E7791</f>
        <v>3500</v>
      </c>
    </row>
    <row r="7792" spans="1:7">
      <c r="A7792" s="294"/>
      <c r="B7792" s="410" t="s">
        <v>751</v>
      </c>
      <c r="C7792" s="247" t="s">
        <v>3858</v>
      </c>
      <c r="D7792" s="247" t="s">
        <v>675</v>
      </c>
      <c r="E7792" s="372">
        <v>3.3000000000000002E-2</v>
      </c>
      <c r="F7792" s="360">
        <f>$F$6666</f>
        <v>150000</v>
      </c>
      <c r="G7792" s="274">
        <f>F7792*E7792</f>
        <v>4950</v>
      </c>
    </row>
    <row r="7793" spans="1:7">
      <c r="A7793" s="357"/>
      <c r="B7793" s="356"/>
      <c r="C7793" s="356"/>
      <c r="D7793" s="356"/>
      <c r="E7793" s="384" t="s">
        <v>685</v>
      </c>
      <c r="F7793" s="391"/>
      <c r="G7793" s="274">
        <f>SUM(G7789:G7792)</f>
        <v>90950</v>
      </c>
    </row>
    <row r="7794" spans="1:7">
      <c r="A7794" s="294" t="s">
        <v>686</v>
      </c>
      <c r="B7794" s="410" t="s">
        <v>687</v>
      </c>
      <c r="C7794" s="247"/>
      <c r="D7794" s="247"/>
      <c r="E7794" s="372"/>
      <c r="F7794" s="360"/>
      <c r="G7794" s="274"/>
    </row>
    <row r="7795" spans="1:7">
      <c r="A7795" s="294"/>
      <c r="B7795" s="410" t="s">
        <v>3859</v>
      </c>
      <c r="C7795" s="247"/>
      <c r="D7795" s="247" t="s">
        <v>2646</v>
      </c>
      <c r="E7795" s="372">
        <v>0.11</v>
      </c>
      <c r="F7795" s="360">
        <f>'UPAD-BAHAN-ALAT'!I94</f>
        <v>10500000</v>
      </c>
      <c r="G7795" s="274">
        <f>F7795*E7795</f>
        <v>1155000</v>
      </c>
    </row>
    <row r="7796" spans="1:7">
      <c r="A7796" s="294"/>
      <c r="B7796" s="410" t="s">
        <v>3860</v>
      </c>
      <c r="C7796" s="247"/>
      <c r="D7796" s="247" t="s">
        <v>2646</v>
      </c>
      <c r="E7796" s="372">
        <v>0.3</v>
      </c>
      <c r="F7796" s="360">
        <f>'UPAD-BAHAN-ALAT'!I95</f>
        <v>6825000</v>
      </c>
      <c r="G7796" s="274">
        <f>F7796*E7796</f>
        <v>2047500</v>
      </c>
    </row>
    <row r="7797" spans="1:7">
      <c r="A7797" s="294"/>
      <c r="B7797" s="410" t="s">
        <v>834</v>
      </c>
      <c r="C7797" s="247"/>
      <c r="D7797" s="247" t="s">
        <v>773</v>
      </c>
      <c r="E7797" s="372">
        <v>11</v>
      </c>
      <c r="F7797" s="360">
        <f>'UPAD-BAHAN-ALAT'!I112</f>
        <v>13200</v>
      </c>
      <c r="G7797" s="274">
        <f>F7797*E7797</f>
        <v>145200</v>
      </c>
    </row>
    <row r="7798" spans="1:7">
      <c r="A7798" s="294"/>
      <c r="B7798" s="410" t="s">
        <v>734</v>
      </c>
      <c r="C7798" s="247"/>
      <c r="D7798" s="247" t="s">
        <v>773</v>
      </c>
      <c r="E7798" s="372">
        <v>2</v>
      </c>
      <c r="F7798" s="360">
        <f>'UPAD-BAHAN-ALAT'!I139</f>
        <v>21000</v>
      </c>
      <c r="G7798" s="274">
        <f>F7798*E7798</f>
        <v>42000</v>
      </c>
    </row>
    <row r="7799" spans="1:7">
      <c r="A7799" s="357"/>
      <c r="B7799" s="356"/>
      <c r="C7799" s="356"/>
      <c r="D7799" s="355" t="s">
        <v>3861</v>
      </c>
      <c r="E7799" s="748"/>
      <c r="F7799" s="391"/>
      <c r="G7799" s="274">
        <f>SUM(G7795:G7798)</f>
        <v>3389700</v>
      </c>
    </row>
    <row r="7800" spans="1:7">
      <c r="A7800" s="357"/>
      <c r="B7800" s="356"/>
      <c r="C7800" s="356"/>
      <c r="D7800" s="355" t="s">
        <v>3862</v>
      </c>
      <c r="E7800" s="748"/>
      <c r="F7800" s="391"/>
      <c r="G7800" s="274">
        <f>G7799/6</f>
        <v>564950</v>
      </c>
    </row>
    <row r="7801" spans="1:7">
      <c r="A7801" s="294" t="s">
        <v>703</v>
      </c>
      <c r="B7801" s="410" t="s">
        <v>704</v>
      </c>
      <c r="C7801" s="247"/>
      <c r="D7801" s="247"/>
      <c r="E7801" s="372"/>
      <c r="F7801" s="360"/>
      <c r="G7801" s="274"/>
    </row>
    <row r="7802" spans="1:7">
      <c r="A7802" s="294"/>
      <c r="B7802" s="256" t="s">
        <v>3655</v>
      </c>
      <c r="C7802" s="247"/>
      <c r="D7802" s="257" t="s">
        <v>1011</v>
      </c>
      <c r="E7802" s="375">
        <v>1</v>
      </c>
      <c r="F7802" s="360">
        <v>10000</v>
      </c>
      <c r="G7802" s="274">
        <f>F7802*E7802</f>
        <v>10000</v>
      </c>
    </row>
    <row r="7803" spans="1:7">
      <c r="A7803" s="247"/>
      <c r="B7803" s="295"/>
      <c r="C7803" s="296"/>
      <c r="D7803" s="296"/>
      <c r="E7803" s="1146" t="s">
        <v>705</v>
      </c>
      <c r="F7803" s="1146"/>
      <c r="G7803" s="274">
        <f>SUM(G7802)</f>
        <v>10000</v>
      </c>
    </row>
    <row r="7804" spans="1:7" s="265" customFormat="1">
      <c r="A7804" s="294" t="s">
        <v>706</v>
      </c>
      <c r="B7804" s="1147" t="s">
        <v>707</v>
      </c>
      <c r="C7804" s="1147"/>
      <c r="D7804" s="1147"/>
      <c r="E7804" s="1147"/>
      <c r="F7804" s="1147"/>
      <c r="G7804" s="273">
        <f>G7793+G7800+G7803</f>
        <v>665900</v>
      </c>
    </row>
    <row r="7805" spans="1:7" s="265" customFormat="1">
      <c r="A7805" s="294" t="s">
        <v>708</v>
      </c>
      <c r="B7805" s="1147" t="s">
        <v>709</v>
      </c>
      <c r="C7805" s="1147"/>
      <c r="D7805" s="1147"/>
      <c r="E7805" s="1147" t="s">
        <v>710</v>
      </c>
      <c r="F7805" s="1147"/>
      <c r="G7805" s="255">
        <f>G7804*0.15</f>
        <v>99885</v>
      </c>
    </row>
    <row r="7806" spans="1:7" s="265" customFormat="1">
      <c r="A7806" s="294" t="s">
        <v>711</v>
      </c>
      <c r="B7806" s="1149" t="s">
        <v>712</v>
      </c>
      <c r="C7806" s="1149"/>
      <c r="D7806" s="1149"/>
      <c r="E7806" s="1149"/>
      <c r="F7806" s="1149"/>
      <c r="G7806" s="255">
        <f>ROUND(SUM(G7804:G7805),2)</f>
        <v>765785</v>
      </c>
    </row>
    <row r="7807" spans="1:7">
      <c r="A7807" s="252"/>
      <c r="B7807" s="251"/>
      <c r="C7807" s="252"/>
      <c r="D7807" s="252"/>
      <c r="E7807" s="374"/>
      <c r="F7807" s="361"/>
      <c r="G7807" s="272"/>
    </row>
    <row r="7808" spans="1:7">
      <c r="A7808" s="285" t="s">
        <v>3863</v>
      </c>
      <c r="B7808" s="263" t="s">
        <v>3864</v>
      </c>
      <c r="C7808" s="276"/>
      <c r="D7808" s="276"/>
      <c r="E7808" s="383"/>
      <c r="G7808" s="277"/>
    </row>
    <row r="7809" spans="1:7" s="292" customFormat="1" ht="24.95" customHeight="1">
      <c r="A7809" s="290" t="s">
        <v>1003</v>
      </c>
      <c r="B7809" s="290" t="s">
        <v>1004</v>
      </c>
      <c r="C7809" s="290" t="s">
        <v>1005</v>
      </c>
      <c r="D7809" s="290" t="s">
        <v>1006</v>
      </c>
      <c r="E7809" s="373" t="s">
        <v>1007</v>
      </c>
      <c r="F7809" s="363" t="s">
        <v>2637</v>
      </c>
      <c r="G7809" s="353" t="s">
        <v>2638</v>
      </c>
    </row>
    <row r="7810" spans="1:7">
      <c r="A7810" s="294" t="s">
        <v>671</v>
      </c>
      <c r="B7810" s="410" t="s">
        <v>672</v>
      </c>
      <c r="C7810" s="247"/>
      <c r="D7810" s="247"/>
      <c r="E7810" s="372"/>
      <c r="F7810" s="360"/>
      <c r="G7810" s="274"/>
    </row>
    <row r="7811" spans="1:7">
      <c r="A7811" s="294"/>
      <c r="B7811" s="410" t="s">
        <v>673</v>
      </c>
      <c r="C7811" s="247" t="s">
        <v>674</v>
      </c>
      <c r="D7811" s="247" t="s">
        <v>675</v>
      </c>
      <c r="E7811" s="372">
        <v>0.39600000000000002</v>
      </c>
      <c r="F7811" s="360">
        <f>'UPAD-BAHAN-ALAT'!$I$12</f>
        <v>110000</v>
      </c>
      <c r="G7811" s="274">
        <f>F7811*E7811</f>
        <v>43560</v>
      </c>
    </row>
    <row r="7812" spans="1:7">
      <c r="A7812" s="294"/>
      <c r="B7812" s="410" t="s">
        <v>782</v>
      </c>
      <c r="C7812" s="247" t="s">
        <v>678</v>
      </c>
      <c r="D7812" s="247" t="s">
        <v>675</v>
      </c>
      <c r="E7812" s="372">
        <v>0.39600000000000002</v>
      </c>
      <c r="F7812" s="360">
        <f>'UPAD-BAHAN-ALAT'!$I$13</f>
        <v>140000</v>
      </c>
      <c r="G7812" s="274">
        <f>F7812*E7812</f>
        <v>55440</v>
      </c>
    </row>
    <row r="7813" spans="1:7">
      <c r="A7813" s="294"/>
      <c r="B7813" s="410" t="s">
        <v>683</v>
      </c>
      <c r="C7813" s="247" t="s">
        <v>684</v>
      </c>
      <c r="D7813" s="247" t="s">
        <v>675</v>
      </c>
      <c r="E7813" s="372">
        <v>0.03</v>
      </c>
      <c r="F7813" s="360">
        <f>$F$7458</f>
        <v>140000</v>
      </c>
      <c r="G7813" s="274">
        <f>F7813*E7813</f>
        <v>4200</v>
      </c>
    </row>
    <row r="7814" spans="1:7">
      <c r="A7814" s="294"/>
      <c r="B7814" s="410" t="s">
        <v>751</v>
      </c>
      <c r="C7814" s="247" t="s">
        <v>3858</v>
      </c>
      <c r="D7814" s="247" t="s">
        <v>675</v>
      </c>
      <c r="E7814" s="372">
        <v>0.03</v>
      </c>
      <c r="F7814" s="360">
        <f>$F$6666</f>
        <v>150000</v>
      </c>
      <c r="G7814" s="274">
        <f>F7814*E7814</f>
        <v>4500</v>
      </c>
    </row>
    <row r="7815" spans="1:7">
      <c r="A7815" s="357"/>
      <c r="B7815" s="356"/>
      <c r="C7815" s="356"/>
      <c r="D7815" s="356"/>
      <c r="E7815" s="384" t="s">
        <v>685</v>
      </c>
      <c r="F7815" s="391"/>
      <c r="G7815" s="274">
        <f>SUM(G7811:G7814)</f>
        <v>107700</v>
      </c>
    </row>
    <row r="7816" spans="1:7">
      <c r="A7816" s="294" t="s">
        <v>686</v>
      </c>
      <c r="B7816" s="410" t="s">
        <v>687</v>
      </c>
      <c r="C7816" s="247"/>
      <c r="D7816" s="247"/>
      <c r="E7816" s="372"/>
      <c r="F7816" s="360"/>
      <c r="G7816" s="274"/>
    </row>
    <row r="7817" spans="1:7">
      <c r="A7817" s="294"/>
      <c r="B7817" s="410" t="s">
        <v>3859</v>
      </c>
      <c r="C7817" s="247"/>
      <c r="D7817" s="247" t="s">
        <v>2646</v>
      </c>
      <c r="E7817" s="372">
        <v>0.11</v>
      </c>
      <c r="F7817" s="360">
        <f>F7795</f>
        <v>10500000</v>
      </c>
      <c r="G7817" s="274">
        <f>F7817*E7817</f>
        <v>1155000</v>
      </c>
    </row>
    <row r="7818" spans="1:7">
      <c r="A7818" s="294"/>
      <c r="B7818" s="410" t="s">
        <v>3860</v>
      </c>
      <c r="C7818" s="247"/>
      <c r="D7818" s="247" t="s">
        <v>2646</v>
      </c>
      <c r="E7818" s="372">
        <v>0.41</v>
      </c>
      <c r="F7818" s="360">
        <f>F7796</f>
        <v>6825000</v>
      </c>
      <c r="G7818" s="274">
        <f>F7818*E7818</f>
        <v>2798250</v>
      </c>
    </row>
    <row r="7819" spans="1:7">
      <c r="A7819" s="294"/>
      <c r="B7819" s="410" t="s">
        <v>834</v>
      </c>
      <c r="C7819" s="247"/>
      <c r="D7819" s="247" t="s">
        <v>773</v>
      </c>
      <c r="E7819" s="372">
        <v>17</v>
      </c>
      <c r="F7819" s="360">
        <f>F7797</f>
        <v>13200</v>
      </c>
      <c r="G7819" s="274">
        <f>F7819*E7819</f>
        <v>224400</v>
      </c>
    </row>
    <row r="7820" spans="1:7">
      <c r="A7820" s="294"/>
      <c r="B7820" s="410" t="s">
        <v>734</v>
      </c>
      <c r="C7820" s="247"/>
      <c r="D7820" s="247" t="s">
        <v>773</v>
      </c>
      <c r="E7820" s="372">
        <v>3</v>
      </c>
      <c r="F7820" s="360">
        <f>F7798</f>
        <v>21000</v>
      </c>
      <c r="G7820" s="274">
        <f>F7820*E7820</f>
        <v>63000</v>
      </c>
    </row>
    <row r="7821" spans="1:7">
      <c r="A7821" s="357"/>
      <c r="B7821" s="356"/>
      <c r="C7821" s="356"/>
      <c r="D7821" s="355" t="s">
        <v>3861</v>
      </c>
      <c r="E7821" s="748"/>
      <c r="F7821" s="391"/>
      <c r="G7821" s="274">
        <f>SUM(G7817:G7820)</f>
        <v>4240650</v>
      </c>
    </row>
    <row r="7822" spans="1:7">
      <c r="A7822" s="357"/>
      <c r="B7822" s="356"/>
      <c r="C7822" s="356"/>
      <c r="D7822" s="355" t="s">
        <v>3862</v>
      </c>
      <c r="E7822" s="748"/>
      <c r="F7822" s="391"/>
      <c r="G7822" s="274">
        <f>G7821/6</f>
        <v>706775</v>
      </c>
    </row>
    <row r="7823" spans="1:7">
      <c r="A7823" s="294" t="s">
        <v>703</v>
      </c>
      <c r="B7823" s="410" t="s">
        <v>704</v>
      </c>
      <c r="C7823" s="247"/>
      <c r="D7823" s="247"/>
      <c r="E7823" s="372"/>
      <c r="F7823" s="360"/>
      <c r="G7823" s="274"/>
    </row>
    <row r="7824" spans="1:7">
      <c r="A7824" s="294"/>
      <c r="B7824" s="256" t="str">
        <f>'[43]UPAD-BAHAN-ALAT'!$B$548</f>
        <v>Excavator</v>
      </c>
      <c r="C7824" s="247"/>
      <c r="D7824" s="257" t="s">
        <v>948</v>
      </c>
      <c r="E7824" s="375">
        <v>0.5</v>
      </c>
      <c r="F7824" s="360">
        <f>'UPAD-BAHAN-ALAT'!I572</f>
        <v>350000</v>
      </c>
      <c r="G7824" s="274">
        <f>F7824*E7824</f>
        <v>175000</v>
      </c>
    </row>
    <row r="7825" spans="1:7">
      <c r="A7825" s="294"/>
      <c r="B7825" s="295"/>
      <c r="C7825" s="296"/>
      <c r="D7825" s="296"/>
      <c r="E7825" s="1146" t="s">
        <v>705</v>
      </c>
      <c r="F7825" s="1146"/>
      <c r="G7825" s="274">
        <f>SUM(G7824)</f>
        <v>175000</v>
      </c>
    </row>
    <row r="7826" spans="1:7" s="265" customFormat="1">
      <c r="A7826" s="294" t="s">
        <v>706</v>
      </c>
      <c r="B7826" s="1147" t="s">
        <v>707</v>
      </c>
      <c r="C7826" s="1147"/>
      <c r="D7826" s="1147"/>
      <c r="E7826" s="1147"/>
      <c r="F7826" s="1147"/>
      <c r="G7826" s="273">
        <f>G7815+G7822+G7825</f>
        <v>989475</v>
      </c>
    </row>
    <row r="7827" spans="1:7" s="265" customFormat="1">
      <c r="A7827" s="294" t="s">
        <v>708</v>
      </c>
      <c r="B7827" s="1147" t="s">
        <v>709</v>
      </c>
      <c r="C7827" s="1147"/>
      <c r="D7827" s="1147"/>
      <c r="E7827" s="1147" t="s">
        <v>710</v>
      </c>
      <c r="F7827" s="1147"/>
      <c r="G7827" s="255">
        <f>G7826*0.15</f>
        <v>148421.25</v>
      </c>
    </row>
    <row r="7828" spans="1:7" s="265" customFormat="1">
      <c r="A7828" s="294" t="s">
        <v>711</v>
      </c>
      <c r="B7828" s="1149" t="s">
        <v>712</v>
      </c>
      <c r="C7828" s="1149"/>
      <c r="D7828" s="1149"/>
      <c r="E7828" s="1149"/>
      <c r="F7828" s="1149"/>
      <c r="G7828" s="255">
        <f>ROUND(SUM(G7826:G7827),2)</f>
        <v>1137896.25</v>
      </c>
    </row>
    <row r="7829" spans="1:7">
      <c r="A7829" s="252"/>
      <c r="B7829" s="251"/>
      <c r="C7829" s="252"/>
      <c r="D7829" s="252"/>
      <c r="E7829" s="374"/>
      <c r="F7829" s="361"/>
      <c r="G7829" s="272"/>
    </row>
    <row r="7830" spans="1:7">
      <c r="A7830" s="285" t="s">
        <v>3865</v>
      </c>
      <c r="B7830" s="263" t="s">
        <v>3866</v>
      </c>
      <c r="C7830" s="276"/>
      <c r="D7830" s="276"/>
      <c r="E7830" s="383"/>
      <c r="G7830" s="277"/>
    </row>
    <row r="7831" spans="1:7" s="292" customFormat="1" ht="24.95" customHeight="1">
      <c r="A7831" s="290" t="s">
        <v>1003</v>
      </c>
      <c r="B7831" s="290" t="s">
        <v>1004</v>
      </c>
      <c r="C7831" s="290" t="s">
        <v>1005</v>
      </c>
      <c r="D7831" s="290" t="s">
        <v>1006</v>
      </c>
      <c r="E7831" s="373" t="s">
        <v>1007</v>
      </c>
      <c r="F7831" s="363" t="s">
        <v>2637</v>
      </c>
      <c r="G7831" s="353" t="s">
        <v>2638</v>
      </c>
    </row>
    <row r="7832" spans="1:7">
      <c r="A7832" s="294" t="s">
        <v>671</v>
      </c>
      <c r="B7832" s="410" t="s">
        <v>672</v>
      </c>
      <c r="C7832" s="247"/>
      <c r="D7832" s="247"/>
      <c r="E7832" s="372"/>
      <c r="F7832" s="360"/>
      <c r="G7832" s="274"/>
    </row>
    <row r="7833" spans="1:7">
      <c r="A7833" s="294"/>
      <c r="B7833" s="410" t="s">
        <v>673</v>
      </c>
      <c r="C7833" s="247" t="s">
        <v>674</v>
      </c>
      <c r="D7833" s="247" t="s">
        <v>675</v>
      </c>
      <c r="E7833" s="372">
        <v>0.42899999999999999</v>
      </c>
      <c r="F7833" s="360">
        <f>'UPAD-BAHAN-ALAT'!$I$12</f>
        <v>110000</v>
      </c>
      <c r="G7833" s="274">
        <f>F7833*E7833</f>
        <v>47190</v>
      </c>
    </row>
    <row r="7834" spans="1:7">
      <c r="A7834" s="294"/>
      <c r="B7834" s="410" t="s">
        <v>782</v>
      </c>
      <c r="C7834" s="247" t="s">
        <v>678</v>
      </c>
      <c r="D7834" s="247" t="s">
        <v>675</v>
      </c>
      <c r="E7834" s="372">
        <v>0.42899999999999999</v>
      </c>
      <c r="F7834" s="360">
        <f>'UPAD-BAHAN-ALAT'!$I$13</f>
        <v>140000</v>
      </c>
      <c r="G7834" s="274">
        <f>F7834*E7834</f>
        <v>60060</v>
      </c>
    </row>
    <row r="7835" spans="1:7">
      <c r="A7835" s="294"/>
      <c r="B7835" s="410" t="s">
        <v>683</v>
      </c>
      <c r="C7835" s="247" t="s">
        <v>684</v>
      </c>
      <c r="D7835" s="247" t="s">
        <v>675</v>
      </c>
      <c r="E7835" s="372">
        <v>3.3000000000000002E-2</v>
      </c>
      <c r="F7835" s="360">
        <f>$F$7458</f>
        <v>140000</v>
      </c>
      <c r="G7835" s="274">
        <f>F7835*E7835</f>
        <v>4620</v>
      </c>
    </row>
    <row r="7836" spans="1:7">
      <c r="A7836" s="294"/>
      <c r="B7836" s="410" t="s">
        <v>751</v>
      </c>
      <c r="C7836" s="247" t="s">
        <v>3858</v>
      </c>
      <c r="D7836" s="247" t="s">
        <v>675</v>
      </c>
      <c r="E7836" s="372">
        <v>0.03</v>
      </c>
      <c r="F7836" s="360">
        <f>$F$6666</f>
        <v>150000</v>
      </c>
      <c r="G7836" s="274">
        <f>F7836*E7836</f>
        <v>4500</v>
      </c>
    </row>
    <row r="7837" spans="1:7">
      <c r="A7837" s="357"/>
      <c r="B7837" s="356"/>
      <c r="C7837" s="356"/>
      <c r="D7837" s="356"/>
      <c r="E7837" s="384" t="s">
        <v>685</v>
      </c>
      <c r="F7837" s="391"/>
      <c r="G7837" s="274">
        <f>SUM(G7833:G7836)</f>
        <v>116370</v>
      </c>
    </row>
    <row r="7838" spans="1:7">
      <c r="A7838" s="294" t="s">
        <v>686</v>
      </c>
      <c r="B7838" s="410" t="s">
        <v>687</v>
      </c>
      <c r="C7838" s="247"/>
      <c r="D7838" s="247"/>
      <c r="E7838" s="372"/>
      <c r="F7838" s="360"/>
      <c r="G7838" s="274"/>
    </row>
    <row r="7839" spans="1:7">
      <c r="A7839" s="294"/>
      <c r="B7839" s="410" t="s">
        <v>3859</v>
      </c>
      <c r="C7839" s="247"/>
      <c r="D7839" s="247" t="s">
        <v>2646</v>
      </c>
      <c r="E7839" s="372">
        <v>0.22</v>
      </c>
      <c r="F7839" s="360">
        <f>F7817</f>
        <v>10500000</v>
      </c>
      <c r="G7839" s="274">
        <f>F7839*E7839</f>
        <v>2310000</v>
      </c>
    </row>
    <row r="7840" spans="1:7">
      <c r="A7840" s="294"/>
      <c r="B7840" s="410" t="s">
        <v>3860</v>
      </c>
      <c r="C7840" s="247"/>
      <c r="D7840" s="247" t="s">
        <v>2646</v>
      </c>
      <c r="E7840" s="372">
        <v>0.51</v>
      </c>
      <c r="F7840" s="360">
        <f>F7818</f>
        <v>6825000</v>
      </c>
      <c r="G7840" s="274">
        <f>F7840*E7840</f>
        <v>3480750</v>
      </c>
    </row>
    <row r="7841" spans="1:7">
      <c r="A7841" s="294"/>
      <c r="B7841" s="410" t="s">
        <v>834</v>
      </c>
      <c r="C7841" s="247"/>
      <c r="D7841" s="247" t="s">
        <v>773</v>
      </c>
      <c r="E7841" s="372">
        <v>23</v>
      </c>
      <c r="F7841" s="360">
        <f>F7819</f>
        <v>13200</v>
      </c>
      <c r="G7841" s="274">
        <f>F7841*E7841</f>
        <v>303600</v>
      </c>
    </row>
    <row r="7842" spans="1:7">
      <c r="A7842" s="294"/>
      <c r="B7842" s="410" t="s">
        <v>734</v>
      </c>
      <c r="C7842" s="247"/>
      <c r="D7842" s="247" t="s">
        <v>773</v>
      </c>
      <c r="E7842" s="372">
        <v>5</v>
      </c>
      <c r="F7842" s="360">
        <f>F7820</f>
        <v>21000</v>
      </c>
      <c r="G7842" s="274">
        <f>F7842*E7842</f>
        <v>105000</v>
      </c>
    </row>
    <row r="7843" spans="1:7">
      <c r="A7843" s="357"/>
      <c r="B7843" s="356"/>
      <c r="C7843" s="356"/>
      <c r="D7843" s="355" t="s">
        <v>3861</v>
      </c>
      <c r="E7843" s="748"/>
      <c r="F7843" s="391"/>
      <c r="G7843" s="274">
        <f>SUM(G7839:G7842)</f>
        <v>6199350</v>
      </c>
    </row>
    <row r="7844" spans="1:7">
      <c r="A7844" s="357"/>
      <c r="B7844" s="356"/>
      <c r="C7844" s="356"/>
      <c r="D7844" s="355" t="s">
        <v>3862</v>
      </c>
      <c r="E7844" s="748"/>
      <c r="F7844" s="391"/>
      <c r="G7844" s="274">
        <f>G7843/6</f>
        <v>1033225</v>
      </c>
    </row>
    <row r="7845" spans="1:7">
      <c r="A7845" s="294" t="s">
        <v>703</v>
      </c>
      <c r="B7845" s="410" t="s">
        <v>704</v>
      </c>
      <c r="C7845" s="247"/>
      <c r="D7845" s="247"/>
      <c r="E7845" s="372"/>
      <c r="F7845" s="360"/>
      <c r="G7845" s="274"/>
    </row>
    <row r="7846" spans="1:7">
      <c r="A7846" s="294"/>
      <c r="B7846" s="256" t="str">
        <f>'[43]UPAD-BAHAN-ALAT'!$B$548</f>
        <v>Excavator</v>
      </c>
      <c r="C7846" s="247"/>
      <c r="D7846" s="257" t="s">
        <v>948</v>
      </c>
      <c r="E7846" s="375">
        <v>1</v>
      </c>
      <c r="F7846" s="360">
        <f>F7824</f>
        <v>350000</v>
      </c>
      <c r="G7846" s="274">
        <f>F7846*E7846</f>
        <v>350000</v>
      </c>
    </row>
    <row r="7847" spans="1:7">
      <c r="A7847" s="294"/>
      <c r="B7847" s="410"/>
      <c r="C7847" s="247"/>
      <c r="D7847" s="247"/>
      <c r="E7847" s="1146" t="s">
        <v>705</v>
      </c>
      <c r="F7847" s="1146"/>
      <c r="G7847" s="274">
        <f>SUM(G7846)</f>
        <v>350000</v>
      </c>
    </row>
    <row r="7848" spans="1:7">
      <c r="A7848" s="294" t="s">
        <v>706</v>
      </c>
      <c r="B7848" s="1147" t="s">
        <v>707</v>
      </c>
      <c r="C7848" s="1147"/>
      <c r="D7848" s="1147"/>
      <c r="E7848" s="1147"/>
      <c r="F7848" s="1147"/>
      <c r="G7848" s="273">
        <f>G7837+G7844+G7847</f>
        <v>1499595</v>
      </c>
    </row>
    <row r="7849" spans="1:7">
      <c r="A7849" s="294" t="s">
        <v>708</v>
      </c>
      <c r="B7849" s="1147" t="s">
        <v>709</v>
      </c>
      <c r="C7849" s="1147"/>
      <c r="D7849" s="1147"/>
      <c r="E7849" s="1147" t="s">
        <v>710</v>
      </c>
      <c r="F7849" s="1147"/>
      <c r="G7849" s="255">
        <f>G7848*0.15</f>
        <v>224939.25</v>
      </c>
    </row>
    <row r="7850" spans="1:7">
      <c r="A7850" s="294" t="s">
        <v>711</v>
      </c>
      <c r="B7850" s="1149" t="s">
        <v>712</v>
      </c>
      <c r="C7850" s="1149"/>
      <c r="D7850" s="1149"/>
      <c r="E7850" s="1149"/>
      <c r="F7850" s="1149"/>
      <c r="G7850" s="255">
        <f>ROUND(SUM(G7848:G7849),2)</f>
        <v>1724534.25</v>
      </c>
    </row>
    <row r="7851" spans="1:7">
      <c r="A7851" s="252"/>
      <c r="B7851" s="251"/>
      <c r="C7851" s="252"/>
      <c r="D7851" s="252"/>
      <c r="E7851" s="374"/>
      <c r="F7851" s="361"/>
      <c r="G7851" s="272"/>
    </row>
    <row r="7852" spans="1:7">
      <c r="A7852" s="284" t="s">
        <v>2709</v>
      </c>
      <c r="B7852" s="250" t="s">
        <v>3867</v>
      </c>
      <c r="C7852" s="252"/>
      <c r="D7852" s="252"/>
      <c r="E7852" s="374"/>
      <c r="F7852" s="361"/>
      <c r="G7852" s="272"/>
    </row>
    <row r="7853" spans="1:7">
      <c r="A7853" s="284" t="s">
        <v>4447</v>
      </c>
      <c r="B7853" s="250" t="s">
        <v>3868</v>
      </c>
      <c r="C7853" s="252"/>
      <c r="D7853" s="252"/>
      <c r="E7853" s="374"/>
      <c r="F7853" s="361"/>
      <c r="G7853" s="272"/>
    </row>
    <row r="7854" spans="1:7" s="292" customFormat="1" ht="24.95" customHeight="1">
      <c r="A7854" s="290" t="s">
        <v>1003</v>
      </c>
      <c r="B7854" s="290" t="s">
        <v>1004</v>
      </c>
      <c r="C7854" s="290" t="s">
        <v>1005</v>
      </c>
      <c r="D7854" s="290" t="s">
        <v>1006</v>
      </c>
      <c r="E7854" s="373" t="s">
        <v>1007</v>
      </c>
      <c r="F7854" s="363" t="s">
        <v>2637</v>
      </c>
      <c r="G7854" s="353" t="s">
        <v>2638</v>
      </c>
    </row>
    <row r="7855" spans="1:7">
      <c r="A7855" s="294" t="s">
        <v>671</v>
      </c>
      <c r="B7855" s="410" t="s">
        <v>672</v>
      </c>
      <c r="C7855" s="247"/>
      <c r="D7855" s="247"/>
      <c r="E7855" s="372"/>
      <c r="F7855" s="360"/>
      <c r="G7855" s="274"/>
    </row>
    <row r="7856" spans="1:7">
      <c r="A7856" s="294"/>
      <c r="B7856" s="410" t="s">
        <v>673</v>
      </c>
      <c r="C7856" s="247" t="s">
        <v>674</v>
      </c>
      <c r="D7856" s="247" t="s">
        <v>675</v>
      </c>
      <c r="E7856" s="372">
        <f>1.466*3</f>
        <v>4.3979999999999997</v>
      </c>
      <c r="F7856" s="360">
        <f>'UPAD-BAHAN-ALAT'!$I$12</f>
        <v>110000</v>
      </c>
      <c r="G7856" s="274">
        <f>F7856*E7856</f>
        <v>483779.99999999994</v>
      </c>
    </row>
    <row r="7857" spans="1:7">
      <c r="A7857" s="294"/>
      <c r="B7857" s="410" t="s">
        <v>1480</v>
      </c>
      <c r="C7857" s="247" t="s">
        <v>678</v>
      </c>
      <c r="D7857" s="247" t="s">
        <v>675</v>
      </c>
      <c r="E7857" s="372">
        <v>0.73299999999999998</v>
      </c>
      <c r="F7857" s="360">
        <f>'UPAD-BAHAN-ALAT'!$I$13</f>
        <v>140000</v>
      </c>
      <c r="G7857" s="274">
        <f>F7857*E7857</f>
        <v>102620</v>
      </c>
    </row>
    <row r="7858" spans="1:7">
      <c r="A7858" s="294"/>
      <c r="B7858" s="410" t="s">
        <v>683</v>
      </c>
      <c r="C7858" s="247" t="s">
        <v>684</v>
      </c>
      <c r="D7858" s="247" t="s">
        <v>675</v>
      </c>
      <c r="E7858" s="372">
        <v>0.14699999999999999</v>
      </c>
      <c r="F7858" s="360">
        <f>$F$7458</f>
        <v>140000</v>
      </c>
      <c r="G7858" s="274">
        <f>F7858*E7858</f>
        <v>20580</v>
      </c>
    </row>
    <row r="7859" spans="1:7">
      <c r="A7859" s="357"/>
      <c r="B7859" s="356"/>
      <c r="C7859" s="356"/>
      <c r="D7859" s="356"/>
      <c r="E7859" s="384" t="s">
        <v>685</v>
      </c>
      <c r="F7859" s="391"/>
      <c r="G7859" s="274">
        <f>SUM(G7856:G7858)</f>
        <v>606980</v>
      </c>
    </row>
    <row r="7860" spans="1:7">
      <c r="A7860" s="294" t="s">
        <v>686</v>
      </c>
      <c r="B7860" s="410" t="s">
        <v>687</v>
      </c>
      <c r="C7860" s="247"/>
      <c r="D7860" s="247"/>
      <c r="E7860" s="372"/>
      <c r="F7860" s="360"/>
      <c r="G7860" s="274"/>
    </row>
    <row r="7861" spans="1:7">
      <c r="A7861" s="294"/>
      <c r="B7861" s="410" t="s">
        <v>3869</v>
      </c>
      <c r="C7861" s="247"/>
      <c r="D7861" s="247" t="s">
        <v>853</v>
      </c>
      <c r="E7861" s="372">
        <v>1</v>
      </c>
      <c r="F7861" s="360">
        <f>'UPAD-BAHAN-ALAT'!I589</f>
        <v>79560</v>
      </c>
      <c r="G7861" s="274">
        <f>F7861*E7861</f>
        <v>79560</v>
      </c>
    </row>
    <row r="7862" spans="1:7">
      <c r="A7862" s="294"/>
      <c r="B7862" s="410"/>
      <c r="C7862" s="247"/>
      <c r="D7862" s="247"/>
      <c r="E7862" s="1146" t="s">
        <v>702</v>
      </c>
      <c r="F7862" s="1146"/>
      <c r="G7862" s="274">
        <f>SUM(G7861)</f>
        <v>79560</v>
      </c>
    </row>
    <row r="7863" spans="1:7">
      <c r="A7863" s="294" t="s">
        <v>703</v>
      </c>
      <c r="B7863" s="410" t="s">
        <v>704</v>
      </c>
      <c r="C7863" s="247"/>
      <c r="D7863" s="247"/>
      <c r="E7863" s="372"/>
      <c r="F7863" s="360"/>
      <c r="G7863" s="274"/>
    </row>
    <row r="7864" spans="1:7">
      <c r="A7864" s="294"/>
      <c r="B7864" s="256" t="s">
        <v>4448</v>
      </c>
      <c r="C7864" s="247"/>
      <c r="D7864" s="257" t="s">
        <v>1665</v>
      </c>
      <c r="E7864" s="375">
        <v>0.60599999999999998</v>
      </c>
      <c r="F7864" s="360">
        <v>100000</v>
      </c>
      <c r="G7864" s="274">
        <f>F7864*E7864</f>
        <v>60600</v>
      </c>
    </row>
    <row r="7865" spans="1:7">
      <c r="A7865" s="294"/>
      <c r="B7865" s="256" t="s">
        <v>2645</v>
      </c>
      <c r="C7865" s="247"/>
      <c r="D7865" s="257" t="s">
        <v>1665</v>
      </c>
      <c r="E7865" s="375">
        <v>7.4999999999999997E-2</v>
      </c>
      <c r="F7865" s="360">
        <f>'UPAD-BAHAN-ALAT'!I568</f>
        <v>45000</v>
      </c>
      <c r="G7865" s="274">
        <f>F7865*E7865</f>
        <v>3375</v>
      </c>
    </row>
    <row r="7866" spans="1:7">
      <c r="A7866" s="294"/>
      <c r="B7866" s="256" t="s">
        <v>4449</v>
      </c>
      <c r="C7866" s="247"/>
      <c r="D7866" s="257" t="s">
        <v>1665</v>
      </c>
      <c r="E7866" s="375">
        <v>0.96799999999999997</v>
      </c>
      <c r="F7866" s="360">
        <f>'UPAD-BAHAN-ALAT'!I570</f>
        <v>50000</v>
      </c>
      <c r="G7866" s="274">
        <f>F7866*E7866</f>
        <v>48400</v>
      </c>
    </row>
    <row r="7867" spans="1:7">
      <c r="A7867" s="294"/>
      <c r="B7867" s="256" t="s">
        <v>4450</v>
      </c>
      <c r="C7867" s="247"/>
      <c r="D7867" s="257" t="s">
        <v>1665</v>
      </c>
      <c r="E7867" s="375">
        <v>0.86499999999999999</v>
      </c>
      <c r="F7867" s="360">
        <v>150000</v>
      </c>
      <c r="G7867" s="274">
        <f>F7867*E7867</f>
        <v>129750</v>
      </c>
    </row>
    <row r="7868" spans="1:7">
      <c r="A7868" s="294"/>
      <c r="B7868" s="410"/>
      <c r="C7868" s="247"/>
      <c r="D7868" s="247"/>
      <c r="E7868" s="1146" t="s">
        <v>705</v>
      </c>
      <c r="F7868" s="1146"/>
      <c r="G7868" s="274">
        <f>SUM(G7864:G7867)</f>
        <v>242125</v>
      </c>
    </row>
    <row r="7869" spans="1:7">
      <c r="A7869" s="294" t="s">
        <v>706</v>
      </c>
      <c r="B7869" s="1147" t="s">
        <v>707</v>
      </c>
      <c r="C7869" s="1147"/>
      <c r="D7869" s="1147"/>
      <c r="E7869" s="1147"/>
      <c r="F7869" s="1147"/>
      <c r="G7869" s="273">
        <f>G7859+G7862+G7868</f>
        <v>928665</v>
      </c>
    </row>
    <row r="7870" spans="1:7">
      <c r="A7870" s="294" t="s">
        <v>708</v>
      </c>
      <c r="B7870" s="1147" t="s">
        <v>709</v>
      </c>
      <c r="C7870" s="1147"/>
      <c r="D7870" s="1147"/>
      <c r="E7870" s="1147" t="s">
        <v>710</v>
      </c>
      <c r="F7870" s="1147"/>
      <c r="G7870" s="255">
        <f>G7869*0.15</f>
        <v>139299.75</v>
      </c>
    </row>
    <row r="7871" spans="1:7">
      <c r="A7871" s="294" t="s">
        <v>711</v>
      </c>
      <c r="B7871" s="1149" t="s">
        <v>712</v>
      </c>
      <c r="C7871" s="1149"/>
      <c r="D7871" s="1149"/>
      <c r="E7871" s="1149"/>
      <c r="F7871" s="1149"/>
      <c r="G7871" s="255">
        <f>ROUND(SUM(G7869:G7870),2)</f>
        <v>1067964.75</v>
      </c>
    </row>
    <row r="7872" spans="1:7">
      <c r="A7872" s="276"/>
      <c r="B7872" s="275"/>
      <c r="C7872" s="276"/>
      <c r="D7872" s="276"/>
      <c r="E7872" s="383"/>
      <c r="G7872" s="277"/>
    </row>
    <row r="7873" spans="1:7">
      <c r="A7873" s="285" t="s">
        <v>2708</v>
      </c>
      <c r="B7873" s="263" t="s">
        <v>3870</v>
      </c>
      <c r="C7873" s="276"/>
      <c r="D7873" s="276"/>
      <c r="E7873" s="383"/>
      <c r="G7873" s="277"/>
    </row>
    <row r="7874" spans="1:7" s="292" customFormat="1" ht="24.95" customHeight="1">
      <c r="A7874" s="290" t="s">
        <v>1003</v>
      </c>
      <c r="B7874" s="290" t="s">
        <v>1004</v>
      </c>
      <c r="C7874" s="290" t="s">
        <v>1005</v>
      </c>
      <c r="D7874" s="290" t="s">
        <v>1006</v>
      </c>
      <c r="E7874" s="373" t="s">
        <v>1007</v>
      </c>
      <c r="F7874" s="363" t="s">
        <v>2637</v>
      </c>
      <c r="G7874" s="353" t="s">
        <v>2638</v>
      </c>
    </row>
    <row r="7875" spans="1:7">
      <c r="A7875" s="294" t="s">
        <v>671</v>
      </c>
      <c r="B7875" s="410" t="s">
        <v>672</v>
      </c>
      <c r="C7875" s="247"/>
      <c r="D7875" s="247"/>
      <c r="E7875" s="372"/>
      <c r="F7875" s="360"/>
      <c r="G7875" s="274"/>
    </row>
    <row r="7876" spans="1:7">
      <c r="A7876" s="294"/>
      <c r="B7876" s="410" t="s">
        <v>673</v>
      </c>
      <c r="C7876" s="247" t="s">
        <v>674</v>
      </c>
      <c r="D7876" s="247" t="s">
        <v>675</v>
      </c>
      <c r="E7876" s="372">
        <f>1.646*3</f>
        <v>4.9379999999999997</v>
      </c>
      <c r="F7876" s="360">
        <f>'UPAD-BAHAN-ALAT'!$I$12</f>
        <v>110000</v>
      </c>
      <c r="G7876" s="274">
        <f>F7876*E7876</f>
        <v>543180</v>
      </c>
    </row>
    <row r="7877" spans="1:7">
      <c r="A7877" s="294"/>
      <c r="B7877" s="410" t="s">
        <v>1480</v>
      </c>
      <c r="C7877" s="247" t="s">
        <v>678</v>
      </c>
      <c r="D7877" s="247" t="s">
        <v>675</v>
      </c>
      <c r="E7877" s="372">
        <v>0.82299999999999995</v>
      </c>
      <c r="F7877" s="360">
        <f>'UPAD-BAHAN-ALAT'!$I$13</f>
        <v>140000</v>
      </c>
      <c r="G7877" s="274">
        <f>F7877*E7877</f>
        <v>115220</v>
      </c>
    </row>
    <row r="7878" spans="1:7">
      <c r="A7878" s="294"/>
      <c r="B7878" s="410" t="s">
        <v>683</v>
      </c>
      <c r="C7878" s="247" t="s">
        <v>684</v>
      </c>
      <c r="D7878" s="247" t="s">
        <v>675</v>
      </c>
      <c r="E7878" s="372">
        <v>0.16500000000000001</v>
      </c>
      <c r="F7878" s="360">
        <f>$F$7458</f>
        <v>140000</v>
      </c>
      <c r="G7878" s="274">
        <f>F7878*E7878</f>
        <v>23100</v>
      </c>
    </row>
    <row r="7879" spans="1:7">
      <c r="A7879" s="357"/>
      <c r="B7879" s="356"/>
      <c r="C7879" s="356"/>
      <c r="D7879" s="356"/>
      <c r="E7879" s="384" t="s">
        <v>685</v>
      </c>
      <c r="F7879" s="391"/>
      <c r="G7879" s="274">
        <f>SUM(G7876:G7878)</f>
        <v>681500</v>
      </c>
    </row>
    <row r="7880" spans="1:7">
      <c r="A7880" s="294" t="s">
        <v>686</v>
      </c>
      <c r="B7880" s="410" t="s">
        <v>687</v>
      </c>
      <c r="C7880" s="247"/>
      <c r="D7880" s="247"/>
      <c r="E7880" s="372"/>
      <c r="F7880" s="360"/>
      <c r="G7880" s="274"/>
    </row>
    <row r="7881" spans="1:7">
      <c r="A7881" s="294"/>
      <c r="B7881" s="410" t="s">
        <v>3871</v>
      </c>
      <c r="C7881" s="247"/>
      <c r="D7881" s="247" t="s">
        <v>853</v>
      </c>
      <c r="E7881" s="372">
        <v>1</v>
      </c>
      <c r="F7881" s="360">
        <f>'UPAD-BAHAN-ALAT'!I588</f>
        <v>117120</v>
      </c>
      <c r="G7881" s="274">
        <f>F7881*E7881</f>
        <v>117120</v>
      </c>
    </row>
    <row r="7882" spans="1:7">
      <c r="A7882" s="294"/>
      <c r="B7882" s="410"/>
      <c r="C7882" s="247"/>
      <c r="D7882" s="247"/>
      <c r="E7882" s="1146" t="s">
        <v>702</v>
      </c>
      <c r="F7882" s="1146"/>
      <c r="G7882" s="274">
        <f>SUM(G7881)</f>
        <v>117120</v>
      </c>
    </row>
    <row r="7883" spans="1:7">
      <c r="A7883" s="294" t="s">
        <v>703</v>
      </c>
      <c r="B7883" s="410" t="s">
        <v>704</v>
      </c>
      <c r="C7883" s="247"/>
      <c r="D7883" s="247"/>
      <c r="E7883" s="372"/>
      <c r="F7883" s="360"/>
      <c r="G7883" s="274"/>
    </row>
    <row r="7884" spans="1:7">
      <c r="A7884" s="294"/>
      <c r="B7884" s="256" t="s">
        <v>4448</v>
      </c>
      <c r="C7884" s="247"/>
      <c r="D7884" s="257" t="s">
        <v>1665</v>
      </c>
      <c r="E7884" s="375">
        <v>0.65</v>
      </c>
      <c r="F7884" s="360">
        <f>F7864</f>
        <v>100000</v>
      </c>
      <c r="G7884" s="274">
        <f>F7884*E7884</f>
        <v>65000</v>
      </c>
    </row>
    <row r="7885" spans="1:7">
      <c r="A7885" s="294"/>
      <c r="B7885" s="256" t="s">
        <v>2645</v>
      </c>
      <c r="C7885" s="247"/>
      <c r="D7885" s="257" t="s">
        <v>1665</v>
      </c>
      <c r="E7885" s="375">
        <v>0.159</v>
      </c>
      <c r="F7885" s="360">
        <f>F7865</f>
        <v>45000</v>
      </c>
      <c r="G7885" s="274">
        <f>F7885*E7885</f>
        <v>7155</v>
      </c>
    </row>
    <row r="7886" spans="1:7">
      <c r="A7886" s="294"/>
      <c r="B7886" s="256" t="s">
        <v>4449</v>
      </c>
      <c r="C7886" s="247"/>
      <c r="D7886" s="257" t="s">
        <v>1665</v>
      </c>
      <c r="E7886" s="375">
        <v>1.0780000000000001</v>
      </c>
      <c r="F7886" s="360">
        <f>F7866</f>
        <v>50000</v>
      </c>
      <c r="G7886" s="274">
        <f>F7886*E7886</f>
        <v>53900</v>
      </c>
    </row>
    <row r="7887" spans="1:7">
      <c r="A7887" s="294"/>
      <c r="B7887" s="256" t="s">
        <v>4450</v>
      </c>
      <c r="C7887" s="247"/>
      <c r="D7887" s="257" t="s">
        <v>1665</v>
      </c>
      <c r="E7887" s="375">
        <v>0.91100000000000003</v>
      </c>
      <c r="F7887" s="360">
        <f>F7867</f>
        <v>150000</v>
      </c>
      <c r="G7887" s="274">
        <f>F7887*E7887</f>
        <v>136650</v>
      </c>
    </row>
    <row r="7888" spans="1:7">
      <c r="A7888" s="294"/>
      <c r="B7888" s="410"/>
      <c r="C7888" s="247"/>
      <c r="D7888" s="247"/>
      <c r="E7888" s="1173" t="s">
        <v>705</v>
      </c>
      <c r="F7888" s="1173"/>
      <c r="G7888" s="274">
        <f>SUM(G7884:G7887)</f>
        <v>262705</v>
      </c>
    </row>
    <row r="7889" spans="1:7">
      <c r="A7889" s="294" t="s">
        <v>706</v>
      </c>
      <c r="B7889" s="1147" t="s">
        <v>707</v>
      </c>
      <c r="C7889" s="1147"/>
      <c r="D7889" s="1147"/>
      <c r="E7889" s="1147"/>
      <c r="F7889" s="1147"/>
      <c r="G7889" s="273">
        <f>G7879+G7882+G7888</f>
        <v>1061325</v>
      </c>
    </row>
    <row r="7890" spans="1:7">
      <c r="A7890" s="294" t="s">
        <v>708</v>
      </c>
      <c r="B7890" s="1147" t="s">
        <v>709</v>
      </c>
      <c r="C7890" s="1147"/>
      <c r="D7890" s="1147"/>
      <c r="E7890" s="1147" t="s">
        <v>710</v>
      </c>
      <c r="F7890" s="1147"/>
      <c r="G7890" s="255">
        <f>G7889*0.15</f>
        <v>159198.75</v>
      </c>
    </row>
    <row r="7891" spans="1:7">
      <c r="A7891" s="294" t="s">
        <v>711</v>
      </c>
      <c r="B7891" s="1149" t="s">
        <v>712</v>
      </c>
      <c r="C7891" s="1149"/>
      <c r="D7891" s="1149"/>
      <c r="E7891" s="1149"/>
      <c r="F7891" s="1149"/>
      <c r="G7891" s="255">
        <f>ROUND(SUM(G7889:G7890),2)</f>
        <v>1220523.75</v>
      </c>
    </row>
    <row r="7892" spans="1:7">
      <c r="A7892" s="268"/>
      <c r="B7892" s="269"/>
      <c r="C7892" s="268"/>
      <c r="D7892" s="268"/>
      <c r="E7892" s="380"/>
      <c r="F7892" s="365"/>
      <c r="G7892" s="278"/>
    </row>
    <row r="7893" spans="1:7">
      <c r="A7893" s="285" t="s">
        <v>2707</v>
      </c>
      <c r="B7893" s="250" t="s">
        <v>3872</v>
      </c>
      <c r="C7893" s="252"/>
      <c r="D7893" s="252"/>
      <c r="E7893" s="374"/>
      <c r="F7893" s="361"/>
      <c r="G7893" s="272"/>
    </row>
    <row r="7894" spans="1:7" s="292" customFormat="1" ht="24.95" customHeight="1">
      <c r="A7894" s="290" t="s">
        <v>1003</v>
      </c>
      <c r="B7894" s="290" t="s">
        <v>1004</v>
      </c>
      <c r="C7894" s="290" t="s">
        <v>1005</v>
      </c>
      <c r="D7894" s="290" t="s">
        <v>1006</v>
      </c>
      <c r="E7894" s="373" t="s">
        <v>1007</v>
      </c>
      <c r="F7894" s="363" t="s">
        <v>2637</v>
      </c>
      <c r="G7894" s="353" t="s">
        <v>2638</v>
      </c>
    </row>
    <row r="7895" spans="1:7">
      <c r="A7895" s="294" t="s">
        <v>671</v>
      </c>
      <c r="B7895" s="410" t="s">
        <v>672</v>
      </c>
      <c r="C7895" s="247"/>
      <c r="D7895" s="247"/>
      <c r="E7895" s="372"/>
      <c r="F7895" s="360"/>
      <c r="G7895" s="274"/>
    </row>
    <row r="7896" spans="1:7">
      <c r="A7896" s="294"/>
      <c r="B7896" s="410" t="s">
        <v>673</v>
      </c>
      <c r="C7896" s="247" t="s">
        <v>674</v>
      </c>
      <c r="D7896" s="247" t="s">
        <v>675</v>
      </c>
      <c r="E7896" s="372">
        <f>2.096*3</f>
        <v>6.2880000000000003</v>
      </c>
      <c r="F7896" s="360">
        <f>'UPAD-BAHAN-ALAT'!$I$12</f>
        <v>110000</v>
      </c>
      <c r="G7896" s="274">
        <f>F7896*E7896</f>
        <v>691680</v>
      </c>
    </row>
    <row r="7897" spans="1:7">
      <c r="A7897" s="294"/>
      <c r="B7897" s="410" t="s">
        <v>1480</v>
      </c>
      <c r="C7897" s="247" t="s">
        <v>678</v>
      </c>
      <c r="D7897" s="247" t="s">
        <v>675</v>
      </c>
      <c r="E7897" s="372">
        <v>1.048</v>
      </c>
      <c r="F7897" s="360">
        <f>'UPAD-BAHAN-ALAT'!$I$13</f>
        <v>140000</v>
      </c>
      <c r="G7897" s="274">
        <f>F7897*E7897</f>
        <v>146720</v>
      </c>
    </row>
    <row r="7898" spans="1:7">
      <c r="A7898" s="294"/>
      <c r="B7898" s="410" t="s">
        <v>683</v>
      </c>
      <c r="C7898" s="247" t="s">
        <v>684</v>
      </c>
      <c r="D7898" s="247" t="s">
        <v>675</v>
      </c>
      <c r="E7898" s="372">
        <v>0.21</v>
      </c>
      <c r="F7898" s="360">
        <f>$F$7458</f>
        <v>140000</v>
      </c>
      <c r="G7898" s="274">
        <f>F7898*E7898</f>
        <v>29400</v>
      </c>
    </row>
    <row r="7899" spans="1:7">
      <c r="A7899" s="357"/>
      <c r="B7899" s="356"/>
      <c r="C7899" s="356"/>
      <c r="D7899" s="356"/>
      <c r="E7899" s="384" t="s">
        <v>685</v>
      </c>
      <c r="F7899" s="391"/>
      <c r="G7899" s="274">
        <f>SUM(G7896:G7898)</f>
        <v>867800</v>
      </c>
    </row>
    <row r="7900" spans="1:7">
      <c r="A7900" s="294" t="s">
        <v>686</v>
      </c>
      <c r="B7900" s="410" t="s">
        <v>687</v>
      </c>
      <c r="C7900" s="247"/>
      <c r="D7900" s="247"/>
      <c r="E7900" s="372"/>
      <c r="F7900" s="360"/>
      <c r="G7900" s="274"/>
    </row>
    <row r="7901" spans="1:7">
      <c r="A7901" s="294"/>
      <c r="B7901" s="410" t="s">
        <v>3873</v>
      </c>
      <c r="C7901" s="247"/>
      <c r="D7901" s="247" t="s">
        <v>853</v>
      </c>
      <c r="E7901" s="372">
        <v>1</v>
      </c>
      <c r="F7901" s="360">
        <f>'UPAD-BAHAN-ALAT'!$I$587</f>
        <v>252240</v>
      </c>
      <c r="G7901" s="274">
        <f>F7901*E7901</f>
        <v>252240</v>
      </c>
    </row>
    <row r="7902" spans="1:7">
      <c r="A7902" s="294"/>
      <c r="B7902" s="410"/>
      <c r="C7902" s="247"/>
      <c r="D7902" s="247"/>
      <c r="E7902" s="1146" t="s">
        <v>702</v>
      </c>
      <c r="F7902" s="1146"/>
      <c r="G7902" s="274">
        <f>SUM(G7901)</f>
        <v>252240</v>
      </c>
    </row>
    <row r="7903" spans="1:7">
      <c r="A7903" s="294" t="s">
        <v>703</v>
      </c>
      <c r="B7903" s="410" t="s">
        <v>704</v>
      </c>
      <c r="C7903" s="247"/>
      <c r="D7903" s="247"/>
      <c r="E7903" s="372"/>
      <c r="F7903" s="360"/>
      <c r="G7903" s="274"/>
    </row>
    <row r="7904" spans="1:7">
      <c r="A7904" s="294"/>
      <c r="B7904" s="256" t="s">
        <v>4448</v>
      </c>
      <c r="C7904" s="247"/>
      <c r="D7904" s="257" t="s">
        <v>1665</v>
      </c>
      <c r="E7904" s="375">
        <v>0.76</v>
      </c>
      <c r="F7904" s="360">
        <f>F7884</f>
        <v>100000</v>
      </c>
      <c r="G7904" s="274">
        <f>F7904*E7904</f>
        <v>76000</v>
      </c>
    </row>
    <row r="7905" spans="1:7">
      <c r="A7905" s="294"/>
      <c r="B7905" s="256" t="s">
        <v>2645</v>
      </c>
      <c r="C7905" s="247"/>
      <c r="D7905" s="257" t="s">
        <v>1665</v>
      </c>
      <c r="E7905" s="375">
        <v>0.36899999999999999</v>
      </c>
      <c r="F7905" s="360">
        <f>F7885</f>
        <v>45000</v>
      </c>
      <c r="G7905" s="274">
        <f>F7905*E7905</f>
        <v>16605</v>
      </c>
    </row>
    <row r="7906" spans="1:7">
      <c r="A7906" s="247"/>
      <c r="B7906" s="256" t="s">
        <v>4449</v>
      </c>
      <c r="C7906" s="247"/>
      <c r="D7906" s="257" t="s">
        <v>1665</v>
      </c>
      <c r="E7906" s="375">
        <v>1.353</v>
      </c>
      <c r="F7906" s="360">
        <f>F7886</f>
        <v>50000</v>
      </c>
      <c r="G7906" s="274">
        <f>F7906*E7906</f>
        <v>67650</v>
      </c>
    </row>
    <row r="7907" spans="1:7">
      <c r="A7907" s="247"/>
      <c r="B7907" s="256" t="s">
        <v>4450</v>
      </c>
      <c r="C7907" s="247"/>
      <c r="D7907" s="257" t="s">
        <v>1665</v>
      </c>
      <c r="E7907" s="375">
        <v>1.026</v>
      </c>
      <c r="F7907" s="360">
        <f>F7887</f>
        <v>150000</v>
      </c>
      <c r="G7907" s="274">
        <f>F7907*E7907</f>
        <v>153900</v>
      </c>
    </row>
    <row r="7908" spans="1:7">
      <c r="A7908" s="247"/>
      <c r="B7908" s="410"/>
      <c r="C7908" s="247"/>
      <c r="D7908" s="247"/>
      <c r="E7908" s="1173" t="s">
        <v>705</v>
      </c>
      <c r="F7908" s="1173"/>
      <c r="G7908" s="274">
        <f>SUM(G7904:G7907)</f>
        <v>314155</v>
      </c>
    </row>
    <row r="7909" spans="1:7">
      <c r="A7909" s="294" t="s">
        <v>706</v>
      </c>
      <c r="B7909" s="1147" t="s">
        <v>707</v>
      </c>
      <c r="C7909" s="1147"/>
      <c r="D7909" s="1147"/>
      <c r="E7909" s="1147"/>
      <c r="F7909" s="1147"/>
      <c r="G7909" s="273">
        <f>G7899+G7902+G7908</f>
        <v>1434195</v>
      </c>
    </row>
    <row r="7910" spans="1:7">
      <c r="A7910" s="294" t="s">
        <v>708</v>
      </c>
      <c r="B7910" s="1147" t="s">
        <v>709</v>
      </c>
      <c r="C7910" s="1147"/>
      <c r="D7910" s="1147"/>
      <c r="E7910" s="1147" t="s">
        <v>710</v>
      </c>
      <c r="F7910" s="1147"/>
      <c r="G7910" s="255">
        <f>G7909*0.15</f>
        <v>215129.25</v>
      </c>
    </row>
    <row r="7911" spans="1:7">
      <c r="A7911" s="294" t="s">
        <v>711</v>
      </c>
      <c r="B7911" s="1149" t="s">
        <v>712</v>
      </c>
      <c r="C7911" s="1149"/>
      <c r="D7911" s="1149"/>
      <c r="E7911" s="1149"/>
      <c r="F7911" s="1149"/>
      <c r="G7911" s="255">
        <f>ROUND(SUM(G7909:G7910),2)</f>
        <v>1649324.25</v>
      </c>
    </row>
    <row r="7912" spans="1:7">
      <c r="A7912" s="276"/>
      <c r="B7912" s="275"/>
      <c r="C7912" s="276"/>
      <c r="D7912" s="276"/>
      <c r="E7912" s="383"/>
      <c r="G7912" s="277"/>
    </row>
    <row r="7913" spans="1:7">
      <c r="A7913" s="285" t="s">
        <v>4451</v>
      </c>
      <c r="B7913" s="263" t="s">
        <v>3874</v>
      </c>
      <c r="C7913" s="276"/>
      <c r="D7913" s="276"/>
      <c r="E7913" s="383"/>
      <c r="G7913" s="277"/>
    </row>
    <row r="7914" spans="1:7" s="292" customFormat="1" ht="24.95" customHeight="1">
      <c r="A7914" s="290" t="s">
        <v>1003</v>
      </c>
      <c r="B7914" s="290" t="s">
        <v>1004</v>
      </c>
      <c r="C7914" s="290" t="s">
        <v>1005</v>
      </c>
      <c r="D7914" s="290" t="s">
        <v>1006</v>
      </c>
      <c r="E7914" s="373" t="s">
        <v>1007</v>
      </c>
      <c r="F7914" s="363" t="s">
        <v>2637</v>
      </c>
      <c r="G7914" s="353" t="s">
        <v>2638</v>
      </c>
    </row>
    <row r="7915" spans="1:7">
      <c r="A7915" s="294" t="s">
        <v>671</v>
      </c>
      <c r="B7915" s="410" t="s">
        <v>672</v>
      </c>
      <c r="C7915" s="247"/>
      <c r="D7915" s="247"/>
      <c r="E7915" s="372"/>
      <c r="F7915" s="360"/>
      <c r="G7915" s="274"/>
    </row>
    <row r="7916" spans="1:7">
      <c r="A7916" s="294"/>
      <c r="B7916" s="410" t="s">
        <v>673</v>
      </c>
      <c r="C7916" s="247" t="s">
        <v>674</v>
      </c>
      <c r="D7916" s="247" t="s">
        <v>675</v>
      </c>
      <c r="E7916" s="372">
        <f>2.546*3</f>
        <v>7.6379999999999999</v>
      </c>
      <c r="F7916" s="360">
        <f>'UPAD-BAHAN-ALAT'!$I$12</f>
        <v>110000</v>
      </c>
      <c r="G7916" s="274">
        <f>F7916*E7916</f>
        <v>840180</v>
      </c>
    </row>
    <row r="7917" spans="1:7">
      <c r="A7917" s="294"/>
      <c r="B7917" s="410" t="s">
        <v>1480</v>
      </c>
      <c r="C7917" s="247" t="s">
        <v>678</v>
      </c>
      <c r="D7917" s="247" t="s">
        <v>675</v>
      </c>
      <c r="E7917" s="372">
        <v>1.2729999999999999</v>
      </c>
      <c r="F7917" s="360">
        <f>'UPAD-BAHAN-ALAT'!$I$13</f>
        <v>140000</v>
      </c>
      <c r="G7917" s="274">
        <f>F7917*E7917</f>
        <v>178220</v>
      </c>
    </row>
    <row r="7918" spans="1:7">
      <c r="A7918" s="294"/>
      <c r="B7918" s="410" t="s">
        <v>683</v>
      </c>
      <c r="C7918" s="247" t="s">
        <v>684</v>
      </c>
      <c r="D7918" s="247" t="s">
        <v>675</v>
      </c>
      <c r="E7918" s="372">
        <v>0.255</v>
      </c>
      <c r="F7918" s="360">
        <f>$F$7458</f>
        <v>140000</v>
      </c>
      <c r="G7918" s="274">
        <f>F7918*E7918</f>
        <v>35700</v>
      </c>
    </row>
    <row r="7919" spans="1:7">
      <c r="A7919" s="357"/>
      <c r="B7919" s="356"/>
      <c r="C7919" s="356"/>
      <c r="D7919" s="356"/>
      <c r="E7919" s="384" t="s">
        <v>685</v>
      </c>
      <c r="F7919" s="391"/>
      <c r="G7919" s="274">
        <f>SUM(G7916:G7918)</f>
        <v>1054100</v>
      </c>
    </row>
    <row r="7920" spans="1:7">
      <c r="A7920" s="294" t="s">
        <v>686</v>
      </c>
      <c r="B7920" s="410" t="s">
        <v>687</v>
      </c>
      <c r="C7920" s="247"/>
      <c r="D7920" s="247"/>
      <c r="E7920" s="372"/>
      <c r="F7920" s="360"/>
      <c r="G7920" s="274"/>
    </row>
    <row r="7921" spans="1:7">
      <c r="A7921" s="294"/>
      <c r="B7921" s="410" t="s">
        <v>2026</v>
      </c>
      <c r="C7921" s="247"/>
      <c r="D7921" s="247" t="s">
        <v>853</v>
      </c>
      <c r="E7921" s="372">
        <v>1</v>
      </c>
      <c r="F7921" s="360">
        <f>'UPAD-BAHAN-ALAT'!I586</f>
        <v>392880</v>
      </c>
      <c r="G7921" s="274">
        <f>F7921*E7921</f>
        <v>392880</v>
      </c>
    </row>
    <row r="7922" spans="1:7">
      <c r="A7922" s="294"/>
      <c r="B7922" s="410"/>
      <c r="C7922" s="247"/>
      <c r="D7922" s="247"/>
      <c r="E7922" s="1146" t="s">
        <v>702</v>
      </c>
      <c r="F7922" s="1146"/>
      <c r="G7922" s="274">
        <f>SUM(G7921)</f>
        <v>392880</v>
      </c>
    </row>
    <row r="7923" spans="1:7">
      <c r="A7923" s="294" t="s">
        <v>703</v>
      </c>
      <c r="B7923" s="410" t="s">
        <v>704</v>
      </c>
      <c r="C7923" s="247"/>
      <c r="D7923" s="247"/>
      <c r="E7923" s="372"/>
      <c r="F7923" s="360"/>
      <c r="G7923" s="274"/>
    </row>
    <row r="7924" spans="1:7">
      <c r="A7924" s="294"/>
      <c r="B7924" s="256" t="s">
        <v>4448</v>
      </c>
      <c r="C7924" s="247"/>
      <c r="D7924" s="257" t="s">
        <v>1665</v>
      </c>
      <c r="E7924" s="375">
        <v>0.87</v>
      </c>
      <c r="F7924" s="360">
        <f>F7904</f>
        <v>100000</v>
      </c>
      <c r="G7924" s="274">
        <f>F7924*E7924</f>
        <v>87000</v>
      </c>
    </row>
    <row r="7925" spans="1:7">
      <c r="A7925" s="247"/>
      <c r="B7925" s="256" t="s">
        <v>2645</v>
      </c>
      <c r="C7925" s="247"/>
      <c r="D7925" s="257" t="s">
        <v>1665</v>
      </c>
      <c r="E7925" s="375">
        <v>0.57899999999999996</v>
      </c>
      <c r="F7925" s="360">
        <f>F7905</f>
        <v>45000</v>
      </c>
      <c r="G7925" s="274">
        <f>F7925*E7925</f>
        <v>26054.999999999996</v>
      </c>
    </row>
    <row r="7926" spans="1:7">
      <c r="A7926" s="247"/>
      <c r="B7926" s="256" t="s">
        <v>4449</v>
      </c>
      <c r="C7926" s="247"/>
      <c r="D7926" s="257" t="s">
        <v>1665</v>
      </c>
      <c r="E7926" s="375">
        <v>1.6279999999999999</v>
      </c>
      <c r="F7926" s="360">
        <f>F7906</f>
        <v>50000</v>
      </c>
      <c r="G7926" s="274">
        <f>F7926*E7926</f>
        <v>81400</v>
      </c>
    </row>
    <row r="7927" spans="1:7">
      <c r="A7927" s="247"/>
      <c r="B7927" s="256" t="s">
        <v>4450</v>
      </c>
      <c r="C7927" s="247"/>
      <c r="D7927" s="257" t="s">
        <v>1665</v>
      </c>
      <c r="E7927" s="375">
        <v>1.141</v>
      </c>
      <c r="F7927" s="360">
        <f>F7907</f>
        <v>150000</v>
      </c>
      <c r="G7927" s="274">
        <f>F7927*E7927</f>
        <v>171150</v>
      </c>
    </row>
    <row r="7928" spans="1:7">
      <c r="A7928" s="247"/>
      <c r="B7928" s="410"/>
      <c r="C7928" s="247"/>
      <c r="D7928" s="247"/>
      <c r="E7928" s="1173" t="s">
        <v>705</v>
      </c>
      <c r="F7928" s="1173"/>
      <c r="G7928" s="274">
        <f>SUM(G7924:G7927)</f>
        <v>365605</v>
      </c>
    </row>
    <row r="7929" spans="1:7">
      <c r="A7929" s="294" t="s">
        <v>706</v>
      </c>
      <c r="B7929" s="1147" t="s">
        <v>707</v>
      </c>
      <c r="C7929" s="1147"/>
      <c r="D7929" s="1147"/>
      <c r="E7929" s="1147"/>
      <c r="F7929" s="1147"/>
      <c r="G7929" s="273">
        <f>G7919+G7922+G7928</f>
        <v>1812585</v>
      </c>
    </row>
    <row r="7930" spans="1:7">
      <c r="A7930" s="294" t="s">
        <v>708</v>
      </c>
      <c r="B7930" s="1147" t="s">
        <v>709</v>
      </c>
      <c r="C7930" s="1147"/>
      <c r="D7930" s="1147"/>
      <c r="E7930" s="1147" t="s">
        <v>710</v>
      </c>
      <c r="F7930" s="1147"/>
      <c r="G7930" s="255">
        <f>G7929*0.15</f>
        <v>271887.75</v>
      </c>
    </row>
    <row r="7931" spans="1:7">
      <c r="A7931" s="294" t="s">
        <v>711</v>
      </c>
      <c r="B7931" s="1149" t="s">
        <v>712</v>
      </c>
      <c r="C7931" s="1149"/>
      <c r="D7931" s="1149"/>
      <c r="E7931" s="1149"/>
      <c r="F7931" s="1149"/>
      <c r="G7931" s="255">
        <f>ROUND(SUM(G7929:G7930),2)</f>
        <v>2084472.75</v>
      </c>
    </row>
    <row r="7932" spans="1:7">
      <c r="A7932" s="268"/>
      <c r="B7932" s="269"/>
      <c r="C7932" s="268"/>
      <c r="D7932" s="268"/>
      <c r="E7932" s="380"/>
      <c r="F7932" s="365"/>
      <c r="G7932" s="278"/>
    </row>
    <row r="7933" spans="1:7">
      <c r="A7933" s="285" t="s">
        <v>4452</v>
      </c>
      <c r="B7933" s="250" t="s">
        <v>3875</v>
      </c>
      <c r="C7933" s="252"/>
      <c r="D7933" s="252"/>
      <c r="E7933" s="374"/>
      <c r="F7933" s="361"/>
      <c r="G7933" s="272"/>
    </row>
    <row r="7934" spans="1:7" s="292" customFormat="1" ht="24.95" customHeight="1">
      <c r="A7934" s="290" t="s">
        <v>1003</v>
      </c>
      <c r="B7934" s="290" t="s">
        <v>1004</v>
      </c>
      <c r="C7934" s="290" t="s">
        <v>1005</v>
      </c>
      <c r="D7934" s="290" t="s">
        <v>1006</v>
      </c>
      <c r="E7934" s="373" t="s">
        <v>1007</v>
      </c>
      <c r="F7934" s="363" t="s">
        <v>2637</v>
      </c>
      <c r="G7934" s="353" t="s">
        <v>2638</v>
      </c>
    </row>
    <row r="7935" spans="1:7">
      <c r="A7935" s="294" t="s">
        <v>671</v>
      </c>
      <c r="B7935" s="410" t="s">
        <v>672</v>
      </c>
      <c r="C7935" s="247"/>
      <c r="D7935" s="247"/>
      <c r="E7935" s="372"/>
      <c r="F7935" s="360"/>
      <c r="G7935" s="274"/>
    </row>
    <row r="7936" spans="1:7">
      <c r="A7936" s="294"/>
      <c r="B7936" s="410" t="s">
        <v>673</v>
      </c>
      <c r="C7936" s="247" t="s">
        <v>674</v>
      </c>
      <c r="D7936" s="247" t="s">
        <v>675</v>
      </c>
      <c r="E7936" s="372">
        <f>2.996*3</f>
        <v>8.9879999999999995</v>
      </c>
      <c r="F7936" s="360">
        <f>'UPAD-BAHAN-ALAT'!$I$12</f>
        <v>110000</v>
      </c>
      <c r="G7936" s="274">
        <f>F7936*E7936</f>
        <v>988680</v>
      </c>
    </row>
    <row r="7937" spans="1:7">
      <c r="A7937" s="294"/>
      <c r="B7937" s="410" t="s">
        <v>1480</v>
      </c>
      <c r="C7937" s="247" t="s">
        <v>678</v>
      </c>
      <c r="D7937" s="247" t="s">
        <v>675</v>
      </c>
      <c r="E7937" s="372">
        <v>1.498</v>
      </c>
      <c r="F7937" s="360">
        <f>'UPAD-BAHAN-ALAT'!$I$13</f>
        <v>140000</v>
      </c>
      <c r="G7937" s="274">
        <f>F7937*E7937</f>
        <v>209720</v>
      </c>
    </row>
    <row r="7938" spans="1:7">
      <c r="A7938" s="294"/>
      <c r="B7938" s="410" t="s">
        <v>683</v>
      </c>
      <c r="C7938" s="247" t="s">
        <v>684</v>
      </c>
      <c r="D7938" s="247" t="s">
        <v>675</v>
      </c>
      <c r="E7938" s="372">
        <v>0.3</v>
      </c>
      <c r="F7938" s="360">
        <f>$F$7458</f>
        <v>140000</v>
      </c>
      <c r="G7938" s="274">
        <f>F7938*E7938</f>
        <v>42000</v>
      </c>
    </row>
    <row r="7939" spans="1:7">
      <c r="A7939" s="357"/>
      <c r="B7939" s="356"/>
      <c r="C7939" s="356"/>
      <c r="D7939" s="356"/>
      <c r="E7939" s="384" t="s">
        <v>685</v>
      </c>
      <c r="F7939" s="391"/>
      <c r="G7939" s="274">
        <f>SUM(G7936:G7938)</f>
        <v>1240400</v>
      </c>
    </row>
    <row r="7940" spans="1:7">
      <c r="A7940" s="294" t="s">
        <v>686</v>
      </c>
      <c r="B7940" s="410" t="s">
        <v>687</v>
      </c>
      <c r="C7940" s="247"/>
      <c r="D7940" s="247"/>
      <c r="E7940" s="372"/>
      <c r="F7940" s="360"/>
      <c r="G7940" s="274"/>
    </row>
    <row r="7941" spans="1:7">
      <c r="A7941" s="294"/>
      <c r="B7941" s="410" t="s">
        <v>2033</v>
      </c>
      <c r="C7941" s="247"/>
      <c r="D7941" s="247" t="s">
        <v>853</v>
      </c>
      <c r="E7941" s="372">
        <v>1</v>
      </c>
      <c r="F7941" s="360">
        <f>'UPAD-BAHAN-ALAT'!I585</f>
        <v>625080</v>
      </c>
      <c r="G7941" s="274">
        <f>F7941*E7941</f>
        <v>625080</v>
      </c>
    </row>
    <row r="7942" spans="1:7">
      <c r="A7942" s="294"/>
      <c r="B7942" s="410"/>
      <c r="C7942" s="247"/>
      <c r="D7942" s="247"/>
      <c r="E7942" s="1146" t="s">
        <v>702</v>
      </c>
      <c r="F7942" s="1146"/>
      <c r="G7942" s="274">
        <f>SUM(G7941)</f>
        <v>625080</v>
      </c>
    </row>
    <row r="7943" spans="1:7">
      <c r="A7943" s="294" t="s">
        <v>703</v>
      </c>
      <c r="B7943" s="410" t="s">
        <v>704</v>
      </c>
      <c r="C7943" s="247"/>
      <c r="D7943" s="247"/>
      <c r="E7943" s="372"/>
      <c r="F7943" s="360"/>
      <c r="G7943" s="274"/>
    </row>
    <row r="7944" spans="1:7">
      <c r="A7944" s="247"/>
      <c r="B7944" s="256" t="s">
        <v>4448</v>
      </c>
      <c r="C7944" s="247"/>
      <c r="D7944" s="257" t="s">
        <v>1665</v>
      </c>
      <c r="E7944" s="375">
        <v>0.98</v>
      </c>
      <c r="F7944" s="360">
        <f>F7924</f>
        <v>100000</v>
      </c>
      <c r="G7944" s="274">
        <f>F7944*E7944</f>
        <v>98000</v>
      </c>
    </row>
    <row r="7945" spans="1:7">
      <c r="A7945" s="247"/>
      <c r="B7945" s="410" t="s">
        <v>2645</v>
      </c>
      <c r="C7945" s="247"/>
      <c r="D7945" s="257" t="s">
        <v>1665</v>
      </c>
      <c r="E7945" s="375">
        <v>0.78900000000000003</v>
      </c>
      <c r="F7945" s="360">
        <f>F7925</f>
        <v>45000</v>
      </c>
      <c r="G7945" s="274">
        <f>F7945*E7945</f>
        <v>35505</v>
      </c>
    </row>
    <row r="7946" spans="1:7">
      <c r="A7946" s="247"/>
      <c r="B7946" s="256" t="s">
        <v>4449</v>
      </c>
      <c r="C7946" s="247"/>
      <c r="D7946" s="257" t="s">
        <v>1665</v>
      </c>
      <c r="E7946" s="375">
        <v>1.903</v>
      </c>
      <c r="F7946" s="360">
        <f>F7926</f>
        <v>50000</v>
      </c>
      <c r="G7946" s="274">
        <f>F7946*E7946</f>
        <v>95150</v>
      </c>
    </row>
    <row r="7947" spans="1:7">
      <c r="A7947" s="247"/>
      <c r="B7947" s="256" t="s">
        <v>4450</v>
      </c>
      <c r="C7947" s="247"/>
      <c r="D7947" s="257" t="s">
        <v>1665</v>
      </c>
      <c r="E7947" s="375">
        <v>1.256</v>
      </c>
      <c r="F7947" s="360">
        <f>F7927</f>
        <v>150000</v>
      </c>
      <c r="G7947" s="274">
        <f>F7947*E7947</f>
        <v>188400</v>
      </c>
    </row>
    <row r="7948" spans="1:7">
      <c r="A7948" s="247"/>
      <c r="B7948" s="410"/>
      <c r="C7948" s="247"/>
      <c r="D7948" s="247"/>
      <c r="E7948" s="1173" t="s">
        <v>705</v>
      </c>
      <c r="F7948" s="1173"/>
      <c r="G7948" s="274">
        <f>SUM(G7944:G7947)</f>
        <v>417055</v>
      </c>
    </row>
    <row r="7949" spans="1:7">
      <c r="A7949" s="294" t="s">
        <v>706</v>
      </c>
      <c r="B7949" s="1147" t="s">
        <v>707</v>
      </c>
      <c r="C7949" s="1147"/>
      <c r="D7949" s="1147"/>
      <c r="E7949" s="1147"/>
      <c r="F7949" s="1147"/>
      <c r="G7949" s="273">
        <f>G7939+G7942+G7948</f>
        <v>2282535</v>
      </c>
    </row>
    <row r="7950" spans="1:7">
      <c r="A7950" s="294" t="s">
        <v>708</v>
      </c>
      <c r="B7950" s="1147" t="s">
        <v>709</v>
      </c>
      <c r="C7950" s="1147"/>
      <c r="D7950" s="1147"/>
      <c r="E7950" s="1147" t="s">
        <v>710</v>
      </c>
      <c r="F7950" s="1147"/>
      <c r="G7950" s="255">
        <f>G7949*0.15</f>
        <v>342380.25</v>
      </c>
    </row>
    <row r="7951" spans="1:7">
      <c r="A7951" s="294" t="s">
        <v>711</v>
      </c>
      <c r="B7951" s="1149" t="s">
        <v>712</v>
      </c>
      <c r="C7951" s="1149"/>
      <c r="D7951" s="1149"/>
      <c r="E7951" s="1149"/>
      <c r="F7951" s="1149"/>
      <c r="G7951" s="255">
        <f>ROUND(SUM(G7949:G7950),2)</f>
        <v>2624915.25</v>
      </c>
    </row>
    <row r="7952" spans="1:7">
      <c r="A7952" s="276"/>
      <c r="B7952" s="275"/>
      <c r="C7952" s="276"/>
      <c r="D7952" s="276"/>
      <c r="E7952" s="383"/>
      <c r="G7952" s="277"/>
    </row>
    <row r="7953" spans="1:7">
      <c r="A7953" s="285" t="s">
        <v>4453</v>
      </c>
      <c r="B7953" s="263" t="s">
        <v>3876</v>
      </c>
      <c r="C7953" s="276"/>
      <c r="D7953" s="276"/>
      <c r="E7953" s="383"/>
      <c r="G7953" s="277"/>
    </row>
    <row r="7954" spans="1:7" s="292" customFormat="1" ht="24.95" customHeight="1">
      <c r="A7954" s="290" t="s">
        <v>1003</v>
      </c>
      <c r="B7954" s="290" t="s">
        <v>1004</v>
      </c>
      <c r="C7954" s="290" t="s">
        <v>1005</v>
      </c>
      <c r="D7954" s="290" t="s">
        <v>1006</v>
      </c>
      <c r="E7954" s="373" t="s">
        <v>1007</v>
      </c>
      <c r="F7954" s="363" t="s">
        <v>2637</v>
      </c>
      <c r="G7954" s="353" t="s">
        <v>2638</v>
      </c>
    </row>
    <row r="7955" spans="1:7">
      <c r="A7955" s="294" t="s">
        <v>671</v>
      </c>
      <c r="B7955" s="410" t="s">
        <v>672</v>
      </c>
      <c r="C7955" s="247"/>
      <c r="D7955" s="247"/>
      <c r="E7955" s="372"/>
      <c r="F7955" s="360"/>
      <c r="G7955" s="274"/>
    </row>
    <row r="7956" spans="1:7">
      <c r="A7956" s="294"/>
      <c r="B7956" s="410" t="s">
        <v>673</v>
      </c>
      <c r="C7956" s="247" t="s">
        <v>674</v>
      </c>
      <c r="D7956" s="247" t="s">
        <v>675</v>
      </c>
      <c r="E7956" s="372">
        <f>3.446*3</f>
        <v>10.338000000000001</v>
      </c>
      <c r="F7956" s="360">
        <f>'UPAD-BAHAN-ALAT'!$I$12</f>
        <v>110000</v>
      </c>
      <c r="G7956" s="274">
        <f>F7956*E7956</f>
        <v>1137180</v>
      </c>
    </row>
    <row r="7957" spans="1:7">
      <c r="A7957" s="294"/>
      <c r="B7957" s="410" t="s">
        <v>1480</v>
      </c>
      <c r="C7957" s="247" t="s">
        <v>678</v>
      </c>
      <c r="D7957" s="247" t="s">
        <v>675</v>
      </c>
      <c r="E7957" s="372">
        <v>1.7230000000000001</v>
      </c>
      <c r="F7957" s="360">
        <f>'UPAD-BAHAN-ALAT'!$I$13</f>
        <v>140000</v>
      </c>
      <c r="G7957" s="274">
        <f>F7957*E7957</f>
        <v>241220</v>
      </c>
    </row>
    <row r="7958" spans="1:7">
      <c r="A7958" s="294"/>
      <c r="B7958" s="410" t="s">
        <v>683</v>
      </c>
      <c r="C7958" s="247" t="s">
        <v>684</v>
      </c>
      <c r="D7958" s="247" t="s">
        <v>675</v>
      </c>
      <c r="E7958" s="372">
        <v>0.34499999999999997</v>
      </c>
      <c r="F7958" s="360">
        <f>$F$7458</f>
        <v>140000</v>
      </c>
      <c r="G7958" s="274">
        <f>F7958*E7958</f>
        <v>48299.999999999993</v>
      </c>
    </row>
    <row r="7959" spans="1:7">
      <c r="A7959" s="357"/>
      <c r="B7959" s="356"/>
      <c r="C7959" s="356"/>
      <c r="D7959" s="356"/>
      <c r="E7959" s="384" t="s">
        <v>685</v>
      </c>
      <c r="F7959" s="391"/>
      <c r="G7959" s="274">
        <f>SUM(G7956:G7958)</f>
        <v>1426700</v>
      </c>
    </row>
    <row r="7960" spans="1:7">
      <c r="A7960" s="294" t="s">
        <v>686</v>
      </c>
      <c r="B7960" s="410" t="s">
        <v>687</v>
      </c>
      <c r="C7960" s="247"/>
      <c r="D7960" s="247"/>
      <c r="E7960" s="372"/>
      <c r="F7960" s="360"/>
      <c r="G7960" s="274"/>
    </row>
    <row r="7961" spans="1:7">
      <c r="A7961" s="294"/>
      <c r="B7961" s="410" t="s">
        <v>2041</v>
      </c>
      <c r="C7961" s="247"/>
      <c r="D7961" s="247" t="s">
        <v>853</v>
      </c>
      <c r="E7961" s="372">
        <v>1</v>
      </c>
      <c r="F7961" s="360">
        <f>'UPAD-BAHAN-ALAT'!I584</f>
        <v>1001880</v>
      </c>
      <c r="G7961" s="274">
        <f>F7961*E7961</f>
        <v>1001880</v>
      </c>
    </row>
    <row r="7962" spans="1:7">
      <c r="A7962" s="294"/>
      <c r="B7962" s="410"/>
      <c r="C7962" s="247"/>
      <c r="D7962" s="247"/>
      <c r="E7962" s="1146" t="s">
        <v>702</v>
      </c>
      <c r="F7962" s="1146"/>
      <c r="G7962" s="274">
        <f>SUM(G7961)</f>
        <v>1001880</v>
      </c>
    </row>
    <row r="7963" spans="1:7">
      <c r="A7963" s="294" t="s">
        <v>703</v>
      </c>
      <c r="B7963" s="410" t="s">
        <v>704</v>
      </c>
      <c r="C7963" s="247"/>
      <c r="D7963" s="247"/>
      <c r="E7963" s="372"/>
      <c r="F7963" s="360"/>
      <c r="G7963" s="274"/>
    </row>
    <row r="7964" spans="1:7">
      <c r="A7964" s="294"/>
      <c r="B7964" s="256" t="s">
        <v>4448</v>
      </c>
      <c r="C7964" s="247"/>
      <c r="D7964" s="257" t="s">
        <v>1665</v>
      </c>
      <c r="E7964" s="375">
        <v>1.0900000000000001</v>
      </c>
      <c r="F7964" s="360">
        <f>F7944</f>
        <v>100000</v>
      </c>
      <c r="G7964" s="274">
        <f>F7964*E7964</f>
        <v>109000.00000000001</v>
      </c>
    </row>
    <row r="7965" spans="1:7">
      <c r="A7965" s="294"/>
      <c r="B7965" s="256" t="s">
        <v>2645</v>
      </c>
      <c r="C7965" s="247"/>
      <c r="D7965" s="257" t="s">
        <v>1665</v>
      </c>
      <c r="E7965" s="375">
        <v>0.999</v>
      </c>
      <c r="F7965" s="360">
        <f>F7945</f>
        <v>45000</v>
      </c>
      <c r="G7965" s="274">
        <f>F7965*E7965</f>
        <v>44955</v>
      </c>
    </row>
    <row r="7966" spans="1:7">
      <c r="A7966" s="247"/>
      <c r="B7966" s="256" t="s">
        <v>4449</v>
      </c>
      <c r="C7966" s="247"/>
      <c r="D7966" s="257" t="s">
        <v>1665</v>
      </c>
      <c r="E7966" s="375">
        <v>2.1779999999999999</v>
      </c>
      <c r="F7966" s="360">
        <f>F7946</f>
        <v>50000</v>
      </c>
      <c r="G7966" s="274">
        <f>F7966*E7966</f>
        <v>108900</v>
      </c>
    </row>
    <row r="7967" spans="1:7">
      <c r="A7967" s="247"/>
      <c r="B7967" s="256" t="s">
        <v>4450</v>
      </c>
      <c r="C7967" s="247"/>
      <c r="D7967" s="257" t="s">
        <v>1665</v>
      </c>
      <c r="E7967" s="375">
        <v>1.371</v>
      </c>
      <c r="F7967" s="360">
        <f>F7947</f>
        <v>150000</v>
      </c>
      <c r="G7967" s="274">
        <f>F7967*E7967</f>
        <v>205650</v>
      </c>
    </row>
    <row r="7968" spans="1:7">
      <c r="A7968" s="247"/>
      <c r="B7968" s="410"/>
      <c r="C7968" s="247"/>
      <c r="D7968" s="247"/>
      <c r="E7968" s="1173" t="s">
        <v>705</v>
      </c>
      <c r="F7968" s="1173"/>
      <c r="G7968" s="274">
        <f>SUM(G7964:G7967)</f>
        <v>468505</v>
      </c>
    </row>
    <row r="7969" spans="1:7">
      <c r="A7969" s="294" t="s">
        <v>706</v>
      </c>
      <c r="B7969" s="1147" t="s">
        <v>707</v>
      </c>
      <c r="C7969" s="1147"/>
      <c r="D7969" s="1147"/>
      <c r="E7969" s="1147"/>
      <c r="F7969" s="1147"/>
      <c r="G7969" s="273">
        <f>G7959+G7962+G7968</f>
        <v>2897085</v>
      </c>
    </row>
    <row r="7970" spans="1:7">
      <c r="A7970" s="294" t="s">
        <v>708</v>
      </c>
      <c r="B7970" s="1147" t="s">
        <v>709</v>
      </c>
      <c r="C7970" s="1147"/>
      <c r="D7970" s="1147"/>
      <c r="E7970" s="1147" t="s">
        <v>710</v>
      </c>
      <c r="F7970" s="1147"/>
      <c r="G7970" s="255">
        <f>G7969*0.15</f>
        <v>434562.75</v>
      </c>
    </row>
    <row r="7971" spans="1:7">
      <c r="A7971" s="294" t="s">
        <v>711</v>
      </c>
      <c r="B7971" s="1149" t="s">
        <v>712</v>
      </c>
      <c r="C7971" s="1149"/>
      <c r="D7971" s="1149"/>
      <c r="E7971" s="1149"/>
      <c r="F7971" s="1149"/>
      <c r="G7971" s="255">
        <f>ROUND(SUM(G7969:G7970),2)</f>
        <v>3331647.75</v>
      </c>
    </row>
    <row r="7972" spans="1:7">
      <c r="A7972" s="268"/>
      <c r="B7972" s="269"/>
      <c r="C7972" s="268"/>
      <c r="D7972" s="268"/>
      <c r="E7972" s="380"/>
      <c r="F7972" s="365"/>
      <c r="G7972" s="278"/>
    </row>
    <row r="7973" spans="1:7">
      <c r="A7973" s="284" t="s">
        <v>3877</v>
      </c>
      <c r="B7973" s="250" t="s">
        <v>3878</v>
      </c>
      <c r="C7973" s="252"/>
      <c r="D7973" s="252"/>
      <c r="E7973" s="374"/>
      <c r="F7973" s="361"/>
      <c r="G7973" s="272"/>
    </row>
    <row r="7974" spans="1:7">
      <c r="A7974" s="284" t="s">
        <v>4454</v>
      </c>
      <c r="B7974" s="250" t="s">
        <v>3879</v>
      </c>
      <c r="C7974" s="252"/>
      <c r="D7974" s="252"/>
      <c r="E7974" s="374"/>
      <c r="F7974" s="361"/>
      <c r="G7974" s="272"/>
    </row>
    <row r="7975" spans="1:7" s="292" customFormat="1" ht="24.95" customHeight="1">
      <c r="A7975" s="290" t="s">
        <v>1003</v>
      </c>
      <c r="B7975" s="290" t="s">
        <v>1004</v>
      </c>
      <c r="C7975" s="290" t="s">
        <v>1005</v>
      </c>
      <c r="D7975" s="290" t="s">
        <v>1006</v>
      </c>
      <c r="E7975" s="373" t="s">
        <v>1007</v>
      </c>
      <c r="F7975" s="363" t="s">
        <v>2637</v>
      </c>
      <c r="G7975" s="353" t="s">
        <v>2638</v>
      </c>
    </row>
    <row r="7976" spans="1:7">
      <c r="A7976" s="294" t="s">
        <v>671</v>
      </c>
      <c r="B7976" s="410" t="s">
        <v>672</v>
      </c>
      <c r="C7976" s="247"/>
      <c r="D7976" s="247"/>
      <c r="E7976" s="372"/>
      <c r="F7976" s="360"/>
      <c r="G7976" s="274"/>
    </row>
    <row r="7977" spans="1:7">
      <c r="A7977" s="294"/>
      <c r="B7977" s="410" t="s">
        <v>673</v>
      </c>
      <c r="C7977" s="247" t="s">
        <v>674</v>
      </c>
      <c r="D7977" s="247" t="s">
        <v>675</v>
      </c>
      <c r="E7977" s="372">
        <v>0.56000000000000005</v>
      </c>
      <c r="F7977" s="360">
        <f>'UPAD-BAHAN-ALAT'!$I$12</f>
        <v>110000</v>
      </c>
      <c r="G7977" s="274">
        <f>F7977*E7977</f>
        <v>61600.000000000007</v>
      </c>
    </row>
    <row r="7978" spans="1:7">
      <c r="A7978" s="294"/>
      <c r="B7978" s="410" t="s">
        <v>683</v>
      </c>
      <c r="C7978" s="247" t="s">
        <v>684</v>
      </c>
      <c r="D7978" s="247" t="s">
        <v>675</v>
      </c>
      <c r="E7978" s="372">
        <v>2.4E-2</v>
      </c>
      <c r="F7978" s="360">
        <f>$F$7458</f>
        <v>140000</v>
      </c>
      <c r="G7978" s="274">
        <f>F7978*E7978</f>
        <v>3360</v>
      </c>
    </row>
    <row r="7979" spans="1:7">
      <c r="A7979" s="357"/>
      <c r="B7979" s="356"/>
      <c r="C7979" s="356"/>
      <c r="D7979" s="356"/>
      <c r="E7979" s="384" t="s">
        <v>685</v>
      </c>
      <c r="F7979" s="391"/>
      <c r="G7979" s="274">
        <f>SUM(G7977:G7978)</f>
        <v>64960.000000000007</v>
      </c>
    </row>
    <row r="7980" spans="1:7">
      <c r="A7980" s="294" t="s">
        <v>686</v>
      </c>
      <c r="B7980" s="410" t="s">
        <v>704</v>
      </c>
      <c r="C7980" s="247"/>
      <c r="D7980" s="247"/>
      <c r="E7980" s="372"/>
      <c r="F7980" s="360"/>
      <c r="G7980" s="274"/>
    </row>
    <row r="7981" spans="1:7">
      <c r="A7981" s="294"/>
      <c r="B7981" s="256" t="s">
        <v>3880</v>
      </c>
      <c r="C7981" s="247"/>
      <c r="D7981" s="257" t="s">
        <v>1665</v>
      </c>
      <c r="E7981" s="375">
        <f>1/8</f>
        <v>0.125</v>
      </c>
      <c r="F7981" s="360">
        <v>200000</v>
      </c>
      <c r="G7981" s="274">
        <f>F7981*E7981</f>
        <v>25000</v>
      </c>
    </row>
    <row r="7982" spans="1:7">
      <c r="A7982" s="294"/>
      <c r="B7982" s="410"/>
      <c r="C7982" s="247"/>
      <c r="D7982" s="247"/>
      <c r="E7982" s="1159" t="s">
        <v>705</v>
      </c>
      <c r="F7982" s="1160"/>
      <c r="G7982" s="274">
        <f>SUM(G7981:G7981)</f>
        <v>25000</v>
      </c>
    </row>
    <row r="7983" spans="1:7" s="265" customFormat="1">
      <c r="A7983" s="294" t="s">
        <v>703</v>
      </c>
      <c r="B7983" s="1141" t="s">
        <v>3910</v>
      </c>
      <c r="C7983" s="1142"/>
      <c r="D7983" s="1142"/>
      <c r="E7983" s="1142"/>
      <c r="F7983" s="1143"/>
      <c r="G7983" s="273">
        <f>G7979+G7982</f>
        <v>89960</v>
      </c>
    </row>
    <row r="7984" spans="1:7" s="265" customFormat="1">
      <c r="A7984" s="294" t="s">
        <v>706</v>
      </c>
      <c r="B7984" s="1141" t="s">
        <v>709</v>
      </c>
      <c r="C7984" s="1142"/>
      <c r="D7984" s="1143"/>
      <c r="E7984" s="1141" t="s">
        <v>4030</v>
      </c>
      <c r="F7984" s="1143"/>
      <c r="G7984" s="255">
        <f>G7983*0.15</f>
        <v>13494</v>
      </c>
    </row>
    <row r="7985" spans="1:7" s="265" customFormat="1">
      <c r="A7985" s="294" t="s">
        <v>708</v>
      </c>
      <c r="B7985" s="1141" t="s">
        <v>3911</v>
      </c>
      <c r="C7985" s="1142"/>
      <c r="D7985" s="1142"/>
      <c r="E7985" s="1142"/>
      <c r="F7985" s="1143"/>
      <c r="G7985" s="255">
        <f>ROUND(SUM(G7983:G7984),2)</f>
        <v>103454</v>
      </c>
    </row>
    <row r="7986" spans="1:7">
      <c r="A7986" s="276"/>
      <c r="B7986" s="275"/>
      <c r="C7986" s="276"/>
      <c r="D7986" s="276"/>
      <c r="E7986" s="383"/>
      <c r="G7986" s="277"/>
    </row>
    <row r="7987" spans="1:7">
      <c r="A7987" s="284" t="s">
        <v>3881</v>
      </c>
      <c r="B7987" s="250" t="s">
        <v>3882</v>
      </c>
      <c r="C7987" s="252"/>
      <c r="D7987" s="252"/>
      <c r="E7987" s="374"/>
      <c r="F7987" s="361"/>
      <c r="G7987" s="272"/>
    </row>
    <row r="7988" spans="1:7" s="292" customFormat="1" ht="24.95" customHeight="1">
      <c r="A7988" s="290" t="s">
        <v>1003</v>
      </c>
      <c r="B7988" s="290" t="s">
        <v>1004</v>
      </c>
      <c r="C7988" s="290" t="s">
        <v>1005</v>
      </c>
      <c r="D7988" s="290" t="s">
        <v>1006</v>
      </c>
      <c r="E7988" s="373" t="s">
        <v>1007</v>
      </c>
      <c r="F7988" s="363" t="s">
        <v>2637</v>
      </c>
      <c r="G7988" s="353" t="s">
        <v>2638</v>
      </c>
    </row>
    <row r="7989" spans="1:7">
      <c r="A7989" s="294" t="s">
        <v>671</v>
      </c>
      <c r="B7989" s="410" t="s">
        <v>672</v>
      </c>
      <c r="C7989" s="247"/>
      <c r="D7989" s="247"/>
      <c r="E7989" s="372"/>
      <c r="F7989" s="360"/>
      <c r="G7989" s="274"/>
    </row>
    <row r="7990" spans="1:7">
      <c r="A7990" s="294"/>
      <c r="B7990" s="410" t="s">
        <v>673</v>
      </c>
      <c r="C7990" s="247" t="s">
        <v>674</v>
      </c>
      <c r="D7990" s="247" t="s">
        <v>675</v>
      </c>
      <c r="E7990" s="372">
        <v>0.92800000000000005</v>
      </c>
      <c r="F7990" s="360">
        <f>'UPAD-BAHAN-ALAT'!$I$12</f>
        <v>110000</v>
      </c>
      <c r="G7990" s="274">
        <f>F7990*E7990</f>
        <v>102080</v>
      </c>
    </row>
    <row r="7991" spans="1:7">
      <c r="A7991" s="294"/>
      <c r="B7991" s="410" t="s">
        <v>816</v>
      </c>
      <c r="C7991" s="247" t="s">
        <v>678</v>
      </c>
      <c r="D7991" s="247" t="s">
        <v>675</v>
      </c>
      <c r="E7991" s="372">
        <v>8.7999999999999995E-2</v>
      </c>
      <c r="F7991" s="360">
        <f>'UPAD-BAHAN-ALAT'!$I$13</f>
        <v>140000</v>
      </c>
      <c r="G7991" s="274">
        <f>F7991*E7991</f>
        <v>12320</v>
      </c>
    </row>
    <row r="7992" spans="1:7">
      <c r="A7992" s="294"/>
      <c r="B7992" s="410" t="s">
        <v>680</v>
      </c>
      <c r="C7992" s="247" t="s">
        <v>681</v>
      </c>
      <c r="D7992" s="247" t="s">
        <v>675</v>
      </c>
      <c r="E7992" s="372">
        <v>8.9999999999999993E-3</v>
      </c>
      <c r="F7992" s="360">
        <f>'UPAD-BAHAN-ALAT'!$I$15</f>
        <v>150000</v>
      </c>
      <c r="G7992" s="274">
        <f>F7992*E7992</f>
        <v>1350</v>
      </c>
    </row>
    <row r="7993" spans="1:7">
      <c r="A7993" s="294"/>
      <c r="B7993" s="410" t="s">
        <v>683</v>
      </c>
      <c r="C7993" s="247" t="s">
        <v>684</v>
      </c>
      <c r="D7993" s="247" t="s">
        <v>675</v>
      </c>
      <c r="E7993" s="372">
        <v>5.0599999999999999E-2</v>
      </c>
      <c r="F7993" s="360">
        <f>'UPAD-BAHAN-ALAT'!$I$14</f>
        <v>140000</v>
      </c>
      <c r="G7993" s="274">
        <f>F7993*E7993</f>
        <v>7084</v>
      </c>
    </row>
    <row r="7994" spans="1:7">
      <c r="A7994" s="357"/>
      <c r="B7994" s="356"/>
      <c r="C7994" s="356"/>
      <c r="D7994" s="356"/>
      <c r="E7994" s="384" t="s">
        <v>685</v>
      </c>
      <c r="F7994" s="391"/>
      <c r="G7994" s="274">
        <f>SUM(G7990:G7993)</f>
        <v>122834</v>
      </c>
    </row>
    <row r="7995" spans="1:7">
      <c r="A7995" s="294" t="s">
        <v>686</v>
      </c>
      <c r="B7995" s="410" t="s">
        <v>687</v>
      </c>
      <c r="C7995" s="247"/>
      <c r="D7995" s="247"/>
      <c r="E7995" s="372"/>
      <c r="F7995" s="360"/>
      <c r="G7995" s="274"/>
    </row>
    <row r="7996" spans="1:7">
      <c r="A7996" s="294"/>
      <c r="B7996" s="410" t="s">
        <v>738</v>
      </c>
      <c r="C7996" s="247"/>
      <c r="D7996" s="247" t="s">
        <v>773</v>
      </c>
      <c r="E7996" s="372">
        <v>13.04</v>
      </c>
      <c r="F7996" s="360">
        <f>'UPAD-BAHAN-ALAT'!$I$77</f>
        <v>1625</v>
      </c>
      <c r="G7996" s="274">
        <f>F7996*E7996</f>
        <v>21190</v>
      </c>
    </row>
    <row r="7997" spans="1:7">
      <c r="A7997" s="294"/>
      <c r="B7997" s="410" t="s">
        <v>831</v>
      </c>
      <c r="C7997" s="247"/>
      <c r="D7997" s="247" t="s">
        <v>773</v>
      </c>
      <c r="E7997" s="372">
        <v>30.4</v>
      </c>
      <c r="F7997" s="360">
        <f>'UPAD-BAHAN-ALAT'!$I$72</f>
        <v>125.70979607871148</v>
      </c>
      <c r="G7997" s="274">
        <f>F7997*E7997</f>
        <v>3821.5778007928288</v>
      </c>
    </row>
    <row r="7998" spans="1:7">
      <c r="A7998" s="294"/>
      <c r="B7998" s="410" t="s">
        <v>841</v>
      </c>
      <c r="C7998" s="247"/>
      <c r="D7998" s="247" t="s">
        <v>773</v>
      </c>
      <c r="E7998" s="372">
        <v>41.16</v>
      </c>
      <c r="F7998" s="360">
        <f>'UPAD-BAHAN-ALAT'!$I$70</f>
        <v>220.88070812192143</v>
      </c>
      <c r="G7998" s="274">
        <f>F7998*E7998</f>
        <v>9091.4499462982858</v>
      </c>
    </row>
    <row r="7999" spans="1:7">
      <c r="A7999" s="247"/>
      <c r="B7999" s="410" t="s">
        <v>842</v>
      </c>
      <c r="C7999" s="247"/>
      <c r="D7999" s="247" t="s">
        <v>701</v>
      </c>
      <c r="E7999" s="372">
        <v>8.6</v>
      </c>
      <c r="F7999" s="360">
        <f>'UPAD-BAHAN-ALAT'!$I$46</f>
        <v>35</v>
      </c>
      <c r="G7999" s="274">
        <f>F7999*E7999</f>
        <v>301</v>
      </c>
    </row>
    <row r="8000" spans="1:7">
      <c r="A8000" s="247"/>
      <c r="B8000" s="410"/>
      <c r="C8000" s="247"/>
      <c r="D8000" s="247"/>
      <c r="E8000" s="1159" t="s">
        <v>702</v>
      </c>
      <c r="F8000" s="1160"/>
      <c r="G8000" s="274">
        <f>SUM(G7996)</f>
        <v>21190</v>
      </c>
    </row>
    <row r="8001" spans="1:7">
      <c r="A8001" s="294" t="s">
        <v>703</v>
      </c>
      <c r="B8001" s="410" t="s">
        <v>704</v>
      </c>
      <c r="C8001" s="247"/>
      <c r="D8001" s="247"/>
      <c r="E8001" s="372"/>
      <c r="F8001" s="360"/>
      <c r="G8001" s="274"/>
    </row>
    <row r="8002" spans="1:7">
      <c r="A8002" s="247"/>
      <c r="B8002" s="256" t="s">
        <v>3880</v>
      </c>
      <c r="C8002" s="247"/>
      <c r="D8002" s="257" t="s">
        <v>1665</v>
      </c>
      <c r="E8002" s="375">
        <f>1/8</f>
        <v>0.125</v>
      </c>
      <c r="F8002" s="360">
        <f>F7981</f>
        <v>200000</v>
      </c>
      <c r="G8002" s="274">
        <f>F8002*E8002</f>
        <v>25000</v>
      </c>
    </row>
    <row r="8003" spans="1:7">
      <c r="A8003" s="247"/>
      <c r="B8003" s="410"/>
      <c r="C8003" s="247"/>
      <c r="D8003" s="247"/>
      <c r="E8003" s="1159" t="s">
        <v>705</v>
      </c>
      <c r="F8003" s="1160"/>
      <c r="G8003" s="274">
        <f>SUM(G8002:G8002)</f>
        <v>25000</v>
      </c>
    </row>
    <row r="8004" spans="1:7" s="265" customFormat="1">
      <c r="A8004" s="294" t="s">
        <v>706</v>
      </c>
      <c r="B8004" s="1147" t="s">
        <v>707</v>
      </c>
      <c r="C8004" s="1147"/>
      <c r="D8004" s="1147"/>
      <c r="E8004" s="1147"/>
      <c r="F8004" s="1147"/>
      <c r="G8004" s="273">
        <f>G7994+G8000+G8003</f>
        <v>169024</v>
      </c>
    </row>
    <row r="8005" spans="1:7" s="265" customFormat="1">
      <c r="A8005" s="294" t="s">
        <v>708</v>
      </c>
      <c r="B8005" s="1147" t="s">
        <v>709</v>
      </c>
      <c r="C8005" s="1147"/>
      <c r="D8005" s="1147"/>
      <c r="E8005" s="1147" t="s">
        <v>710</v>
      </c>
      <c r="F8005" s="1147"/>
      <c r="G8005" s="255">
        <f>G8004*0.15</f>
        <v>25353.599999999999</v>
      </c>
    </row>
    <row r="8006" spans="1:7" s="265" customFormat="1">
      <c r="A8006" s="294" t="s">
        <v>711</v>
      </c>
      <c r="B8006" s="1149" t="s">
        <v>712</v>
      </c>
      <c r="C8006" s="1149"/>
      <c r="D8006" s="1149"/>
      <c r="E8006" s="1149"/>
      <c r="F8006" s="1149"/>
      <c r="G8006" s="255">
        <f>ROUND(SUM(G8004:G8005),2)</f>
        <v>194377.60000000001</v>
      </c>
    </row>
    <row r="8007" spans="1:7">
      <c r="A8007" s="252"/>
      <c r="B8007" s="251"/>
      <c r="C8007" s="252"/>
      <c r="D8007" s="252"/>
      <c r="E8007" s="374"/>
      <c r="F8007" s="361"/>
      <c r="G8007" s="272"/>
    </row>
    <row r="8008" spans="1:7">
      <c r="A8008" s="284" t="s">
        <v>3883</v>
      </c>
      <c r="B8008" s="250" t="s">
        <v>3884</v>
      </c>
      <c r="C8008" s="252"/>
      <c r="D8008" s="252"/>
      <c r="E8008" s="374"/>
      <c r="F8008" s="361"/>
      <c r="G8008" s="272"/>
    </row>
    <row r="8009" spans="1:7" s="292" customFormat="1" ht="24.95" customHeight="1">
      <c r="A8009" s="290" t="s">
        <v>1003</v>
      </c>
      <c r="B8009" s="290" t="s">
        <v>1004</v>
      </c>
      <c r="C8009" s="290" t="s">
        <v>1005</v>
      </c>
      <c r="D8009" s="290" t="s">
        <v>1006</v>
      </c>
      <c r="E8009" s="373" t="s">
        <v>1007</v>
      </c>
      <c r="F8009" s="363" t="s">
        <v>2637</v>
      </c>
      <c r="G8009" s="353" t="s">
        <v>2638</v>
      </c>
    </row>
    <row r="8010" spans="1:7">
      <c r="A8010" s="294" t="s">
        <v>671</v>
      </c>
      <c r="B8010" s="410" t="s">
        <v>672</v>
      </c>
      <c r="C8010" s="247"/>
      <c r="D8010" s="247"/>
      <c r="E8010" s="372"/>
      <c r="F8010" s="360"/>
      <c r="G8010" s="274"/>
    </row>
    <row r="8011" spans="1:7">
      <c r="A8011" s="294"/>
      <c r="B8011" s="410" t="s">
        <v>673</v>
      </c>
      <c r="C8011" s="247" t="s">
        <v>674</v>
      </c>
      <c r="D8011" s="247" t="s">
        <v>675</v>
      </c>
      <c r="E8011" s="372">
        <v>0.48</v>
      </c>
      <c r="F8011" s="360">
        <f>'UPAD-BAHAN-ALAT'!$I$12</f>
        <v>110000</v>
      </c>
      <c r="G8011" s="274">
        <f>F8011*E8011</f>
        <v>52800</v>
      </c>
    </row>
    <row r="8012" spans="1:7">
      <c r="A8012" s="294"/>
      <c r="B8012" s="410" t="s">
        <v>816</v>
      </c>
      <c r="C8012" s="247" t="s">
        <v>678</v>
      </c>
      <c r="D8012" s="247" t="s">
        <v>675</v>
      </c>
      <c r="E8012" s="372">
        <v>6.4000000000000003E-3</v>
      </c>
      <c r="F8012" s="360">
        <f>'UPAD-BAHAN-ALAT'!$I$13</f>
        <v>140000</v>
      </c>
      <c r="G8012" s="274">
        <f>F8012*E8012</f>
        <v>896</v>
      </c>
    </row>
    <row r="8013" spans="1:7">
      <c r="A8013" s="294"/>
      <c r="B8013" s="410" t="s">
        <v>680</v>
      </c>
      <c r="C8013" s="247" t="s">
        <v>681</v>
      </c>
      <c r="D8013" s="247" t="s">
        <v>675</v>
      </c>
      <c r="E8013" s="372">
        <v>3.2000000000000002E-3</v>
      </c>
      <c r="F8013" s="360">
        <f>'UPAD-BAHAN-ALAT'!$I$15</f>
        <v>150000</v>
      </c>
      <c r="G8013" s="274">
        <f>F8013*E8013</f>
        <v>480</v>
      </c>
    </row>
    <row r="8014" spans="1:7">
      <c r="A8014" s="294"/>
      <c r="B8014" s="410" t="s">
        <v>683</v>
      </c>
      <c r="C8014" s="247" t="s">
        <v>684</v>
      </c>
      <c r="D8014" s="247" t="s">
        <v>675</v>
      </c>
      <c r="E8014" s="372">
        <v>0.34399999999999997</v>
      </c>
      <c r="F8014" s="360">
        <f>'UPAD-BAHAN-ALAT'!$I$14</f>
        <v>140000</v>
      </c>
      <c r="G8014" s="274">
        <f>F8014*E8014</f>
        <v>48159.999999999993</v>
      </c>
    </row>
    <row r="8015" spans="1:7">
      <c r="A8015" s="357"/>
      <c r="B8015" s="356"/>
      <c r="C8015" s="356"/>
      <c r="D8015" s="356"/>
      <c r="E8015" s="384" t="s">
        <v>685</v>
      </c>
      <c r="F8015" s="391"/>
      <c r="G8015" s="274">
        <f>SUM(G8011:G8014)</f>
        <v>102336</v>
      </c>
    </row>
    <row r="8016" spans="1:7">
      <c r="A8016" s="294" t="s">
        <v>686</v>
      </c>
      <c r="B8016" s="410" t="s">
        <v>687</v>
      </c>
      <c r="C8016" s="247"/>
      <c r="D8016" s="247"/>
      <c r="E8016" s="372"/>
      <c r="F8016" s="360"/>
      <c r="G8016" s="274"/>
    </row>
    <row r="8017" spans="1:7">
      <c r="A8017" s="294"/>
      <c r="B8017" s="410" t="s">
        <v>2937</v>
      </c>
      <c r="C8017" s="247"/>
      <c r="D8017" s="247" t="s">
        <v>773</v>
      </c>
      <c r="E8017" s="372">
        <v>3</v>
      </c>
      <c r="F8017" s="360">
        <f>'UPAD-BAHAN-ALAT'!$I$47</f>
        <v>11900</v>
      </c>
      <c r="G8017" s="274">
        <f>F8017*E8017</f>
        <v>35700</v>
      </c>
    </row>
    <row r="8018" spans="1:7">
      <c r="A8018" s="294"/>
      <c r="B8018" s="410" t="s">
        <v>3885</v>
      </c>
      <c r="C8018" s="247"/>
      <c r="D8018" s="247" t="s">
        <v>2939</v>
      </c>
      <c r="E8018" s="372">
        <v>0.4</v>
      </c>
      <c r="F8018" s="360">
        <f>'UPAD-BAHAN-ALAT'!$I$48</f>
        <v>10000</v>
      </c>
      <c r="G8018" s="274">
        <f>F8018*E8018</f>
        <v>4000</v>
      </c>
    </row>
    <row r="8019" spans="1:7">
      <c r="A8019" s="294"/>
      <c r="B8019" s="410" t="s">
        <v>831</v>
      </c>
      <c r="C8019" s="247"/>
      <c r="D8019" s="247" t="s">
        <v>2646</v>
      </c>
      <c r="E8019" s="372">
        <v>1.2E-2</v>
      </c>
      <c r="F8019" s="360">
        <f>'UPAD-BAHAN-ALAT'!$I$71</f>
        <v>176000</v>
      </c>
      <c r="G8019" s="274">
        <f>F8019*E8019</f>
        <v>2112</v>
      </c>
    </row>
    <row r="8020" spans="1:7">
      <c r="A8020" s="294"/>
      <c r="B8020" s="410" t="s">
        <v>3679</v>
      </c>
      <c r="C8020" s="247"/>
      <c r="D8020" s="247" t="s">
        <v>2646</v>
      </c>
      <c r="E8020" s="372">
        <v>1.2E-2</v>
      </c>
      <c r="F8020" s="360">
        <f>'UPAD-BAHAN-ALAT'!$I$56</f>
        <v>477000</v>
      </c>
      <c r="G8020" s="274">
        <f>F8020*E8020</f>
        <v>5724</v>
      </c>
    </row>
    <row r="8021" spans="1:7">
      <c r="A8021" s="294"/>
      <c r="B8021" s="410"/>
      <c r="C8021" s="247"/>
      <c r="D8021" s="247"/>
      <c r="E8021" s="1159" t="s">
        <v>702</v>
      </c>
      <c r="F8021" s="1160"/>
      <c r="G8021" s="274">
        <f>SUM(G8017)</f>
        <v>35700</v>
      </c>
    </row>
    <row r="8022" spans="1:7">
      <c r="A8022" s="294" t="s">
        <v>703</v>
      </c>
      <c r="B8022" s="410" t="s">
        <v>704</v>
      </c>
      <c r="C8022" s="247"/>
      <c r="D8022" s="247"/>
      <c r="E8022" s="372"/>
      <c r="F8022" s="360"/>
      <c r="G8022" s="274"/>
    </row>
    <row r="8023" spans="1:7">
      <c r="A8023" s="294"/>
      <c r="B8023" s="256" t="s">
        <v>3880</v>
      </c>
      <c r="C8023" s="247"/>
      <c r="D8023" s="257" t="s">
        <v>1665</v>
      </c>
      <c r="E8023" s="375">
        <f>1/8</f>
        <v>0.125</v>
      </c>
      <c r="F8023" s="360">
        <f>F8002</f>
        <v>200000</v>
      </c>
      <c r="G8023" s="274">
        <f>F8023*E8023</f>
        <v>25000</v>
      </c>
    </row>
    <row r="8024" spans="1:7">
      <c r="A8024" s="247"/>
      <c r="B8024" s="410"/>
      <c r="C8024" s="247"/>
      <c r="D8024" s="247"/>
      <c r="E8024" s="1159" t="s">
        <v>705</v>
      </c>
      <c r="F8024" s="1160"/>
      <c r="G8024" s="274">
        <f>SUM(G8023:G8023)</f>
        <v>25000</v>
      </c>
    </row>
    <row r="8025" spans="1:7">
      <c r="A8025" s="294" t="s">
        <v>706</v>
      </c>
      <c r="B8025" s="1147" t="s">
        <v>707</v>
      </c>
      <c r="C8025" s="1147"/>
      <c r="D8025" s="1147"/>
      <c r="E8025" s="1147"/>
      <c r="F8025" s="1147"/>
      <c r="G8025" s="273">
        <f>G8015+G8021+G8024</f>
        <v>163036</v>
      </c>
    </row>
    <row r="8026" spans="1:7">
      <c r="A8026" s="294" t="s">
        <v>708</v>
      </c>
      <c r="B8026" s="1147" t="s">
        <v>709</v>
      </c>
      <c r="C8026" s="1147"/>
      <c r="D8026" s="1147"/>
      <c r="E8026" s="1147" t="s">
        <v>710</v>
      </c>
      <c r="F8026" s="1147"/>
      <c r="G8026" s="255">
        <f>G8025*0.15</f>
        <v>24455.399999999998</v>
      </c>
    </row>
    <row r="8027" spans="1:7">
      <c r="A8027" s="294" t="s">
        <v>711</v>
      </c>
      <c r="B8027" s="1149" t="s">
        <v>712</v>
      </c>
      <c r="C8027" s="1149"/>
      <c r="D8027" s="1149"/>
      <c r="E8027" s="1149"/>
      <c r="F8027" s="1149"/>
      <c r="G8027" s="255">
        <f>ROUND(SUM(G8025:G8026),2)</f>
        <v>187491.4</v>
      </c>
    </row>
    <row r="8028" spans="1:7">
      <c r="A8028" s="252"/>
      <c r="B8028" s="251"/>
      <c r="C8028" s="252"/>
      <c r="D8028" s="252"/>
      <c r="E8028" s="374"/>
      <c r="F8028" s="361"/>
      <c r="G8028" s="272"/>
    </row>
    <row r="8029" spans="1:7">
      <c r="A8029" s="284" t="s">
        <v>3886</v>
      </c>
      <c r="B8029" s="250" t="s">
        <v>3887</v>
      </c>
      <c r="C8029" s="252"/>
      <c r="D8029" s="252"/>
      <c r="E8029" s="374"/>
      <c r="F8029" s="361"/>
      <c r="G8029" s="272"/>
    </row>
    <row r="8030" spans="1:7" s="292" customFormat="1" ht="24.95" customHeight="1">
      <c r="A8030" s="290" t="s">
        <v>1003</v>
      </c>
      <c r="B8030" s="290" t="s">
        <v>1004</v>
      </c>
      <c r="C8030" s="290" t="s">
        <v>1005</v>
      </c>
      <c r="D8030" s="290" t="s">
        <v>1006</v>
      </c>
      <c r="E8030" s="373" t="s">
        <v>1007</v>
      </c>
      <c r="F8030" s="363" t="s">
        <v>2637</v>
      </c>
      <c r="G8030" s="353" t="s">
        <v>2638</v>
      </c>
    </row>
    <row r="8031" spans="1:7">
      <c r="A8031" s="294" t="s">
        <v>671</v>
      </c>
      <c r="B8031" s="410" t="s">
        <v>672</v>
      </c>
      <c r="C8031" s="247"/>
      <c r="D8031" s="247"/>
      <c r="E8031" s="372"/>
      <c r="F8031" s="360"/>
      <c r="G8031" s="274"/>
    </row>
    <row r="8032" spans="1:7">
      <c r="A8032" s="294"/>
      <c r="B8032" s="410" t="s">
        <v>673</v>
      </c>
      <c r="C8032" s="247" t="s">
        <v>674</v>
      </c>
      <c r="D8032" s="247" t="s">
        <v>675</v>
      </c>
      <c r="E8032" s="372">
        <v>1.125</v>
      </c>
      <c r="F8032" s="360">
        <f>'UPAD-BAHAN-ALAT'!$I$12</f>
        <v>110000</v>
      </c>
      <c r="G8032" s="274">
        <f>F8032*E8032</f>
        <v>123750</v>
      </c>
    </row>
    <row r="8033" spans="1:7">
      <c r="A8033" s="294"/>
      <c r="B8033" s="410" t="s">
        <v>683</v>
      </c>
      <c r="C8033" s="247" t="s">
        <v>684</v>
      </c>
      <c r="D8033" s="247" t="s">
        <v>675</v>
      </c>
      <c r="E8033" s="372">
        <v>6.7500000000000004E-2</v>
      </c>
      <c r="F8033" s="360">
        <f>'UPAD-BAHAN-ALAT'!$I$14</f>
        <v>140000</v>
      </c>
      <c r="G8033" s="274">
        <f>F8033*E8033</f>
        <v>9450</v>
      </c>
    </row>
    <row r="8034" spans="1:7">
      <c r="A8034" s="357"/>
      <c r="B8034" s="356"/>
      <c r="C8034" s="356"/>
      <c r="D8034" s="356"/>
      <c r="E8034" s="384" t="s">
        <v>685</v>
      </c>
      <c r="F8034" s="391"/>
      <c r="G8034" s="274">
        <f>SUM(G8032:G8033)</f>
        <v>133200</v>
      </c>
    </row>
    <row r="8035" spans="1:7">
      <c r="A8035" s="294" t="s">
        <v>686</v>
      </c>
      <c r="B8035" s="410" t="s">
        <v>704</v>
      </c>
      <c r="C8035" s="247"/>
      <c r="D8035" s="247"/>
      <c r="E8035" s="372"/>
      <c r="F8035" s="360"/>
      <c r="G8035" s="274"/>
    </row>
    <row r="8036" spans="1:7">
      <c r="A8036" s="247"/>
      <c r="B8036" s="256" t="s">
        <v>3880</v>
      </c>
      <c r="C8036" s="247"/>
      <c r="D8036" s="257" t="s">
        <v>1665</v>
      </c>
      <c r="E8036" s="375">
        <f>2/8</f>
        <v>0.25</v>
      </c>
      <c r="F8036" s="360">
        <f>F8023</f>
        <v>200000</v>
      </c>
      <c r="G8036" s="274">
        <f>F8036*E8036</f>
        <v>50000</v>
      </c>
    </row>
    <row r="8037" spans="1:7">
      <c r="A8037" s="247"/>
      <c r="B8037" s="410"/>
      <c r="C8037" s="247"/>
      <c r="D8037" s="247"/>
      <c r="E8037" s="1159" t="s">
        <v>705</v>
      </c>
      <c r="F8037" s="1160"/>
      <c r="G8037" s="274">
        <f>SUM(G8036:G8036)</f>
        <v>50000</v>
      </c>
    </row>
    <row r="8038" spans="1:7">
      <c r="A8038" s="294" t="s">
        <v>703</v>
      </c>
      <c r="B8038" s="1141" t="s">
        <v>3910</v>
      </c>
      <c r="C8038" s="1142"/>
      <c r="D8038" s="1142"/>
      <c r="E8038" s="1142"/>
      <c r="F8038" s="1143"/>
      <c r="G8038" s="273">
        <f>G8034+G8037</f>
        <v>183200</v>
      </c>
    </row>
    <row r="8039" spans="1:7">
      <c r="A8039" s="294" t="s">
        <v>706</v>
      </c>
      <c r="B8039" s="1141" t="s">
        <v>709</v>
      </c>
      <c r="C8039" s="1142"/>
      <c r="D8039" s="1143"/>
      <c r="E8039" s="1141" t="s">
        <v>4030</v>
      </c>
      <c r="F8039" s="1143"/>
      <c r="G8039" s="255">
        <f>G8038*0.15</f>
        <v>27480</v>
      </c>
    </row>
    <row r="8040" spans="1:7">
      <c r="A8040" s="294" t="s">
        <v>708</v>
      </c>
      <c r="B8040" s="1141" t="s">
        <v>3911</v>
      </c>
      <c r="C8040" s="1142"/>
      <c r="D8040" s="1142"/>
      <c r="E8040" s="1142"/>
      <c r="F8040" s="1143"/>
      <c r="G8040" s="255">
        <f>ROUND(SUM(G8038:G8039),2)</f>
        <v>210680</v>
      </c>
    </row>
    <row r="8041" spans="1:7">
      <c r="A8041" s="276"/>
      <c r="B8041" s="275"/>
      <c r="C8041" s="276"/>
      <c r="D8041" s="276"/>
      <c r="E8041" s="383"/>
      <c r="G8041" s="277"/>
    </row>
    <row r="8042" spans="1:7">
      <c r="A8042" s="284" t="s">
        <v>3888</v>
      </c>
      <c r="B8042" s="250" t="s">
        <v>3889</v>
      </c>
      <c r="C8042" s="252"/>
      <c r="D8042" s="252"/>
      <c r="E8042" s="374"/>
      <c r="F8042" s="361"/>
      <c r="G8042" s="272"/>
    </row>
    <row r="8043" spans="1:7" s="292" customFormat="1" ht="24.95" customHeight="1">
      <c r="A8043" s="290" t="s">
        <v>1003</v>
      </c>
      <c r="B8043" s="290" t="s">
        <v>1004</v>
      </c>
      <c r="C8043" s="290" t="s">
        <v>1005</v>
      </c>
      <c r="D8043" s="290" t="s">
        <v>1006</v>
      </c>
      <c r="E8043" s="373" t="s">
        <v>1007</v>
      </c>
      <c r="F8043" s="363" t="s">
        <v>2637</v>
      </c>
      <c r="G8043" s="353" t="s">
        <v>2638</v>
      </c>
    </row>
    <row r="8044" spans="1:7">
      <c r="A8044" s="294" t="s">
        <v>671</v>
      </c>
      <c r="B8044" s="410" t="s">
        <v>672</v>
      </c>
      <c r="C8044" s="247"/>
      <c r="D8044" s="247"/>
      <c r="E8044" s="372"/>
      <c r="F8044" s="360"/>
      <c r="G8044" s="274"/>
    </row>
    <row r="8045" spans="1:7">
      <c r="A8045" s="294"/>
      <c r="B8045" s="410" t="s">
        <v>673</v>
      </c>
      <c r="C8045" s="247" t="s">
        <v>674</v>
      </c>
      <c r="D8045" s="247" t="s">
        <v>675</v>
      </c>
      <c r="E8045" s="372">
        <v>2.61</v>
      </c>
      <c r="F8045" s="360">
        <f>'UPAD-BAHAN-ALAT'!$I$12</f>
        <v>110000</v>
      </c>
      <c r="G8045" s="274">
        <f>F8045*E8045</f>
        <v>287100</v>
      </c>
    </row>
    <row r="8046" spans="1:7">
      <c r="A8046" s="294"/>
      <c r="B8046" s="410" t="s">
        <v>816</v>
      </c>
      <c r="C8046" s="247" t="s">
        <v>678</v>
      </c>
      <c r="D8046" s="247" t="s">
        <v>675</v>
      </c>
      <c r="E8046" s="372">
        <v>0.2475</v>
      </c>
      <c r="F8046" s="360">
        <f>'UPAD-BAHAN-ALAT'!$I$13</f>
        <v>140000</v>
      </c>
      <c r="G8046" s="274">
        <f>F8046*E8046</f>
        <v>34650</v>
      </c>
    </row>
    <row r="8047" spans="1:7">
      <c r="A8047" s="294"/>
      <c r="B8047" s="410" t="s">
        <v>680</v>
      </c>
      <c r="C8047" s="247" t="s">
        <v>681</v>
      </c>
      <c r="D8047" s="247" t="s">
        <v>675</v>
      </c>
      <c r="E8047" s="372">
        <v>2.52E-2</v>
      </c>
      <c r="F8047" s="360">
        <f>'UPAD-BAHAN-ALAT'!$I$15</f>
        <v>150000</v>
      </c>
      <c r="G8047" s="274">
        <f>F8047*E8047</f>
        <v>3780</v>
      </c>
    </row>
    <row r="8048" spans="1:7">
      <c r="A8048" s="294"/>
      <c r="B8048" s="410" t="s">
        <v>683</v>
      </c>
      <c r="C8048" s="247" t="s">
        <v>684</v>
      </c>
      <c r="D8048" s="247" t="s">
        <v>675</v>
      </c>
      <c r="E8048" s="372">
        <v>0.14219999999999999</v>
      </c>
      <c r="F8048" s="360">
        <f>'UPAD-BAHAN-ALAT'!$I$14</f>
        <v>140000</v>
      </c>
      <c r="G8048" s="274">
        <f>F8048*E8048</f>
        <v>19908</v>
      </c>
    </row>
    <row r="8049" spans="1:7">
      <c r="A8049" s="357"/>
      <c r="B8049" s="356"/>
      <c r="C8049" s="356"/>
      <c r="D8049" s="356"/>
      <c r="E8049" s="384" t="s">
        <v>685</v>
      </c>
      <c r="F8049" s="391"/>
      <c r="G8049" s="274">
        <f>SUM(G8045:G8048)</f>
        <v>345438</v>
      </c>
    </row>
    <row r="8050" spans="1:7">
      <c r="A8050" s="294" t="s">
        <v>686</v>
      </c>
      <c r="B8050" s="410" t="s">
        <v>687</v>
      </c>
      <c r="C8050" s="247"/>
      <c r="D8050" s="247"/>
      <c r="E8050" s="372"/>
      <c r="F8050" s="360"/>
      <c r="G8050" s="274"/>
    </row>
    <row r="8051" spans="1:7">
      <c r="A8051" s="294"/>
      <c r="B8051" s="410" t="s">
        <v>738</v>
      </c>
      <c r="C8051" s="247"/>
      <c r="D8051" s="247" t="s">
        <v>773</v>
      </c>
      <c r="E8051" s="372">
        <v>19.559999999999999</v>
      </c>
      <c r="F8051" s="360">
        <f>'UPAD-BAHAN-ALAT'!$I$77</f>
        <v>1625</v>
      </c>
      <c r="G8051" s="274">
        <f>F8051*E8051</f>
        <v>31784.999999999996</v>
      </c>
    </row>
    <row r="8052" spans="1:7">
      <c r="A8052" s="294"/>
      <c r="B8052" s="410" t="s">
        <v>831</v>
      </c>
      <c r="C8052" s="247"/>
      <c r="D8052" s="247" t="s">
        <v>773</v>
      </c>
      <c r="E8052" s="372">
        <v>45.6</v>
      </c>
      <c r="F8052" s="360">
        <f>'UPAD-BAHAN-ALAT'!$I$72</f>
        <v>125.70979607871148</v>
      </c>
      <c r="G8052" s="274">
        <f>F8052*E8052</f>
        <v>5732.3667011892439</v>
      </c>
    </row>
    <row r="8053" spans="1:7">
      <c r="A8053" s="294"/>
      <c r="B8053" s="410" t="s">
        <v>841</v>
      </c>
      <c r="C8053" s="247"/>
      <c r="D8053" s="247" t="s">
        <v>773</v>
      </c>
      <c r="E8053" s="372">
        <v>61.74</v>
      </c>
      <c r="F8053" s="360">
        <f>'UPAD-BAHAN-ALAT'!$I$70</f>
        <v>220.88070812192143</v>
      </c>
      <c r="G8053" s="274">
        <f>F8053*E8053</f>
        <v>13637.174919447429</v>
      </c>
    </row>
    <row r="8054" spans="1:7">
      <c r="A8054" s="294"/>
      <c r="B8054" s="410" t="s">
        <v>842</v>
      </c>
      <c r="C8054" s="247"/>
      <c r="D8054" s="247" t="s">
        <v>701</v>
      </c>
      <c r="E8054" s="372">
        <v>12.9</v>
      </c>
      <c r="F8054" s="360">
        <f>'UPAD-BAHAN-ALAT'!$I$46</f>
        <v>35</v>
      </c>
      <c r="G8054" s="274">
        <f>F8054*E8054</f>
        <v>451.5</v>
      </c>
    </row>
    <row r="8055" spans="1:7">
      <c r="A8055" s="294"/>
      <c r="B8055" s="410"/>
      <c r="C8055" s="247"/>
      <c r="D8055" s="247"/>
      <c r="E8055" s="1159" t="s">
        <v>702</v>
      </c>
      <c r="F8055" s="1160"/>
      <c r="G8055" s="274">
        <f>SUM(G8051:G8054)</f>
        <v>51606.041620636664</v>
      </c>
    </row>
    <row r="8056" spans="1:7">
      <c r="A8056" s="294" t="s">
        <v>703</v>
      </c>
      <c r="B8056" s="410" t="s">
        <v>704</v>
      </c>
      <c r="C8056" s="247"/>
      <c r="D8056" s="247"/>
      <c r="E8056" s="372"/>
      <c r="F8056" s="360"/>
      <c r="G8056" s="274"/>
    </row>
    <row r="8057" spans="1:7">
      <c r="A8057" s="294"/>
      <c r="B8057" s="256" t="s">
        <v>3880</v>
      </c>
      <c r="C8057" s="247"/>
      <c r="D8057" s="257" t="s">
        <v>1665</v>
      </c>
      <c r="E8057" s="375">
        <f>2/8</f>
        <v>0.25</v>
      </c>
      <c r="F8057" s="360">
        <f>F8036</f>
        <v>200000</v>
      </c>
      <c r="G8057" s="274">
        <f>F8057*E8057</f>
        <v>50000</v>
      </c>
    </row>
    <row r="8058" spans="1:7">
      <c r="A8058" s="294"/>
      <c r="B8058" s="410"/>
      <c r="C8058" s="247"/>
      <c r="D8058" s="247"/>
      <c r="E8058" s="1159" t="s">
        <v>705</v>
      </c>
      <c r="F8058" s="1160"/>
      <c r="G8058" s="274">
        <f>SUM(G8057:G8057)</f>
        <v>50000</v>
      </c>
    </row>
    <row r="8059" spans="1:7" s="265" customFormat="1">
      <c r="A8059" s="294" t="s">
        <v>706</v>
      </c>
      <c r="B8059" s="1147" t="s">
        <v>707</v>
      </c>
      <c r="C8059" s="1147"/>
      <c r="D8059" s="1147"/>
      <c r="E8059" s="1147"/>
      <c r="F8059" s="1147"/>
      <c r="G8059" s="273">
        <f>G8049+G8055+G8058</f>
        <v>447044.04162063665</v>
      </c>
    </row>
    <row r="8060" spans="1:7" s="265" customFormat="1">
      <c r="A8060" s="294" t="s">
        <v>708</v>
      </c>
      <c r="B8060" s="1147" t="s">
        <v>709</v>
      </c>
      <c r="C8060" s="1147"/>
      <c r="D8060" s="1147"/>
      <c r="E8060" s="1147" t="s">
        <v>710</v>
      </c>
      <c r="F8060" s="1147"/>
      <c r="G8060" s="255">
        <f>G8059*0.15</f>
        <v>67056.606243095492</v>
      </c>
    </row>
    <row r="8061" spans="1:7" s="265" customFormat="1">
      <c r="A8061" s="294" t="s">
        <v>711</v>
      </c>
      <c r="B8061" s="1149" t="s">
        <v>712</v>
      </c>
      <c r="C8061" s="1149"/>
      <c r="D8061" s="1149"/>
      <c r="E8061" s="1149"/>
      <c r="F8061" s="1149"/>
      <c r="G8061" s="255">
        <f>ROUND(SUM(G8059:G8060),2)</f>
        <v>514100.65</v>
      </c>
    </row>
    <row r="8062" spans="1:7">
      <c r="A8062" s="252"/>
      <c r="B8062" s="251"/>
      <c r="C8062" s="252"/>
      <c r="D8062" s="252"/>
      <c r="E8062" s="374"/>
      <c r="F8062" s="361"/>
      <c r="G8062" s="272"/>
    </row>
    <row r="8063" spans="1:7">
      <c r="A8063" s="284" t="s">
        <v>3890</v>
      </c>
      <c r="B8063" s="250" t="s">
        <v>3891</v>
      </c>
      <c r="C8063" s="252"/>
      <c r="D8063" s="252"/>
      <c r="E8063" s="374"/>
      <c r="F8063" s="361"/>
      <c r="G8063" s="272"/>
    </row>
    <row r="8064" spans="1:7" s="292" customFormat="1" ht="24.95" customHeight="1">
      <c r="A8064" s="290" t="s">
        <v>1003</v>
      </c>
      <c r="B8064" s="290" t="s">
        <v>1004</v>
      </c>
      <c r="C8064" s="290" t="s">
        <v>1005</v>
      </c>
      <c r="D8064" s="290" t="s">
        <v>1006</v>
      </c>
      <c r="E8064" s="373" t="s">
        <v>1007</v>
      </c>
      <c r="F8064" s="363" t="s">
        <v>2637</v>
      </c>
      <c r="G8064" s="353" t="s">
        <v>2638</v>
      </c>
    </row>
    <row r="8065" spans="1:7">
      <c r="A8065" s="294" t="s">
        <v>671</v>
      </c>
      <c r="B8065" s="410" t="s">
        <v>672</v>
      </c>
      <c r="C8065" s="247"/>
      <c r="D8065" s="247"/>
      <c r="E8065" s="372"/>
      <c r="F8065" s="360"/>
      <c r="G8065" s="274"/>
    </row>
    <row r="8066" spans="1:7">
      <c r="A8066" s="294"/>
      <c r="B8066" s="410" t="s">
        <v>673</v>
      </c>
      <c r="C8066" s="247" t="s">
        <v>674</v>
      </c>
      <c r="D8066" s="247" t="s">
        <v>675</v>
      </c>
      <c r="E8066" s="372">
        <v>1.35</v>
      </c>
      <c r="F8066" s="360">
        <f>'UPAD-BAHAN-ALAT'!$I$12</f>
        <v>110000</v>
      </c>
      <c r="G8066" s="274">
        <f>F8066*E8066</f>
        <v>148500</v>
      </c>
    </row>
    <row r="8067" spans="1:7">
      <c r="A8067" s="294"/>
      <c r="B8067" s="410" t="s">
        <v>816</v>
      </c>
      <c r="C8067" s="247" t="s">
        <v>678</v>
      </c>
      <c r="D8067" s="247" t="s">
        <v>675</v>
      </c>
      <c r="E8067" s="372">
        <v>1.7999999999999999E-2</v>
      </c>
      <c r="F8067" s="360">
        <f>'UPAD-BAHAN-ALAT'!$I$13</f>
        <v>140000</v>
      </c>
      <c r="G8067" s="274">
        <f>F8067*E8067</f>
        <v>2520</v>
      </c>
    </row>
    <row r="8068" spans="1:7">
      <c r="A8068" s="294"/>
      <c r="B8068" s="410" t="s">
        <v>680</v>
      </c>
      <c r="C8068" s="247" t="s">
        <v>681</v>
      </c>
      <c r="D8068" s="247" t="s">
        <v>675</v>
      </c>
      <c r="E8068" s="372">
        <v>8.9999999999999993E-3</v>
      </c>
      <c r="F8068" s="360">
        <f>'UPAD-BAHAN-ALAT'!$I$15</f>
        <v>150000</v>
      </c>
      <c r="G8068" s="274">
        <f>F8068*E8068</f>
        <v>1350</v>
      </c>
    </row>
    <row r="8069" spans="1:7">
      <c r="A8069" s="294"/>
      <c r="B8069" s="410" t="s">
        <v>683</v>
      </c>
      <c r="C8069" s="247" t="s">
        <v>684</v>
      </c>
      <c r="D8069" s="247" t="s">
        <v>675</v>
      </c>
      <c r="E8069" s="372">
        <v>0.96750000000000003</v>
      </c>
      <c r="F8069" s="360">
        <f>'UPAD-BAHAN-ALAT'!$I$14</f>
        <v>140000</v>
      </c>
      <c r="G8069" s="274">
        <f>F8069*E8069</f>
        <v>135450</v>
      </c>
    </row>
    <row r="8070" spans="1:7">
      <c r="A8070" s="357"/>
      <c r="B8070" s="356"/>
      <c r="C8070" s="356"/>
      <c r="D8070" s="356"/>
      <c r="E8070" s="384" t="s">
        <v>685</v>
      </c>
      <c r="F8070" s="391"/>
      <c r="G8070" s="274">
        <f>SUM(G8066:G8069)</f>
        <v>287820</v>
      </c>
    </row>
    <row r="8071" spans="1:7">
      <c r="A8071" s="294" t="s">
        <v>686</v>
      </c>
      <c r="B8071" s="410" t="s">
        <v>687</v>
      </c>
      <c r="C8071" s="247"/>
      <c r="D8071" s="247"/>
      <c r="E8071" s="372"/>
      <c r="F8071" s="360"/>
      <c r="G8071" s="274"/>
    </row>
    <row r="8072" spans="1:7">
      <c r="A8072" s="294"/>
      <c r="B8072" s="410" t="s">
        <v>2937</v>
      </c>
      <c r="C8072" s="247"/>
      <c r="D8072" s="247" t="s">
        <v>773</v>
      </c>
      <c r="E8072" s="372">
        <v>4.5</v>
      </c>
      <c r="F8072" s="360">
        <f>'UPAD-BAHAN-ALAT'!$I$47</f>
        <v>11900</v>
      </c>
      <c r="G8072" s="274">
        <f>F8072*E8072</f>
        <v>53550</v>
      </c>
    </row>
    <row r="8073" spans="1:7">
      <c r="A8073" s="294"/>
      <c r="B8073" s="410" t="s">
        <v>3885</v>
      </c>
      <c r="C8073" s="247"/>
      <c r="D8073" s="247" t="s">
        <v>2939</v>
      </c>
      <c r="E8073" s="372">
        <v>0.6</v>
      </c>
      <c r="F8073" s="360">
        <f>'UPAD-BAHAN-ALAT'!$I$48</f>
        <v>10000</v>
      </c>
      <c r="G8073" s="274">
        <f>F8073*E8073</f>
        <v>6000</v>
      </c>
    </row>
    <row r="8074" spans="1:7">
      <c r="A8074" s="294"/>
      <c r="B8074" s="410" t="s">
        <v>831</v>
      </c>
      <c r="C8074" s="247"/>
      <c r="D8074" s="247" t="s">
        <v>2646</v>
      </c>
      <c r="E8074" s="372">
        <v>1.7999999999999999E-2</v>
      </c>
      <c r="F8074" s="360">
        <f>'UPAD-BAHAN-ALAT'!$I$71</f>
        <v>176000</v>
      </c>
      <c r="G8074" s="274">
        <f>F8074*E8074</f>
        <v>3167.9999999999995</v>
      </c>
    </row>
    <row r="8075" spans="1:7">
      <c r="A8075" s="294"/>
      <c r="B8075" s="410" t="s">
        <v>3679</v>
      </c>
      <c r="C8075" s="247"/>
      <c r="D8075" s="247" t="s">
        <v>2646</v>
      </c>
      <c r="E8075" s="372">
        <v>1.7999999999999999E-2</v>
      </c>
      <c r="F8075" s="360">
        <f>'UPAD-BAHAN-ALAT'!$I$56</f>
        <v>477000</v>
      </c>
      <c r="G8075" s="274">
        <f>F8075*E8075</f>
        <v>8586</v>
      </c>
    </row>
    <row r="8076" spans="1:7">
      <c r="A8076" s="294"/>
      <c r="B8076" s="410"/>
      <c r="C8076" s="247"/>
      <c r="D8076" s="247"/>
      <c r="E8076" s="1159" t="s">
        <v>702</v>
      </c>
      <c r="F8076" s="1160"/>
      <c r="G8076" s="274">
        <f>SUM(G8072:G8075)</f>
        <v>71304</v>
      </c>
    </row>
    <row r="8077" spans="1:7">
      <c r="A8077" s="294" t="s">
        <v>703</v>
      </c>
      <c r="B8077" s="410" t="s">
        <v>704</v>
      </c>
      <c r="C8077" s="247"/>
      <c r="D8077" s="247"/>
      <c r="E8077" s="372"/>
      <c r="F8077" s="360"/>
      <c r="G8077" s="274"/>
    </row>
    <row r="8078" spans="1:7">
      <c r="A8078" s="294"/>
      <c r="B8078" s="256" t="s">
        <v>3880</v>
      </c>
      <c r="C8078" s="247"/>
      <c r="D8078" s="257" t="s">
        <v>1665</v>
      </c>
      <c r="E8078" s="375">
        <f>2/8</f>
        <v>0.25</v>
      </c>
      <c r="F8078" s="360">
        <f>F8057</f>
        <v>200000</v>
      </c>
      <c r="G8078" s="274">
        <f>F8078*E8078</f>
        <v>50000</v>
      </c>
    </row>
    <row r="8079" spans="1:7">
      <c r="A8079" s="294"/>
      <c r="B8079" s="410"/>
      <c r="C8079" s="247"/>
      <c r="D8079" s="247"/>
      <c r="E8079" s="1159" t="s">
        <v>705</v>
      </c>
      <c r="F8079" s="1160"/>
      <c r="G8079" s="274">
        <f>SUM(G8078:G8078)</f>
        <v>50000</v>
      </c>
    </row>
    <row r="8080" spans="1:7">
      <c r="A8080" s="294" t="s">
        <v>706</v>
      </c>
      <c r="B8080" s="1147" t="s">
        <v>707</v>
      </c>
      <c r="C8080" s="1147"/>
      <c r="D8080" s="1147"/>
      <c r="E8080" s="1147"/>
      <c r="F8080" s="1147"/>
      <c r="G8080" s="273">
        <f>G8070+G8076+G8079</f>
        <v>409124</v>
      </c>
    </row>
    <row r="8081" spans="1:7">
      <c r="A8081" s="294" t="s">
        <v>708</v>
      </c>
      <c r="B8081" s="1147" t="s">
        <v>709</v>
      </c>
      <c r="C8081" s="1147"/>
      <c r="D8081" s="1147"/>
      <c r="E8081" s="1147" t="s">
        <v>710</v>
      </c>
      <c r="F8081" s="1147"/>
      <c r="G8081" s="255">
        <f>G8080*0.15</f>
        <v>61368.6</v>
      </c>
    </row>
    <row r="8082" spans="1:7">
      <c r="A8082" s="294" t="s">
        <v>711</v>
      </c>
      <c r="B8082" s="1149" t="s">
        <v>712</v>
      </c>
      <c r="C8082" s="1149"/>
      <c r="D8082" s="1149"/>
      <c r="E8082" s="1149"/>
      <c r="F8082" s="1149"/>
      <c r="G8082" s="255">
        <f>ROUND(SUM(G8080:G8081),2)</f>
        <v>470492.6</v>
      </c>
    </row>
    <row r="8083" spans="1:7">
      <c r="A8083" s="252"/>
      <c r="B8083" s="251"/>
      <c r="C8083" s="252"/>
      <c r="D8083" s="252"/>
      <c r="E8083" s="374"/>
      <c r="F8083" s="361"/>
      <c r="G8083" s="272"/>
    </row>
    <row r="8084" spans="1:7">
      <c r="A8084" s="284" t="s">
        <v>3892</v>
      </c>
      <c r="B8084" s="250" t="s">
        <v>3893</v>
      </c>
      <c r="C8084" s="252"/>
      <c r="D8084" s="252"/>
      <c r="E8084" s="374"/>
      <c r="F8084" s="361"/>
      <c r="G8084" s="272"/>
    </row>
    <row r="8085" spans="1:7" s="292" customFormat="1" ht="24.95" customHeight="1">
      <c r="A8085" s="290" t="s">
        <v>1003</v>
      </c>
      <c r="B8085" s="290" t="s">
        <v>1004</v>
      </c>
      <c r="C8085" s="290" t="s">
        <v>1005</v>
      </c>
      <c r="D8085" s="290" t="s">
        <v>1006</v>
      </c>
      <c r="E8085" s="373" t="s">
        <v>1007</v>
      </c>
      <c r="F8085" s="363" t="s">
        <v>2637</v>
      </c>
      <c r="G8085" s="353" t="s">
        <v>2638</v>
      </c>
    </row>
    <row r="8086" spans="1:7">
      <c r="A8086" s="294" t="s">
        <v>671</v>
      </c>
      <c r="B8086" s="410" t="s">
        <v>672</v>
      </c>
      <c r="C8086" s="247"/>
      <c r="D8086" s="247"/>
      <c r="E8086" s="372"/>
      <c r="F8086" s="360"/>
      <c r="G8086" s="274"/>
    </row>
    <row r="8087" spans="1:7">
      <c r="A8087" s="294"/>
      <c r="B8087" s="410" t="s">
        <v>673</v>
      </c>
      <c r="C8087" s="247" t="s">
        <v>674</v>
      </c>
      <c r="D8087" s="247" t="s">
        <v>675</v>
      </c>
      <c r="E8087" s="372">
        <v>0.92800000000000016</v>
      </c>
      <c r="F8087" s="360">
        <f>'UPAD-BAHAN-ALAT'!$I$12</f>
        <v>110000</v>
      </c>
      <c r="G8087" s="274">
        <f>F8087*E8087</f>
        <v>102080.00000000001</v>
      </c>
    </row>
    <row r="8088" spans="1:7">
      <c r="A8088" s="294"/>
      <c r="B8088" s="410" t="s">
        <v>816</v>
      </c>
      <c r="C8088" s="247" t="s">
        <v>678</v>
      </c>
      <c r="D8088" s="247" t="s">
        <v>675</v>
      </c>
      <c r="E8088" s="372">
        <v>8.8000000000000023E-2</v>
      </c>
      <c r="F8088" s="360">
        <f>'UPAD-BAHAN-ALAT'!$I$13</f>
        <v>140000</v>
      </c>
      <c r="G8088" s="274">
        <f>F8088*E8088</f>
        <v>12320.000000000004</v>
      </c>
    </row>
    <row r="8089" spans="1:7">
      <c r="A8089" s="294"/>
      <c r="B8089" s="410" t="s">
        <v>680</v>
      </c>
      <c r="C8089" s="247" t="s">
        <v>681</v>
      </c>
      <c r="D8089" s="247" t="s">
        <v>675</v>
      </c>
      <c r="E8089" s="372">
        <v>8.9999999999999993E-3</v>
      </c>
      <c r="F8089" s="360">
        <f>'UPAD-BAHAN-ALAT'!$I$15</f>
        <v>150000</v>
      </c>
      <c r="G8089" s="274">
        <f>F8089*E8089</f>
        <v>1350</v>
      </c>
    </row>
    <row r="8090" spans="1:7">
      <c r="A8090" s="294"/>
      <c r="B8090" s="410" t="s">
        <v>683</v>
      </c>
      <c r="C8090" s="247" t="s">
        <v>684</v>
      </c>
      <c r="D8090" s="247" t="s">
        <v>675</v>
      </c>
      <c r="E8090" s="372">
        <v>5.0599999999999999E-2</v>
      </c>
      <c r="F8090" s="360">
        <f>'UPAD-BAHAN-ALAT'!$I$14</f>
        <v>140000</v>
      </c>
      <c r="G8090" s="274">
        <f>F8090*E8090</f>
        <v>7084</v>
      </c>
    </row>
    <row r="8091" spans="1:7">
      <c r="A8091" s="357"/>
      <c r="B8091" s="356"/>
      <c r="C8091" s="356"/>
      <c r="D8091" s="356"/>
      <c r="E8091" s="384" t="s">
        <v>685</v>
      </c>
      <c r="F8091" s="391"/>
      <c r="G8091" s="274">
        <f>SUM(G8087:G8090)</f>
        <v>122834.00000000001</v>
      </c>
    </row>
    <row r="8092" spans="1:7">
      <c r="A8092" s="294" t="s">
        <v>686</v>
      </c>
      <c r="B8092" s="410" t="s">
        <v>687</v>
      </c>
      <c r="C8092" s="247"/>
      <c r="D8092" s="247"/>
      <c r="E8092" s="372"/>
      <c r="F8092" s="360"/>
      <c r="G8092" s="274"/>
    </row>
    <row r="8093" spans="1:7">
      <c r="A8093" s="294"/>
      <c r="B8093" s="410" t="s">
        <v>842</v>
      </c>
      <c r="C8093" s="247"/>
      <c r="D8093" s="247" t="s">
        <v>701</v>
      </c>
      <c r="E8093" s="372">
        <f>8.6*4</f>
        <v>34.4</v>
      </c>
      <c r="F8093" s="360">
        <f>'UPAD-BAHAN-ALAT'!$I$46</f>
        <v>35</v>
      </c>
      <c r="G8093" s="274">
        <f>F8093*E8093</f>
        <v>1204</v>
      </c>
    </row>
    <row r="8094" spans="1:7">
      <c r="A8094" s="294"/>
      <c r="B8094" s="410"/>
      <c r="C8094" s="247"/>
      <c r="D8094" s="247"/>
      <c r="E8094" s="1159" t="s">
        <v>702</v>
      </c>
      <c r="F8094" s="1160"/>
      <c r="G8094" s="274">
        <f>SUM(G8093)</f>
        <v>1204</v>
      </c>
    </row>
    <row r="8095" spans="1:7">
      <c r="A8095" s="294" t="s">
        <v>703</v>
      </c>
      <c r="B8095" s="410" t="s">
        <v>704</v>
      </c>
      <c r="C8095" s="247"/>
      <c r="D8095" s="247"/>
      <c r="E8095" s="372"/>
      <c r="F8095" s="360"/>
      <c r="G8095" s="274"/>
    </row>
    <row r="8096" spans="1:7">
      <c r="A8096" s="294"/>
      <c r="B8096" s="256" t="s">
        <v>3655</v>
      </c>
      <c r="C8096" s="247"/>
      <c r="D8096" s="257" t="s">
        <v>3659</v>
      </c>
      <c r="E8096" s="375">
        <v>1</v>
      </c>
      <c r="F8096" s="360">
        <v>75000</v>
      </c>
      <c r="G8096" s="274">
        <f>F8096*E8096</f>
        <v>75000</v>
      </c>
    </row>
    <row r="8097" spans="1:7">
      <c r="A8097" s="294"/>
      <c r="B8097" s="410"/>
      <c r="C8097" s="247"/>
      <c r="D8097" s="247"/>
      <c r="E8097" s="1159" t="s">
        <v>705</v>
      </c>
      <c r="F8097" s="1160"/>
      <c r="G8097" s="274">
        <f>SUM(G8096:G8096)</f>
        <v>75000</v>
      </c>
    </row>
    <row r="8098" spans="1:7">
      <c r="A8098" s="294" t="s">
        <v>706</v>
      </c>
      <c r="B8098" s="1147" t="s">
        <v>707</v>
      </c>
      <c r="C8098" s="1147"/>
      <c r="D8098" s="1147"/>
      <c r="E8098" s="1147"/>
      <c r="F8098" s="1147"/>
      <c r="G8098" s="273">
        <f>G8091+G8094+G8097</f>
        <v>199038</v>
      </c>
    </row>
    <row r="8099" spans="1:7">
      <c r="A8099" s="294" t="s">
        <v>708</v>
      </c>
      <c r="B8099" s="1147" t="s">
        <v>709</v>
      </c>
      <c r="C8099" s="1147"/>
      <c r="D8099" s="1147"/>
      <c r="E8099" s="1147" t="s">
        <v>710</v>
      </c>
      <c r="F8099" s="1147"/>
      <c r="G8099" s="255">
        <f>G8098*0.15</f>
        <v>29855.699999999997</v>
      </c>
    </row>
    <row r="8100" spans="1:7">
      <c r="A8100" s="294" t="s">
        <v>711</v>
      </c>
      <c r="B8100" s="1149" t="s">
        <v>712</v>
      </c>
      <c r="C8100" s="1149"/>
      <c r="D8100" s="1149"/>
      <c r="E8100" s="1149"/>
      <c r="F8100" s="1149"/>
      <c r="G8100" s="255">
        <f>ROUND(SUM(G8098:G8099),2)</f>
        <v>228893.7</v>
      </c>
    </row>
    <row r="8101" spans="1:7">
      <c r="A8101" s="252"/>
      <c r="B8101" s="251"/>
      <c r="C8101" s="252"/>
      <c r="D8101" s="252"/>
      <c r="E8101" s="374"/>
      <c r="F8101" s="361"/>
      <c r="G8101" s="272"/>
    </row>
    <row r="8102" spans="1:7">
      <c r="A8102" s="284" t="s">
        <v>3894</v>
      </c>
      <c r="B8102" s="250" t="s">
        <v>3895</v>
      </c>
      <c r="C8102" s="252"/>
      <c r="D8102" s="252"/>
      <c r="E8102" s="374"/>
      <c r="F8102" s="361"/>
      <c r="G8102" s="272"/>
    </row>
    <row r="8103" spans="1:7" s="292" customFormat="1" ht="24.95" customHeight="1">
      <c r="A8103" s="290" t="s">
        <v>1003</v>
      </c>
      <c r="B8103" s="290" t="s">
        <v>1004</v>
      </c>
      <c r="C8103" s="290" t="s">
        <v>1005</v>
      </c>
      <c r="D8103" s="290" t="s">
        <v>1006</v>
      </c>
      <c r="E8103" s="373" t="s">
        <v>1007</v>
      </c>
      <c r="F8103" s="363" t="s">
        <v>2637</v>
      </c>
      <c r="G8103" s="353" t="s">
        <v>2638</v>
      </c>
    </row>
    <row r="8104" spans="1:7">
      <c r="A8104" s="294" t="s">
        <v>671</v>
      </c>
      <c r="B8104" s="410" t="s">
        <v>672</v>
      </c>
      <c r="C8104" s="247"/>
      <c r="D8104" s="247"/>
      <c r="E8104" s="372"/>
      <c r="F8104" s="360"/>
      <c r="G8104" s="274"/>
    </row>
    <row r="8105" spans="1:7">
      <c r="A8105" s="294"/>
      <c r="B8105" s="410" t="s">
        <v>673</v>
      </c>
      <c r="C8105" s="247" t="s">
        <v>674</v>
      </c>
      <c r="D8105" s="247" t="s">
        <v>675</v>
      </c>
      <c r="E8105" s="372">
        <v>0.92800000000000016</v>
      </c>
      <c r="F8105" s="360">
        <f>'UPAD-BAHAN-ALAT'!$I$12</f>
        <v>110000</v>
      </c>
      <c r="G8105" s="274">
        <f>F8105*E8105</f>
        <v>102080.00000000001</v>
      </c>
    </row>
    <row r="8106" spans="1:7">
      <c r="A8106" s="294"/>
      <c r="B8106" s="410" t="s">
        <v>816</v>
      </c>
      <c r="C8106" s="247" t="s">
        <v>678</v>
      </c>
      <c r="D8106" s="247" t="s">
        <v>675</v>
      </c>
      <c r="E8106" s="372">
        <v>8.8000000000000023E-2</v>
      </c>
      <c r="F8106" s="360">
        <f>'UPAD-BAHAN-ALAT'!$I$13</f>
        <v>140000</v>
      </c>
      <c r="G8106" s="274">
        <f>F8106*E8106</f>
        <v>12320.000000000004</v>
      </c>
    </row>
    <row r="8107" spans="1:7">
      <c r="A8107" s="294"/>
      <c r="B8107" s="410" t="s">
        <v>680</v>
      </c>
      <c r="C8107" s="247" t="s">
        <v>681</v>
      </c>
      <c r="D8107" s="247" t="s">
        <v>675</v>
      </c>
      <c r="E8107" s="372">
        <v>8.9999999999999993E-3</v>
      </c>
      <c r="F8107" s="360">
        <f>'UPAD-BAHAN-ALAT'!$I$15</f>
        <v>150000</v>
      </c>
      <c r="G8107" s="274">
        <f>F8107*E8107</f>
        <v>1350</v>
      </c>
    </row>
    <row r="8108" spans="1:7">
      <c r="A8108" s="294"/>
      <c r="B8108" s="410" t="s">
        <v>683</v>
      </c>
      <c r="C8108" s="247" t="s">
        <v>684</v>
      </c>
      <c r="D8108" s="247" t="s">
        <v>675</v>
      </c>
      <c r="E8108" s="372">
        <v>5.0560000000000022E-2</v>
      </c>
      <c r="F8108" s="360">
        <f>'UPAD-BAHAN-ALAT'!$I$14</f>
        <v>140000</v>
      </c>
      <c r="G8108" s="274">
        <f>F8108*E8108</f>
        <v>7078.4000000000033</v>
      </c>
    </row>
    <row r="8109" spans="1:7">
      <c r="A8109" s="357"/>
      <c r="B8109" s="356"/>
      <c r="C8109" s="356"/>
      <c r="D8109" s="356"/>
      <c r="E8109" s="384" t="s">
        <v>685</v>
      </c>
      <c r="F8109" s="391"/>
      <c r="G8109" s="274">
        <f>SUM(G8105:G8108)</f>
        <v>122828.40000000002</v>
      </c>
    </row>
    <row r="8110" spans="1:7">
      <c r="A8110" s="294" t="s">
        <v>686</v>
      </c>
      <c r="B8110" s="410" t="s">
        <v>687</v>
      </c>
      <c r="C8110" s="247"/>
      <c r="D8110" s="247"/>
      <c r="E8110" s="372"/>
      <c r="F8110" s="360"/>
      <c r="G8110" s="274"/>
    </row>
    <row r="8111" spans="1:7">
      <c r="A8111" s="294"/>
      <c r="B8111" s="410" t="s">
        <v>842</v>
      </c>
      <c r="C8111" s="247"/>
      <c r="D8111" s="247" t="s">
        <v>701</v>
      </c>
      <c r="E8111" s="372">
        <f>8.6*4</f>
        <v>34.4</v>
      </c>
      <c r="F8111" s="360">
        <f>'UPAD-BAHAN-ALAT'!$I$46</f>
        <v>35</v>
      </c>
      <c r="G8111" s="274">
        <f>F8111*E8111</f>
        <v>1204</v>
      </c>
    </row>
    <row r="8112" spans="1:7">
      <c r="A8112" s="294"/>
      <c r="B8112" s="410"/>
      <c r="C8112" s="247"/>
      <c r="D8112" s="247"/>
      <c r="E8112" s="384" t="s">
        <v>702</v>
      </c>
      <c r="F8112" s="391"/>
      <c r="G8112" s="274">
        <f>SUM(G8111)</f>
        <v>1204</v>
      </c>
    </row>
    <row r="8113" spans="1:7">
      <c r="A8113" s="294" t="s">
        <v>703</v>
      </c>
      <c r="B8113" s="410" t="s">
        <v>704</v>
      </c>
      <c r="C8113" s="247"/>
      <c r="D8113" s="247"/>
      <c r="E8113" s="372"/>
      <c r="F8113" s="360"/>
      <c r="G8113" s="274"/>
    </row>
    <row r="8114" spans="1:7">
      <c r="A8114" s="294"/>
      <c r="B8114" s="256" t="s">
        <v>3655</v>
      </c>
      <c r="C8114" s="247"/>
      <c r="D8114" s="257" t="s">
        <v>3659</v>
      </c>
      <c r="E8114" s="375">
        <v>1</v>
      </c>
      <c r="F8114" s="360">
        <v>75000</v>
      </c>
      <c r="G8114" s="274">
        <f>F8114*E8114</f>
        <v>75000</v>
      </c>
    </row>
    <row r="8115" spans="1:7">
      <c r="A8115" s="294"/>
      <c r="B8115" s="410"/>
      <c r="C8115" s="247"/>
      <c r="D8115" s="247"/>
      <c r="E8115" s="1159" t="s">
        <v>705</v>
      </c>
      <c r="F8115" s="1160"/>
      <c r="G8115" s="274">
        <f>SUM(G8114:G8114)</f>
        <v>75000</v>
      </c>
    </row>
    <row r="8116" spans="1:7">
      <c r="A8116" s="294" t="s">
        <v>706</v>
      </c>
      <c r="B8116" s="1147" t="s">
        <v>707</v>
      </c>
      <c r="C8116" s="1147"/>
      <c r="D8116" s="1147"/>
      <c r="E8116" s="1147"/>
      <c r="F8116" s="1147"/>
      <c r="G8116" s="273">
        <f>G8109+G8112+G8115</f>
        <v>199032.40000000002</v>
      </c>
    </row>
    <row r="8117" spans="1:7">
      <c r="A8117" s="294" t="s">
        <v>708</v>
      </c>
      <c r="B8117" s="1147" t="s">
        <v>709</v>
      </c>
      <c r="C8117" s="1147"/>
      <c r="D8117" s="1147"/>
      <c r="E8117" s="1147" t="s">
        <v>710</v>
      </c>
      <c r="F8117" s="1147"/>
      <c r="G8117" s="255">
        <f>G8116*0.15</f>
        <v>29854.86</v>
      </c>
    </row>
    <row r="8118" spans="1:7">
      <c r="A8118" s="294" t="s">
        <v>711</v>
      </c>
      <c r="B8118" s="1149" t="s">
        <v>712</v>
      </c>
      <c r="C8118" s="1149"/>
      <c r="D8118" s="1149"/>
      <c r="E8118" s="1149"/>
      <c r="F8118" s="1149"/>
      <c r="G8118" s="255">
        <f>ROUND(SUM(G8116:G8117),2)</f>
        <v>228887.26</v>
      </c>
    </row>
    <row r="8119" spans="1:7">
      <c r="A8119" s="252"/>
      <c r="B8119" s="251"/>
      <c r="C8119" s="252"/>
      <c r="D8119" s="252"/>
      <c r="E8119" s="374"/>
      <c r="F8119" s="361"/>
      <c r="G8119" s="272"/>
    </row>
    <row r="8120" spans="1:7">
      <c r="A8120" s="284" t="s">
        <v>3896</v>
      </c>
      <c r="B8120" s="250" t="s">
        <v>3897</v>
      </c>
      <c r="C8120" s="252"/>
      <c r="D8120" s="252"/>
      <c r="E8120" s="374"/>
      <c r="F8120" s="361"/>
      <c r="G8120" s="272"/>
    </row>
    <row r="8121" spans="1:7" s="292" customFormat="1" ht="24.95" customHeight="1">
      <c r="A8121" s="290" t="s">
        <v>1003</v>
      </c>
      <c r="B8121" s="290" t="s">
        <v>1004</v>
      </c>
      <c r="C8121" s="290" t="s">
        <v>1005</v>
      </c>
      <c r="D8121" s="290" t="s">
        <v>1006</v>
      </c>
      <c r="E8121" s="373" t="s">
        <v>1007</v>
      </c>
      <c r="F8121" s="363" t="s">
        <v>2637</v>
      </c>
      <c r="G8121" s="353" t="s">
        <v>2638</v>
      </c>
    </row>
    <row r="8122" spans="1:7">
      <c r="A8122" s="294" t="s">
        <v>671</v>
      </c>
      <c r="B8122" s="410" t="s">
        <v>672</v>
      </c>
      <c r="C8122" s="247"/>
      <c r="D8122" s="247"/>
      <c r="E8122" s="372"/>
      <c r="F8122" s="360"/>
      <c r="G8122" s="274"/>
    </row>
    <row r="8123" spans="1:7">
      <c r="A8123" s="294"/>
      <c r="B8123" s="410" t="s">
        <v>673</v>
      </c>
      <c r="C8123" s="247" t="s">
        <v>674</v>
      </c>
      <c r="D8123" s="247" t="s">
        <v>675</v>
      </c>
      <c r="E8123" s="372">
        <f>0.928*2</f>
        <v>1.8560000000000001</v>
      </c>
      <c r="F8123" s="360">
        <f>'UPAD-BAHAN-ALAT'!$I$12</f>
        <v>110000</v>
      </c>
      <c r="G8123" s="274">
        <f>F8123*E8123</f>
        <v>204160</v>
      </c>
    </row>
    <row r="8124" spans="1:7">
      <c r="A8124" s="294"/>
      <c r="B8124" s="410" t="s">
        <v>816</v>
      </c>
      <c r="C8124" s="247" t="s">
        <v>678</v>
      </c>
      <c r="D8124" s="247" t="s">
        <v>675</v>
      </c>
      <c r="E8124" s="372">
        <f>0.088*2</f>
        <v>0.17599999999999999</v>
      </c>
      <c r="F8124" s="360">
        <f>'UPAD-BAHAN-ALAT'!$I$13</f>
        <v>140000</v>
      </c>
      <c r="G8124" s="274">
        <f>F8124*E8124</f>
        <v>24640</v>
      </c>
    </row>
    <row r="8125" spans="1:7">
      <c r="A8125" s="294"/>
      <c r="B8125" s="410" t="s">
        <v>680</v>
      </c>
      <c r="C8125" s="247" t="s">
        <v>681</v>
      </c>
      <c r="D8125" s="247" t="s">
        <v>675</v>
      </c>
      <c r="E8125" s="372">
        <v>1.7899999999999999E-2</v>
      </c>
      <c r="F8125" s="360">
        <f>'UPAD-BAHAN-ALAT'!$I$15</f>
        <v>150000</v>
      </c>
      <c r="G8125" s="274">
        <f>F8125*E8125</f>
        <v>2685</v>
      </c>
    </row>
    <row r="8126" spans="1:7">
      <c r="A8126" s="294"/>
      <c r="B8126" s="410" t="s">
        <v>683</v>
      </c>
      <c r="C8126" s="247" t="s">
        <v>684</v>
      </c>
      <c r="D8126" s="247" t="s">
        <v>675</v>
      </c>
      <c r="E8126" s="372">
        <f>0.05056*2</f>
        <v>0.10112</v>
      </c>
      <c r="F8126" s="360">
        <f>'UPAD-BAHAN-ALAT'!$I$14</f>
        <v>140000</v>
      </c>
      <c r="G8126" s="274">
        <f>F8126*E8126</f>
        <v>14156.800000000001</v>
      </c>
    </row>
    <row r="8127" spans="1:7">
      <c r="A8127" s="357"/>
      <c r="B8127" s="356"/>
      <c r="C8127" s="356"/>
      <c r="D8127" s="356"/>
      <c r="E8127" s="384" t="s">
        <v>685</v>
      </c>
      <c r="F8127" s="391"/>
      <c r="G8127" s="274">
        <f>SUM(G8123:G8126)</f>
        <v>245641.8</v>
      </c>
    </row>
    <row r="8128" spans="1:7">
      <c r="A8128" s="294" t="s">
        <v>686</v>
      </c>
      <c r="B8128" s="410" t="s">
        <v>687</v>
      </c>
      <c r="C8128" s="247"/>
      <c r="D8128" s="247"/>
      <c r="E8128" s="372"/>
      <c r="F8128" s="360"/>
      <c r="G8128" s="274"/>
    </row>
    <row r="8129" spans="1:7">
      <c r="A8129" s="294"/>
      <c r="B8129" s="410" t="s">
        <v>842</v>
      </c>
      <c r="C8129" s="247"/>
      <c r="D8129" s="247" t="s">
        <v>701</v>
      </c>
      <c r="E8129" s="372">
        <f>8.6*5</f>
        <v>43</v>
      </c>
      <c r="F8129" s="360">
        <f>'UPAD-BAHAN-ALAT'!$I$46</f>
        <v>35</v>
      </c>
      <c r="G8129" s="274">
        <f>F8129*E8129</f>
        <v>1505</v>
      </c>
    </row>
    <row r="8130" spans="1:7">
      <c r="A8130" s="294"/>
      <c r="B8130" s="410"/>
      <c r="C8130" s="247"/>
      <c r="D8130" s="247"/>
      <c r="E8130" s="1159" t="s">
        <v>702</v>
      </c>
      <c r="F8130" s="1160"/>
      <c r="G8130" s="274">
        <f>SUM(G8129)</f>
        <v>1505</v>
      </c>
    </row>
    <row r="8131" spans="1:7">
      <c r="A8131" s="294" t="s">
        <v>703</v>
      </c>
      <c r="B8131" s="410" t="s">
        <v>704</v>
      </c>
      <c r="C8131" s="247"/>
      <c r="D8131" s="247"/>
      <c r="E8131" s="372"/>
      <c r="F8131" s="360"/>
      <c r="G8131" s="274"/>
    </row>
    <row r="8132" spans="1:7">
      <c r="A8132" s="247"/>
      <c r="B8132" s="256" t="s">
        <v>3655</v>
      </c>
      <c r="C8132" s="247"/>
      <c r="D8132" s="257" t="s">
        <v>3659</v>
      </c>
      <c r="E8132" s="375">
        <v>1</v>
      </c>
      <c r="F8132" s="360">
        <v>75000</v>
      </c>
      <c r="G8132" s="274">
        <f>F8132*E8132</f>
        <v>75000</v>
      </c>
    </row>
    <row r="8133" spans="1:7">
      <c r="A8133" s="247"/>
      <c r="B8133" s="410"/>
      <c r="C8133" s="247"/>
      <c r="D8133" s="247"/>
      <c r="E8133" s="1159" t="s">
        <v>705</v>
      </c>
      <c r="F8133" s="1160"/>
      <c r="G8133" s="274">
        <f>SUM(G8132:G8132)</f>
        <v>75000</v>
      </c>
    </row>
    <row r="8134" spans="1:7">
      <c r="A8134" s="294" t="s">
        <v>706</v>
      </c>
      <c r="B8134" s="1147" t="s">
        <v>707</v>
      </c>
      <c r="C8134" s="1147"/>
      <c r="D8134" s="1147"/>
      <c r="E8134" s="1147"/>
      <c r="F8134" s="1147"/>
      <c r="G8134" s="273">
        <f>G8127+G8130+G8133</f>
        <v>322146.8</v>
      </c>
    </row>
    <row r="8135" spans="1:7">
      <c r="A8135" s="294" t="s">
        <v>708</v>
      </c>
      <c r="B8135" s="1147" t="s">
        <v>709</v>
      </c>
      <c r="C8135" s="1147"/>
      <c r="D8135" s="1147"/>
      <c r="E8135" s="1147" t="s">
        <v>710</v>
      </c>
      <c r="F8135" s="1147"/>
      <c r="G8135" s="255">
        <f>G8134*0.15</f>
        <v>48322.02</v>
      </c>
    </row>
    <row r="8136" spans="1:7">
      <c r="A8136" s="294" t="s">
        <v>711</v>
      </c>
      <c r="B8136" s="1149" t="s">
        <v>712</v>
      </c>
      <c r="C8136" s="1149"/>
      <c r="D8136" s="1149"/>
      <c r="E8136" s="1149"/>
      <c r="F8136" s="1149"/>
      <c r="G8136" s="255">
        <f>ROUND(SUM(G8134:G8135),2)</f>
        <v>370468.82</v>
      </c>
    </row>
    <row r="8137" spans="1:7">
      <c r="A8137" s="252"/>
      <c r="B8137" s="251"/>
      <c r="C8137" s="252"/>
      <c r="D8137" s="252"/>
      <c r="E8137" s="374"/>
      <c r="F8137" s="361"/>
      <c r="G8137" s="272"/>
    </row>
    <row r="8138" spans="1:7">
      <c r="A8138" s="284" t="s">
        <v>2706</v>
      </c>
      <c r="B8138" s="250" t="s">
        <v>3898</v>
      </c>
      <c r="C8138" s="252"/>
      <c r="D8138" s="252"/>
      <c r="E8138" s="374"/>
      <c r="F8138" s="361"/>
      <c r="G8138" s="272"/>
    </row>
    <row r="8139" spans="1:7" s="292" customFormat="1" ht="24.95" customHeight="1">
      <c r="A8139" s="290" t="s">
        <v>1003</v>
      </c>
      <c r="B8139" s="290" t="s">
        <v>1004</v>
      </c>
      <c r="C8139" s="290" t="s">
        <v>1005</v>
      </c>
      <c r="D8139" s="290" t="s">
        <v>1006</v>
      </c>
      <c r="E8139" s="373" t="s">
        <v>1007</v>
      </c>
      <c r="F8139" s="363" t="s">
        <v>2637</v>
      </c>
      <c r="G8139" s="353" t="s">
        <v>2638</v>
      </c>
    </row>
    <row r="8140" spans="1:7">
      <c r="A8140" s="294" t="s">
        <v>671</v>
      </c>
      <c r="B8140" s="410" t="s">
        <v>672</v>
      </c>
      <c r="C8140" s="247"/>
      <c r="D8140" s="247"/>
      <c r="E8140" s="372"/>
      <c r="F8140" s="360"/>
      <c r="G8140" s="274"/>
    </row>
    <row r="8141" spans="1:7">
      <c r="A8141" s="294"/>
      <c r="B8141" s="410" t="s">
        <v>673</v>
      </c>
      <c r="C8141" s="247" t="s">
        <v>674</v>
      </c>
      <c r="D8141" s="247" t="s">
        <v>675</v>
      </c>
      <c r="E8141" s="372">
        <v>1.8560000000000001</v>
      </c>
      <c r="F8141" s="360">
        <f>'UPAD-BAHAN-ALAT'!$I$12</f>
        <v>110000</v>
      </c>
      <c r="G8141" s="274">
        <f>F8141*E8141</f>
        <v>204160</v>
      </c>
    </row>
    <row r="8142" spans="1:7">
      <c r="A8142" s="294"/>
      <c r="B8142" s="410" t="s">
        <v>816</v>
      </c>
      <c r="C8142" s="247" t="s">
        <v>678</v>
      </c>
      <c r="D8142" s="247" t="s">
        <v>675</v>
      </c>
      <c r="E8142" s="372">
        <v>0.17599999999999999</v>
      </c>
      <c r="F8142" s="360">
        <f>'UPAD-BAHAN-ALAT'!$I$13</f>
        <v>140000</v>
      </c>
      <c r="G8142" s="274">
        <f>F8142*E8142</f>
        <v>24640</v>
      </c>
    </row>
    <row r="8143" spans="1:7">
      <c r="A8143" s="294"/>
      <c r="B8143" s="410" t="s">
        <v>680</v>
      </c>
      <c r="C8143" s="247" t="s">
        <v>681</v>
      </c>
      <c r="D8143" s="247" t="s">
        <v>675</v>
      </c>
      <c r="E8143" s="372">
        <v>1.7899999999999999E-2</v>
      </c>
      <c r="F8143" s="360">
        <f>'UPAD-BAHAN-ALAT'!$I$15</f>
        <v>150000</v>
      </c>
      <c r="G8143" s="274">
        <f>F8143*E8143</f>
        <v>2685</v>
      </c>
    </row>
    <row r="8144" spans="1:7">
      <c r="A8144" s="294"/>
      <c r="B8144" s="410" t="s">
        <v>683</v>
      </c>
      <c r="C8144" s="247" t="s">
        <v>684</v>
      </c>
      <c r="D8144" s="247" t="s">
        <v>675</v>
      </c>
      <c r="E8144" s="372">
        <v>0.1011</v>
      </c>
      <c r="F8144" s="360">
        <f>'UPAD-BAHAN-ALAT'!$I$14</f>
        <v>140000</v>
      </c>
      <c r="G8144" s="274">
        <f>F8144*E8144</f>
        <v>14154</v>
      </c>
    </row>
    <row r="8145" spans="1:7">
      <c r="A8145" s="357"/>
      <c r="B8145" s="356"/>
      <c r="C8145" s="356"/>
      <c r="D8145" s="356"/>
      <c r="E8145" s="384" t="s">
        <v>685</v>
      </c>
      <c r="F8145" s="391"/>
      <c r="G8145" s="274">
        <f>SUM(G8141:G8144)</f>
        <v>245639</v>
      </c>
    </row>
    <row r="8146" spans="1:7">
      <c r="A8146" s="294" t="s">
        <v>686</v>
      </c>
      <c r="B8146" s="410" t="s">
        <v>687</v>
      </c>
      <c r="C8146" s="247"/>
      <c r="D8146" s="247"/>
      <c r="E8146" s="372"/>
      <c r="F8146" s="360"/>
      <c r="G8146" s="274"/>
    </row>
    <row r="8147" spans="1:7">
      <c r="A8147" s="294"/>
      <c r="B8147" s="410" t="s">
        <v>842</v>
      </c>
      <c r="C8147" s="247"/>
      <c r="D8147" s="247" t="s">
        <v>701</v>
      </c>
      <c r="E8147" s="372">
        <f>8.6*5</f>
        <v>43</v>
      </c>
      <c r="F8147" s="360">
        <f>'UPAD-BAHAN-ALAT'!$I$46</f>
        <v>35</v>
      </c>
      <c r="G8147" s="274">
        <f>F8147*E8147</f>
        <v>1505</v>
      </c>
    </row>
    <row r="8148" spans="1:7">
      <c r="A8148" s="294"/>
      <c r="B8148" s="410"/>
      <c r="C8148" s="247"/>
      <c r="D8148" s="247"/>
      <c r="E8148" s="384" t="s">
        <v>702</v>
      </c>
      <c r="F8148" s="391"/>
      <c r="G8148" s="274">
        <f>SUM(G8147)</f>
        <v>1505</v>
      </c>
    </row>
    <row r="8149" spans="1:7">
      <c r="A8149" s="294" t="s">
        <v>703</v>
      </c>
      <c r="B8149" s="410" t="s">
        <v>704</v>
      </c>
      <c r="C8149" s="247"/>
      <c r="D8149" s="247"/>
      <c r="E8149" s="372"/>
      <c r="F8149" s="360"/>
      <c r="G8149" s="274"/>
    </row>
    <row r="8150" spans="1:7">
      <c r="A8150" s="294"/>
      <c r="B8150" s="256" t="s">
        <v>3655</v>
      </c>
      <c r="C8150" s="247"/>
      <c r="D8150" s="257" t="s">
        <v>3659</v>
      </c>
      <c r="E8150" s="375">
        <v>1</v>
      </c>
      <c r="F8150" s="360">
        <v>100000</v>
      </c>
      <c r="G8150" s="274">
        <f>F8150*E8150</f>
        <v>100000</v>
      </c>
    </row>
    <row r="8151" spans="1:7">
      <c r="A8151" s="294"/>
      <c r="B8151" s="410"/>
      <c r="C8151" s="247"/>
      <c r="D8151" s="247"/>
      <c r="E8151" s="1159" t="s">
        <v>705</v>
      </c>
      <c r="F8151" s="1160"/>
      <c r="G8151" s="274">
        <f>SUM(G8150:G8150)</f>
        <v>100000</v>
      </c>
    </row>
    <row r="8152" spans="1:7">
      <c r="A8152" s="294" t="s">
        <v>706</v>
      </c>
      <c r="B8152" s="1147" t="s">
        <v>707</v>
      </c>
      <c r="C8152" s="1147"/>
      <c r="D8152" s="1147"/>
      <c r="E8152" s="1147"/>
      <c r="F8152" s="1147"/>
      <c r="G8152" s="273">
        <f>G8145+G8148+G8151</f>
        <v>347144</v>
      </c>
    </row>
    <row r="8153" spans="1:7">
      <c r="A8153" s="294" t="s">
        <v>708</v>
      </c>
      <c r="B8153" s="1147" t="s">
        <v>709</v>
      </c>
      <c r="C8153" s="1147"/>
      <c r="D8153" s="1147"/>
      <c r="E8153" s="1147" t="s">
        <v>710</v>
      </c>
      <c r="F8153" s="1147"/>
      <c r="G8153" s="255">
        <f>G8152*0.15</f>
        <v>52071.6</v>
      </c>
    </row>
    <row r="8154" spans="1:7">
      <c r="A8154" s="294" t="s">
        <v>711</v>
      </c>
      <c r="B8154" s="1149" t="s">
        <v>712</v>
      </c>
      <c r="C8154" s="1149"/>
      <c r="D8154" s="1149"/>
      <c r="E8154" s="1149"/>
      <c r="F8154" s="1149"/>
      <c r="G8154" s="255">
        <f>ROUND(SUM(G8152:G8153),2)</f>
        <v>399215.6</v>
      </c>
    </row>
    <row r="8155" spans="1:7">
      <c r="A8155" s="252"/>
      <c r="B8155" s="251"/>
      <c r="C8155" s="252"/>
      <c r="D8155" s="252"/>
      <c r="E8155" s="374"/>
      <c r="F8155" s="361"/>
      <c r="G8155" s="272"/>
    </row>
    <row r="8156" spans="1:7">
      <c r="A8156" s="284" t="s">
        <v>2666</v>
      </c>
      <c r="B8156" s="250" t="s">
        <v>3899</v>
      </c>
      <c r="C8156" s="252"/>
      <c r="D8156" s="252"/>
      <c r="E8156" s="374"/>
      <c r="F8156" s="361"/>
      <c r="G8156" s="272"/>
    </row>
    <row r="8157" spans="1:7">
      <c r="A8157" s="284" t="s">
        <v>3900</v>
      </c>
      <c r="B8157" s="250" t="s">
        <v>3901</v>
      </c>
      <c r="C8157" s="252"/>
      <c r="D8157" s="252"/>
      <c r="E8157" s="374"/>
      <c r="F8157" s="361"/>
      <c r="G8157" s="272"/>
    </row>
    <row r="8158" spans="1:7" s="292" customFormat="1" ht="24.95" customHeight="1">
      <c r="A8158" s="290" t="s">
        <v>1003</v>
      </c>
      <c r="B8158" s="290" t="s">
        <v>1004</v>
      </c>
      <c r="C8158" s="290" t="s">
        <v>1005</v>
      </c>
      <c r="D8158" s="290" t="s">
        <v>1006</v>
      </c>
      <c r="E8158" s="373" t="s">
        <v>1007</v>
      </c>
      <c r="F8158" s="363" t="s">
        <v>2637</v>
      </c>
      <c r="G8158" s="353" t="s">
        <v>2638</v>
      </c>
    </row>
    <row r="8159" spans="1:7">
      <c r="A8159" s="294" t="s">
        <v>671</v>
      </c>
      <c r="B8159" s="410" t="s">
        <v>3902</v>
      </c>
      <c r="C8159" s="254"/>
      <c r="D8159" s="254"/>
      <c r="E8159" s="386"/>
      <c r="F8159" s="393"/>
      <c r="G8159" s="273"/>
    </row>
    <row r="8160" spans="1:7" ht="27">
      <c r="A8160" s="247"/>
      <c r="B8160" s="282" t="s">
        <v>3412</v>
      </c>
      <c r="C8160" s="247"/>
      <c r="D8160" s="247" t="s">
        <v>3413</v>
      </c>
      <c r="E8160" s="372">
        <v>1</v>
      </c>
      <c r="F8160" s="360">
        <f>'UPAD-BAHAN-ALAT'!I817</f>
        <v>168480000</v>
      </c>
      <c r="G8160" s="274">
        <f>E8160*F8160</f>
        <v>168480000</v>
      </c>
    </row>
    <row r="8161" spans="1:7">
      <c r="A8161" s="247"/>
      <c r="B8161" s="282" t="s">
        <v>3414</v>
      </c>
      <c r="C8161" s="247"/>
      <c r="D8161" s="247" t="s">
        <v>3413</v>
      </c>
      <c r="E8161" s="372">
        <v>1</v>
      </c>
      <c r="F8161" s="360">
        <f>'UPAD-BAHAN-ALAT'!I818</f>
        <v>7800000</v>
      </c>
      <c r="G8161" s="274">
        <f>E8161*F8161</f>
        <v>7800000</v>
      </c>
    </row>
    <row r="8162" spans="1:7" ht="54">
      <c r="A8162" s="247"/>
      <c r="B8162" s="282" t="s">
        <v>3903</v>
      </c>
      <c r="C8162" s="247"/>
      <c r="D8162" s="247" t="s">
        <v>3413</v>
      </c>
      <c r="E8162" s="372">
        <v>1</v>
      </c>
      <c r="F8162" s="360">
        <f>'UPAD-BAHAN-ALAT'!I819</f>
        <v>7800000</v>
      </c>
      <c r="G8162" s="274">
        <f>E8162*F8162</f>
        <v>7800000</v>
      </c>
    </row>
    <row r="8163" spans="1:7" ht="27">
      <c r="A8163" s="247"/>
      <c r="B8163" s="282" t="s">
        <v>3415</v>
      </c>
      <c r="C8163" s="247"/>
      <c r="D8163" s="247" t="s">
        <v>3413</v>
      </c>
      <c r="E8163" s="372">
        <v>1</v>
      </c>
      <c r="F8163" s="360">
        <f>'UPAD-BAHAN-ALAT'!I820</f>
        <v>2340000</v>
      </c>
      <c r="G8163" s="274">
        <f>E8163*F8163</f>
        <v>2340000</v>
      </c>
    </row>
    <row r="8164" spans="1:7">
      <c r="A8164" s="247"/>
      <c r="B8164" s="282" t="s">
        <v>3416</v>
      </c>
      <c r="C8164" s="247"/>
      <c r="D8164" s="247" t="s">
        <v>3413</v>
      </c>
      <c r="E8164" s="372">
        <v>1</v>
      </c>
      <c r="F8164" s="360">
        <f>'UPAD-BAHAN-ALAT'!I821</f>
        <v>3120000</v>
      </c>
      <c r="G8164" s="274">
        <f>E8164*F8164</f>
        <v>3120000</v>
      </c>
    </row>
    <row r="8165" spans="1:7">
      <c r="A8165" s="355"/>
      <c r="B8165" s="356"/>
      <c r="C8165" s="356"/>
      <c r="D8165" s="356"/>
      <c r="E8165" s="384" t="s">
        <v>3904</v>
      </c>
      <c r="F8165" s="391"/>
      <c r="G8165" s="274">
        <f>SUM(G8160:G8164)</f>
        <v>189540000</v>
      </c>
    </row>
    <row r="8166" spans="1:7">
      <c r="A8166" s="247"/>
      <c r="B8166" s="282"/>
      <c r="C8166" s="247"/>
      <c r="D8166" s="247"/>
      <c r="E8166" s="372"/>
      <c r="F8166" s="360"/>
      <c r="G8166" s="274"/>
    </row>
    <row r="8167" spans="1:7">
      <c r="A8167" s="294" t="s">
        <v>686</v>
      </c>
      <c r="B8167" s="410" t="s">
        <v>687</v>
      </c>
      <c r="C8167" s="247"/>
      <c r="D8167" s="247"/>
      <c r="E8167" s="372"/>
      <c r="F8167" s="360"/>
      <c r="G8167" s="274"/>
    </row>
    <row r="8168" spans="1:7">
      <c r="A8168" s="247"/>
      <c r="B8168" s="282" t="s">
        <v>3396</v>
      </c>
      <c r="C8168" s="247"/>
      <c r="D8168" s="247" t="s">
        <v>2970</v>
      </c>
      <c r="E8168" s="372">
        <v>120</v>
      </c>
      <c r="F8168" s="360">
        <f>'UPAD-BAHAN-ALAT'!I796</f>
        <v>537720</v>
      </c>
      <c r="G8168" s="274">
        <f>E8168*F8168</f>
        <v>64526400</v>
      </c>
    </row>
    <row r="8169" spans="1:7">
      <c r="A8169" s="247"/>
      <c r="B8169" s="282" t="s">
        <v>3397</v>
      </c>
      <c r="C8169" s="247"/>
      <c r="D8169" s="247" t="s">
        <v>2970</v>
      </c>
      <c r="E8169" s="372">
        <v>84</v>
      </c>
      <c r="F8169" s="360">
        <f>'UPAD-BAHAN-ALAT'!I797</f>
        <v>816720</v>
      </c>
      <c r="G8169" s="274">
        <f t="shared" ref="G8169:G8190" si="42">E8169*F8169</f>
        <v>68604480</v>
      </c>
    </row>
    <row r="8170" spans="1:7">
      <c r="A8170" s="247"/>
      <c r="B8170" s="282" t="s">
        <v>3398</v>
      </c>
      <c r="C8170" s="247"/>
      <c r="D8170" s="247" t="s">
        <v>2970</v>
      </c>
      <c r="E8170" s="372">
        <v>30</v>
      </c>
      <c r="F8170" s="360">
        <f>'UPAD-BAHAN-ALAT'!I798</f>
        <v>1684800</v>
      </c>
      <c r="G8170" s="274">
        <f t="shared" si="42"/>
        <v>50544000</v>
      </c>
    </row>
    <row r="8171" spans="1:7">
      <c r="A8171" s="247"/>
      <c r="B8171" s="282" t="s">
        <v>3399</v>
      </c>
      <c r="C8171" s="247"/>
      <c r="D8171" s="247" t="s">
        <v>1423</v>
      </c>
      <c r="E8171" s="372">
        <v>1</v>
      </c>
      <c r="F8171" s="360">
        <f>'UPAD-BAHAN-ALAT'!I799</f>
        <v>730080</v>
      </c>
      <c r="G8171" s="274">
        <f t="shared" si="42"/>
        <v>730080</v>
      </c>
    </row>
    <row r="8172" spans="1:7">
      <c r="A8172" s="247"/>
      <c r="B8172" s="282" t="s">
        <v>3905</v>
      </c>
      <c r="C8172" s="247"/>
      <c r="D8172" s="247" t="s">
        <v>1423</v>
      </c>
      <c r="E8172" s="372">
        <v>1</v>
      </c>
      <c r="F8172" s="360">
        <f>'UPAD-BAHAN-ALAT'!I800</f>
        <v>575640</v>
      </c>
      <c r="G8172" s="274">
        <f t="shared" si="42"/>
        <v>575640</v>
      </c>
    </row>
    <row r="8173" spans="1:7">
      <c r="A8173" s="247"/>
      <c r="B8173" s="282" t="s">
        <v>3400</v>
      </c>
      <c r="C8173" s="247"/>
      <c r="D8173" s="247" t="s">
        <v>1423</v>
      </c>
      <c r="E8173" s="372">
        <v>1</v>
      </c>
      <c r="F8173" s="360">
        <f>'UPAD-BAHAN-ALAT'!I801</f>
        <v>91200</v>
      </c>
      <c r="G8173" s="274">
        <f t="shared" si="42"/>
        <v>91200</v>
      </c>
    </row>
    <row r="8174" spans="1:7">
      <c r="A8174" s="247"/>
      <c r="B8174" s="282" t="s">
        <v>3401</v>
      </c>
      <c r="C8174" s="247"/>
      <c r="D8174" s="247" t="s">
        <v>1423</v>
      </c>
      <c r="E8174" s="372">
        <v>1</v>
      </c>
      <c r="F8174" s="360">
        <f>'UPAD-BAHAN-ALAT'!I802</f>
        <v>5616000</v>
      </c>
      <c r="G8174" s="274">
        <f t="shared" si="42"/>
        <v>5616000</v>
      </c>
    </row>
    <row r="8175" spans="1:7">
      <c r="A8175" s="247"/>
      <c r="B8175" s="282" t="s">
        <v>3906</v>
      </c>
      <c r="C8175" s="247"/>
      <c r="D8175" s="247" t="s">
        <v>1423</v>
      </c>
      <c r="E8175" s="372">
        <v>2</v>
      </c>
      <c r="F8175" s="360">
        <f>'UPAD-BAHAN-ALAT'!I803</f>
        <v>2196360</v>
      </c>
      <c r="G8175" s="274">
        <f t="shared" si="42"/>
        <v>4392720</v>
      </c>
    </row>
    <row r="8176" spans="1:7">
      <c r="A8176" s="247"/>
      <c r="B8176" s="282" t="s">
        <v>3402</v>
      </c>
      <c r="C8176" s="247"/>
      <c r="D8176" s="247" t="s">
        <v>1423</v>
      </c>
      <c r="E8176" s="372">
        <v>12</v>
      </c>
      <c r="F8176" s="360">
        <f>'UPAD-BAHAN-ALAT'!I804</f>
        <v>356640</v>
      </c>
      <c r="G8176" s="274">
        <f t="shared" si="42"/>
        <v>4279680</v>
      </c>
    </row>
    <row r="8177" spans="1:7">
      <c r="A8177" s="247"/>
      <c r="B8177" s="282" t="s">
        <v>3403</v>
      </c>
      <c r="C8177" s="247"/>
      <c r="D8177" s="247" t="s">
        <v>1423</v>
      </c>
      <c r="E8177" s="372">
        <v>20</v>
      </c>
      <c r="F8177" s="360">
        <f>'UPAD-BAHAN-ALAT'!I805</f>
        <v>79800</v>
      </c>
      <c r="G8177" s="274">
        <f t="shared" si="42"/>
        <v>1596000</v>
      </c>
    </row>
    <row r="8178" spans="1:7">
      <c r="A8178" s="247"/>
      <c r="B8178" s="282" t="s">
        <v>3404</v>
      </c>
      <c r="C8178" s="247"/>
      <c r="D8178" s="247" t="s">
        <v>1423</v>
      </c>
      <c r="E8178" s="372">
        <v>1</v>
      </c>
      <c r="F8178" s="360">
        <f>'UPAD-BAHAN-ALAT'!I806</f>
        <v>168480</v>
      </c>
      <c r="G8178" s="274">
        <f t="shared" si="42"/>
        <v>168480</v>
      </c>
    </row>
    <row r="8179" spans="1:7">
      <c r="A8179" s="247"/>
      <c r="B8179" s="282" t="s">
        <v>3405</v>
      </c>
      <c r="C8179" s="247"/>
      <c r="D8179" s="247" t="s">
        <v>1423</v>
      </c>
      <c r="E8179" s="372">
        <v>1</v>
      </c>
      <c r="F8179" s="360">
        <f>'UPAD-BAHAN-ALAT'!I807</f>
        <v>10427400</v>
      </c>
      <c r="G8179" s="274">
        <f t="shared" si="42"/>
        <v>10427400</v>
      </c>
    </row>
    <row r="8180" spans="1:7" ht="27">
      <c r="A8180" s="247"/>
      <c r="B8180" s="282" t="s">
        <v>3907</v>
      </c>
      <c r="C8180" s="247"/>
      <c r="D8180" s="247" t="s">
        <v>1405</v>
      </c>
      <c r="E8180" s="372">
        <v>1</v>
      </c>
      <c r="F8180" s="360">
        <f>'UPAD-BAHAN-ALAT'!I809</f>
        <v>46008000</v>
      </c>
      <c r="G8180" s="274">
        <f t="shared" si="42"/>
        <v>46008000</v>
      </c>
    </row>
    <row r="8181" spans="1:7" ht="40.5">
      <c r="A8181" s="247"/>
      <c r="B8181" s="282" t="s">
        <v>3908</v>
      </c>
      <c r="C8181" s="247"/>
      <c r="D8181" s="247" t="s">
        <v>1405</v>
      </c>
      <c r="E8181" s="372">
        <v>1</v>
      </c>
      <c r="F8181" s="360">
        <f>'UPAD-BAHAN-ALAT'!I810</f>
        <v>9126000</v>
      </c>
      <c r="G8181" s="274">
        <f t="shared" si="42"/>
        <v>9126000</v>
      </c>
    </row>
    <row r="8182" spans="1:7">
      <c r="A8182" s="247"/>
      <c r="B8182" s="282" t="s">
        <v>3406</v>
      </c>
      <c r="C8182" s="247"/>
      <c r="D8182" s="247" t="s">
        <v>2970</v>
      </c>
      <c r="E8182" s="372">
        <v>42</v>
      </c>
      <c r="F8182" s="360">
        <f>'UPAD-BAHAN-ALAT'!I811</f>
        <v>199560</v>
      </c>
      <c r="G8182" s="274">
        <f t="shared" si="42"/>
        <v>8381520</v>
      </c>
    </row>
    <row r="8183" spans="1:7">
      <c r="A8183" s="247"/>
      <c r="B8183" s="282" t="s">
        <v>3407</v>
      </c>
      <c r="C8183" s="247"/>
      <c r="D8183" s="247" t="s">
        <v>1423</v>
      </c>
      <c r="E8183" s="372">
        <v>10</v>
      </c>
      <c r="F8183" s="360">
        <f>'UPAD-BAHAN-ALAT'!I812</f>
        <v>169800</v>
      </c>
      <c r="G8183" s="274">
        <f t="shared" si="42"/>
        <v>1698000</v>
      </c>
    </row>
    <row r="8184" spans="1:7">
      <c r="A8184" s="247"/>
      <c r="B8184" s="282" t="s">
        <v>3408</v>
      </c>
      <c r="C8184" s="247"/>
      <c r="D8184" s="247" t="s">
        <v>1423</v>
      </c>
      <c r="E8184" s="372">
        <v>2</v>
      </c>
      <c r="F8184" s="360">
        <f>'UPAD-BAHAN-ALAT'!I813</f>
        <v>1081080</v>
      </c>
      <c r="G8184" s="274">
        <f t="shared" si="42"/>
        <v>2162160</v>
      </c>
    </row>
    <row r="8185" spans="1:7">
      <c r="A8185" s="247"/>
      <c r="B8185" s="282" t="s">
        <v>3409</v>
      </c>
      <c r="C8185" s="247"/>
      <c r="D8185" s="247" t="s">
        <v>2646</v>
      </c>
      <c r="E8185" s="372">
        <v>7</v>
      </c>
      <c r="F8185" s="360">
        <f>'UPAD-BAHAN-ALAT'!I814</f>
        <v>1081080</v>
      </c>
      <c r="G8185" s="274">
        <f t="shared" si="42"/>
        <v>7567560</v>
      </c>
    </row>
    <row r="8186" spans="1:7">
      <c r="A8186" s="247"/>
      <c r="B8186" s="282" t="s">
        <v>3410</v>
      </c>
      <c r="C8186" s="247"/>
      <c r="D8186" s="247" t="s">
        <v>2958</v>
      </c>
      <c r="E8186" s="372">
        <v>15</v>
      </c>
      <c r="F8186" s="360">
        <f>'UPAD-BAHAN-ALAT'!I815</f>
        <v>1158240</v>
      </c>
      <c r="G8186" s="274">
        <f t="shared" si="42"/>
        <v>17373600</v>
      </c>
    </row>
    <row r="8187" spans="1:7" ht="27">
      <c r="A8187" s="247"/>
      <c r="B8187" s="282" t="s">
        <v>3411</v>
      </c>
      <c r="C8187" s="247"/>
      <c r="D8187" s="247" t="s">
        <v>1405</v>
      </c>
      <c r="E8187" s="372">
        <v>1</v>
      </c>
      <c r="F8187" s="360">
        <f>'UPAD-BAHAN-ALAT'!I816</f>
        <v>5616000</v>
      </c>
      <c r="G8187" s="274">
        <f t="shared" si="42"/>
        <v>5616000</v>
      </c>
    </row>
    <row r="8188" spans="1:7" ht="27">
      <c r="A8188" s="247"/>
      <c r="B8188" s="282" t="s">
        <v>2684</v>
      </c>
      <c r="C8188" s="247"/>
      <c r="D8188" s="247" t="s">
        <v>2646</v>
      </c>
      <c r="E8188" s="372">
        <v>0.16</v>
      </c>
      <c r="F8188" s="360">
        <f>G497</f>
        <v>1222680</v>
      </c>
      <c r="G8188" s="274">
        <f t="shared" si="42"/>
        <v>195628.80000000002</v>
      </c>
    </row>
    <row r="8189" spans="1:7" ht="27">
      <c r="A8189" s="247"/>
      <c r="B8189" s="282" t="s">
        <v>2885</v>
      </c>
      <c r="C8189" s="247"/>
      <c r="D8189" s="247" t="s">
        <v>2647</v>
      </c>
      <c r="E8189" s="372">
        <v>0.21299999999999999</v>
      </c>
      <c r="F8189" s="360">
        <f>F7739</f>
        <v>157644.01</v>
      </c>
      <c r="G8189" s="274">
        <f t="shared" si="42"/>
        <v>33578.174129999999</v>
      </c>
    </row>
    <row r="8190" spans="1:7" ht="27">
      <c r="A8190" s="247"/>
      <c r="B8190" s="282" t="s">
        <v>2835</v>
      </c>
      <c r="C8190" s="247"/>
      <c r="D8190" s="247" t="s">
        <v>2647</v>
      </c>
      <c r="E8190" s="372">
        <v>1.1499999999999999</v>
      </c>
      <c r="F8190" s="360">
        <f>F7769</f>
        <v>90256.6</v>
      </c>
      <c r="G8190" s="274">
        <f t="shared" si="42"/>
        <v>103795.09</v>
      </c>
    </row>
    <row r="8191" spans="1:7">
      <c r="A8191" s="355"/>
      <c r="B8191" s="356"/>
      <c r="C8191" s="356"/>
      <c r="D8191" s="356"/>
      <c r="E8191" s="384" t="s">
        <v>3909</v>
      </c>
      <c r="F8191" s="391"/>
      <c r="G8191" s="274">
        <f>SUM(G8168:G8190)</f>
        <v>309817922.06413001</v>
      </c>
    </row>
    <row r="8192" spans="1:7" s="265" customFormat="1">
      <c r="A8192" s="294" t="s">
        <v>703</v>
      </c>
      <c r="B8192" s="1141" t="s">
        <v>3910</v>
      </c>
      <c r="C8192" s="1142"/>
      <c r="D8192" s="1142"/>
      <c r="E8192" s="1142"/>
      <c r="F8192" s="1143"/>
      <c r="G8192" s="273">
        <f>G8165+G8191</f>
        <v>499357922.06413001</v>
      </c>
    </row>
    <row r="8193" spans="1:7" s="265" customFormat="1">
      <c r="A8193" s="294" t="s">
        <v>706</v>
      </c>
      <c r="B8193" s="1141" t="s">
        <v>709</v>
      </c>
      <c r="C8193" s="1142"/>
      <c r="D8193" s="1143"/>
      <c r="E8193" s="1141" t="s">
        <v>4030</v>
      </c>
      <c r="F8193" s="1143"/>
      <c r="G8193" s="255">
        <f>G8192*0.15</f>
        <v>74903688.309619501</v>
      </c>
    </row>
    <row r="8194" spans="1:7" s="265" customFormat="1">
      <c r="A8194" s="294" t="s">
        <v>708</v>
      </c>
      <c r="B8194" s="1141" t="s">
        <v>3911</v>
      </c>
      <c r="C8194" s="1142"/>
      <c r="D8194" s="1142"/>
      <c r="E8194" s="1142"/>
      <c r="F8194" s="1143"/>
      <c r="G8194" s="255">
        <f>ROUND(SUM(G8192:G8193),2)</f>
        <v>574261610.37</v>
      </c>
    </row>
    <row r="8195" spans="1:7">
      <c r="A8195" s="252"/>
      <c r="B8195" s="251"/>
      <c r="C8195" s="252"/>
      <c r="D8195" s="252"/>
      <c r="E8195" s="374"/>
      <c r="F8195" s="361"/>
      <c r="G8195" s="272"/>
    </row>
    <row r="8196" spans="1:7">
      <c r="A8196" s="284" t="s">
        <v>3912</v>
      </c>
      <c r="B8196" s="250" t="s">
        <v>3913</v>
      </c>
      <c r="C8196" s="252"/>
      <c r="D8196" s="252"/>
      <c r="E8196" s="374"/>
      <c r="F8196" s="361"/>
      <c r="G8196" s="272"/>
    </row>
    <row r="8197" spans="1:7" s="292" customFormat="1" ht="24.95" customHeight="1">
      <c r="A8197" s="290" t="s">
        <v>1003</v>
      </c>
      <c r="B8197" s="290" t="s">
        <v>1004</v>
      </c>
      <c r="C8197" s="290" t="s">
        <v>1005</v>
      </c>
      <c r="D8197" s="290" t="s">
        <v>1006</v>
      </c>
      <c r="E8197" s="373" t="s">
        <v>1007</v>
      </c>
      <c r="F8197" s="363" t="s">
        <v>2637</v>
      </c>
      <c r="G8197" s="353" t="s">
        <v>2638</v>
      </c>
    </row>
    <row r="8198" spans="1:7">
      <c r="A8198" s="294" t="s">
        <v>671</v>
      </c>
      <c r="B8198" s="410" t="s">
        <v>3902</v>
      </c>
      <c r="C8198" s="254"/>
      <c r="D8198" s="254"/>
      <c r="E8198" s="386"/>
      <c r="F8198" s="393"/>
      <c r="G8198" s="273"/>
    </row>
    <row r="8199" spans="1:7" ht="27">
      <c r="A8199" s="294"/>
      <c r="B8199" s="282" t="s">
        <v>3411</v>
      </c>
      <c r="C8199" s="247"/>
      <c r="D8199" s="247" t="s">
        <v>1405</v>
      </c>
      <c r="E8199" s="372">
        <v>1</v>
      </c>
      <c r="F8199" s="360">
        <f>'UPAD-BAHAN-ALAT'!I816</f>
        <v>5616000</v>
      </c>
      <c r="G8199" s="274">
        <f t="shared" ref="G8199:G8204" si="43">E8199*F8199</f>
        <v>5616000</v>
      </c>
    </row>
    <row r="8200" spans="1:7" ht="27">
      <c r="A8200" s="294"/>
      <c r="B8200" s="282" t="s">
        <v>3412</v>
      </c>
      <c r="C8200" s="247"/>
      <c r="D8200" s="247" t="s">
        <v>3413</v>
      </c>
      <c r="E8200" s="372">
        <v>1</v>
      </c>
      <c r="F8200" s="360">
        <f>'UPAD-BAHAN-ALAT'!I817</f>
        <v>168480000</v>
      </c>
      <c r="G8200" s="274">
        <f t="shared" si="43"/>
        <v>168480000</v>
      </c>
    </row>
    <row r="8201" spans="1:7">
      <c r="A8201" s="294"/>
      <c r="B8201" s="282" t="s">
        <v>3414</v>
      </c>
      <c r="C8201" s="247"/>
      <c r="D8201" s="247" t="s">
        <v>3413</v>
      </c>
      <c r="E8201" s="372">
        <v>1</v>
      </c>
      <c r="F8201" s="360">
        <f>'UPAD-BAHAN-ALAT'!I818</f>
        <v>7800000</v>
      </c>
      <c r="G8201" s="274">
        <f t="shared" si="43"/>
        <v>7800000</v>
      </c>
    </row>
    <row r="8202" spans="1:7" ht="54">
      <c r="A8202" s="294"/>
      <c r="B8202" s="282" t="s">
        <v>3903</v>
      </c>
      <c r="C8202" s="247"/>
      <c r="D8202" s="247" t="s">
        <v>3413</v>
      </c>
      <c r="E8202" s="372">
        <v>1</v>
      </c>
      <c r="F8202" s="360">
        <f>'UPAD-BAHAN-ALAT'!I819</f>
        <v>7800000</v>
      </c>
      <c r="G8202" s="274">
        <f t="shared" si="43"/>
        <v>7800000</v>
      </c>
    </row>
    <row r="8203" spans="1:7" ht="27">
      <c r="A8203" s="294"/>
      <c r="B8203" s="282" t="s">
        <v>3415</v>
      </c>
      <c r="C8203" s="247"/>
      <c r="D8203" s="247" t="s">
        <v>3413</v>
      </c>
      <c r="E8203" s="372">
        <v>1</v>
      </c>
      <c r="F8203" s="360">
        <f>'UPAD-BAHAN-ALAT'!I820</f>
        <v>2340000</v>
      </c>
      <c r="G8203" s="274">
        <f t="shared" si="43"/>
        <v>2340000</v>
      </c>
    </row>
    <row r="8204" spans="1:7">
      <c r="A8204" s="294"/>
      <c r="B8204" s="282" t="s">
        <v>3416</v>
      </c>
      <c r="C8204" s="247"/>
      <c r="D8204" s="247" t="s">
        <v>3413</v>
      </c>
      <c r="E8204" s="372">
        <v>1</v>
      </c>
      <c r="F8204" s="360">
        <f>'UPAD-BAHAN-ALAT'!I821</f>
        <v>3120000</v>
      </c>
      <c r="G8204" s="274">
        <f t="shared" si="43"/>
        <v>3120000</v>
      </c>
    </row>
    <row r="8205" spans="1:7">
      <c r="A8205" s="357"/>
      <c r="B8205" s="356"/>
      <c r="C8205" s="356"/>
      <c r="D8205" s="356"/>
      <c r="E8205" s="384" t="s">
        <v>3904</v>
      </c>
      <c r="F8205" s="391"/>
      <c r="G8205" s="274">
        <f>SUM(G8199:G8204)</f>
        <v>195156000</v>
      </c>
    </row>
    <row r="8206" spans="1:7">
      <c r="A8206" s="294" t="s">
        <v>686</v>
      </c>
      <c r="B8206" s="410" t="s">
        <v>687</v>
      </c>
      <c r="C8206" s="247"/>
      <c r="D8206" s="247"/>
      <c r="E8206" s="372"/>
      <c r="F8206" s="360"/>
      <c r="G8206" s="274"/>
    </row>
    <row r="8207" spans="1:7">
      <c r="A8207" s="294"/>
      <c r="B8207" s="282" t="s">
        <v>3396</v>
      </c>
      <c r="C8207" s="247"/>
      <c r="D8207" s="247" t="s">
        <v>2970</v>
      </c>
      <c r="E8207" s="372">
        <v>72</v>
      </c>
      <c r="F8207" s="360">
        <f t="shared" ref="F8207:F8218" si="44">F8168</f>
        <v>537720</v>
      </c>
      <c r="G8207" s="274">
        <f>E8207*F8207</f>
        <v>38715840</v>
      </c>
    </row>
    <row r="8208" spans="1:7">
      <c r="A8208" s="294"/>
      <c r="B8208" s="282" t="s">
        <v>3397</v>
      </c>
      <c r="C8208" s="247"/>
      <c r="D8208" s="247" t="s">
        <v>2970</v>
      </c>
      <c r="E8208" s="372">
        <v>60</v>
      </c>
      <c r="F8208" s="360">
        <f t="shared" si="44"/>
        <v>816720</v>
      </c>
      <c r="G8208" s="274">
        <f t="shared" ref="G8208:G8228" si="45">E8208*F8208</f>
        <v>49003200</v>
      </c>
    </row>
    <row r="8209" spans="1:7">
      <c r="A8209" s="294"/>
      <c r="B8209" s="282" t="s">
        <v>3398</v>
      </c>
      <c r="C8209" s="247"/>
      <c r="D8209" s="247" t="s">
        <v>2970</v>
      </c>
      <c r="E8209" s="372">
        <v>24</v>
      </c>
      <c r="F8209" s="360">
        <f t="shared" si="44"/>
        <v>1684800</v>
      </c>
      <c r="G8209" s="274">
        <f t="shared" si="45"/>
        <v>40435200</v>
      </c>
    </row>
    <row r="8210" spans="1:7">
      <c r="A8210" s="294"/>
      <c r="B8210" s="282" t="s">
        <v>3399</v>
      </c>
      <c r="C8210" s="247"/>
      <c r="D8210" s="247" t="s">
        <v>1423</v>
      </c>
      <c r="E8210" s="372">
        <v>1</v>
      </c>
      <c r="F8210" s="360">
        <f t="shared" si="44"/>
        <v>730080</v>
      </c>
      <c r="G8210" s="274">
        <f t="shared" si="45"/>
        <v>730080</v>
      </c>
    </row>
    <row r="8211" spans="1:7">
      <c r="A8211" s="294"/>
      <c r="B8211" s="282" t="s">
        <v>3905</v>
      </c>
      <c r="C8211" s="247"/>
      <c r="D8211" s="247" t="s">
        <v>1423</v>
      </c>
      <c r="E8211" s="372">
        <v>1</v>
      </c>
      <c r="F8211" s="360">
        <f t="shared" si="44"/>
        <v>575640</v>
      </c>
      <c r="G8211" s="274">
        <f t="shared" si="45"/>
        <v>575640</v>
      </c>
    </row>
    <row r="8212" spans="1:7">
      <c r="A8212" s="247"/>
      <c r="B8212" s="282" t="s">
        <v>3400</v>
      </c>
      <c r="C8212" s="247"/>
      <c r="D8212" s="247" t="s">
        <v>1423</v>
      </c>
      <c r="E8212" s="372">
        <v>1</v>
      </c>
      <c r="F8212" s="360">
        <f t="shared" si="44"/>
        <v>91200</v>
      </c>
      <c r="G8212" s="274">
        <f t="shared" si="45"/>
        <v>91200</v>
      </c>
    </row>
    <row r="8213" spans="1:7">
      <c r="A8213" s="247"/>
      <c r="B8213" s="282" t="s">
        <v>3401</v>
      </c>
      <c r="C8213" s="247"/>
      <c r="D8213" s="247" t="s">
        <v>1423</v>
      </c>
      <c r="E8213" s="372">
        <v>1</v>
      </c>
      <c r="F8213" s="360">
        <f t="shared" si="44"/>
        <v>5616000</v>
      </c>
      <c r="G8213" s="274">
        <f t="shared" si="45"/>
        <v>5616000</v>
      </c>
    </row>
    <row r="8214" spans="1:7">
      <c r="A8214" s="247"/>
      <c r="B8214" s="282" t="s">
        <v>3906</v>
      </c>
      <c r="C8214" s="247"/>
      <c r="D8214" s="247" t="s">
        <v>1423</v>
      </c>
      <c r="E8214" s="372">
        <v>2</v>
      </c>
      <c r="F8214" s="360">
        <f t="shared" si="44"/>
        <v>2196360</v>
      </c>
      <c r="G8214" s="274">
        <f t="shared" si="45"/>
        <v>4392720</v>
      </c>
    </row>
    <row r="8215" spans="1:7">
      <c r="A8215" s="247"/>
      <c r="B8215" s="282" t="s">
        <v>3402</v>
      </c>
      <c r="C8215" s="247"/>
      <c r="D8215" s="247" t="s">
        <v>1423</v>
      </c>
      <c r="E8215" s="372">
        <v>12</v>
      </c>
      <c r="F8215" s="360">
        <f t="shared" si="44"/>
        <v>356640</v>
      </c>
      <c r="G8215" s="274">
        <f t="shared" si="45"/>
        <v>4279680</v>
      </c>
    </row>
    <row r="8216" spans="1:7">
      <c r="A8216" s="247"/>
      <c r="B8216" s="282" t="s">
        <v>3403</v>
      </c>
      <c r="C8216" s="247"/>
      <c r="D8216" s="247" t="s">
        <v>1423</v>
      </c>
      <c r="E8216" s="372">
        <v>20</v>
      </c>
      <c r="F8216" s="360">
        <f t="shared" si="44"/>
        <v>79800</v>
      </c>
      <c r="G8216" s="274">
        <f t="shared" si="45"/>
        <v>1596000</v>
      </c>
    </row>
    <row r="8217" spans="1:7">
      <c r="A8217" s="247"/>
      <c r="B8217" s="282" t="s">
        <v>3404</v>
      </c>
      <c r="C8217" s="247"/>
      <c r="D8217" s="247" t="s">
        <v>1423</v>
      </c>
      <c r="E8217" s="372">
        <v>1</v>
      </c>
      <c r="F8217" s="360">
        <f t="shared" si="44"/>
        <v>168480</v>
      </c>
      <c r="G8217" s="274">
        <f t="shared" si="45"/>
        <v>168480</v>
      </c>
    </row>
    <row r="8218" spans="1:7">
      <c r="A8218" s="247"/>
      <c r="B8218" s="282" t="s">
        <v>3405</v>
      </c>
      <c r="C8218" s="247"/>
      <c r="D8218" s="247" t="s">
        <v>1423</v>
      </c>
      <c r="E8218" s="372">
        <v>1</v>
      </c>
      <c r="F8218" s="360">
        <f t="shared" si="44"/>
        <v>10427400</v>
      </c>
      <c r="G8218" s="274">
        <f t="shared" si="45"/>
        <v>10427400</v>
      </c>
    </row>
    <row r="8219" spans="1:7">
      <c r="A8219" s="247"/>
      <c r="B8219" s="282" t="s">
        <v>3973</v>
      </c>
      <c r="C8219" s="247"/>
      <c r="D8219" s="247" t="s">
        <v>1405</v>
      </c>
      <c r="E8219" s="372">
        <v>1</v>
      </c>
      <c r="F8219" s="360">
        <f>'UPAD-BAHAN-ALAT'!$I$808</f>
        <v>29775600</v>
      </c>
      <c r="G8219" s="274">
        <f t="shared" si="45"/>
        <v>29775600</v>
      </c>
    </row>
    <row r="8220" spans="1:7" ht="40.5">
      <c r="A8220" s="247"/>
      <c r="B8220" s="282" t="s">
        <v>3908</v>
      </c>
      <c r="C8220" s="247"/>
      <c r="D8220" s="247" t="s">
        <v>1405</v>
      </c>
      <c r="E8220" s="372">
        <v>1</v>
      </c>
      <c r="F8220" s="360">
        <f t="shared" ref="F8220:F8225" si="46">F8181</f>
        <v>9126000</v>
      </c>
      <c r="G8220" s="274">
        <f t="shared" si="45"/>
        <v>9126000</v>
      </c>
    </row>
    <row r="8221" spans="1:7">
      <c r="A8221" s="247"/>
      <c r="B8221" s="282" t="s">
        <v>3406</v>
      </c>
      <c r="C8221" s="247"/>
      <c r="D8221" s="247" t="s">
        <v>2970</v>
      </c>
      <c r="E8221" s="372">
        <v>42</v>
      </c>
      <c r="F8221" s="360">
        <f t="shared" si="46"/>
        <v>199560</v>
      </c>
      <c r="G8221" s="274">
        <f t="shared" si="45"/>
        <v>8381520</v>
      </c>
    </row>
    <row r="8222" spans="1:7">
      <c r="A8222" s="247"/>
      <c r="B8222" s="282" t="s">
        <v>3407</v>
      </c>
      <c r="C8222" s="247"/>
      <c r="D8222" s="247" t="s">
        <v>1423</v>
      </c>
      <c r="E8222" s="372">
        <v>10</v>
      </c>
      <c r="F8222" s="360">
        <f t="shared" si="46"/>
        <v>169800</v>
      </c>
      <c r="G8222" s="274">
        <f t="shared" si="45"/>
        <v>1698000</v>
      </c>
    </row>
    <row r="8223" spans="1:7">
      <c r="A8223" s="247"/>
      <c r="B8223" s="282" t="s">
        <v>3408</v>
      </c>
      <c r="C8223" s="247"/>
      <c r="D8223" s="247" t="s">
        <v>1423</v>
      </c>
      <c r="E8223" s="372">
        <v>2</v>
      </c>
      <c r="F8223" s="360">
        <f t="shared" si="46"/>
        <v>1081080</v>
      </c>
      <c r="G8223" s="274">
        <f t="shared" si="45"/>
        <v>2162160</v>
      </c>
    </row>
    <row r="8224" spans="1:7">
      <c r="A8224" s="247"/>
      <c r="B8224" s="282" t="s">
        <v>3409</v>
      </c>
      <c r="C8224" s="247"/>
      <c r="D8224" s="247" t="s">
        <v>2646</v>
      </c>
      <c r="E8224" s="372">
        <v>7</v>
      </c>
      <c r="F8224" s="360">
        <f t="shared" si="46"/>
        <v>1081080</v>
      </c>
      <c r="G8224" s="274">
        <f t="shared" si="45"/>
        <v>7567560</v>
      </c>
    </row>
    <row r="8225" spans="1:7">
      <c r="A8225" s="247"/>
      <c r="B8225" s="282" t="s">
        <v>3410</v>
      </c>
      <c r="C8225" s="247"/>
      <c r="D8225" s="247" t="s">
        <v>2958</v>
      </c>
      <c r="E8225" s="372">
        <v>15</v>
      </c>
      <c r="F8225" s="360">
        <f t="shared" si="46"/>
        <v>1158240</v>
      </c>
      <c r="G8225" s="274">
        <f t="shared" si="45"/>
        <v>17373600</v>
      </c>
    </row>
    <row r="8226" spans="1:7" ht="27">
      <c r="A8226" s="247"/>
      <c r="B8226" s="282" t="s">
        <v>2684</v>
      </c>
      <c r="C8226" s="247"/>
      <c r="D8226" s="247" t="s">
        <v>2646</v>
      </c>
      <c r="E8226" s="372">
        <v>0.16</v>
      </c>
      <c r="F8226" s="360">
        <f>F8188</f>
        <v>1222680</v>
      </c>
      <c r="G8226" s="274">
        <f t="shared" si="45"/>
        <v>195628.80000000002</v>
      </c>
    </row>
    <row r="8227" spans="1:7" ht="27">
      <c r="A8227" s="247"/>
      <c r="B8227" s="282" t="s">
        <v>2885</v>
      </c>
      <c r="C8227" s="247"/>
      <c r="D8227" s="247" t="s">
        <v>2647</v>
      </c>
      <c r="E8227" s="372">
        <v>0.21299999999999999</v>
      </c>
      <c r="F8227" s="360">
        <f>F8189</f>
        <v>157644.01</v>
      </c>
      <c r="G8227" s="274">
        <f t="shared" si="45"/>
        <v>33578.174129999999</v>
      </c>
    </row>
    <row r="8228" spans="1:7" ht="27">
      <c r="A8228" s="247"/>
      <c r="B8228" s="282" t="s">
        <v>2835</v>
      </c>
      <c r="C8228" s="247"/>
      <c r="D8228" s="247" t="s">
        <v>2647</v>
      </c>
      <c r="E8228" s="372">
        <v>1.1499999999999999</v>
      </c>
      <c r="F8228" s="360">
        <f>F8190</f>
        <v>90256.6</v>
      </c>
      <c r="G8228" s="274">
        <f t="shared" si="45"/>
        <v>103795.09</v>
      </c>
    </row>
    <row r="8229" spans="1:7">
      <c r="A8229" s="355"/>
      <c r="B8229" s="356"/>
      <c r="C8229" s="356"/>
      <c r="D8229" s="356"/>
      <c r="E8229" s="384" t="s">
        <v>3909</v>
      </c>
      <c r="F8229" s="391"/>
      <c r="G8229" s="274">
        <f>SUM(G8207:G8228)</f>
        <v>232448882.06413001</v>
      </c>
    </row>
    <row r="8230" spans="1:7" s="265" customFormat="1">
      <c r="A8230" s="294" t="s">
        <v>703</v>
      </c>
      <c r="B8230" s="1141" t="s">
        <v>3910</v>
      </c>
      <c r="C8230" s="1142"/>
      <c r="D8230" s="1142"/>
      <c r="E8230" s="1142"/>
      <c r="F8230" s="1143"/>
      <c r="G8230" s="273">
        <f>G8205+G8229</f>
        <v>427604882.06413001</v>
      </c>
    </row>
    <row r="8231" spans="1:7" s="265" customFormat="1">
      <c r="A8231" s="294" t="s">
        <v>706</v>
      </c>
      <c r="B8231" s="1141" t="s">
        <v>709</v>
      </c>
      <c r="C8231" s="1142"/>
      <c r="D8231" s="1143"/>
      <c r="E8231" s="1141" t="s">
        <v>4030</v>
      </c>
      <c r="F8231" s="1143"/>
      <c r="G8231" s="255">
        <f>G8230*0.15</f>
        <v>64140732.309619501</v>
      </c>
    </row>
    <row r="8232" spans="1:7" s="265" customFormat="1">
      <c r="A8232" s="294" t="s">
        <v>708</v>
      </c>
      <c r="B8232" s="1141" t="s">
        <v>3911</v>
      </c>
      <c r="C8232" s="1142"/>
      <c r="D8232" s="1142"/>
      <c r="E8232" s="1142"/>
      <c r="F8232" s="1143"/>
      <c r="G8232" s="255">
        <f>ROUND(SUM(G8230:G8231),2)</f>
        <v>491745614.37</v>
      </c>
    </row>
    <row r="8233" spans="1:7">
      <c r="A8233" s="252"/>
      <c r="B8233" s="251"/>
      <c r="C8233" s="252"/>
      <c r="D8233" s="252"/>
      <c r="E8233" s="374"/>
      <c r="F8233" s="361"/>
      <c r="G8233" s="272"/>
    </row>
    <row r="8234" spans="1:7">
      <c r="A8234" s="284" t="s">
        <v>3914</v>
      </c>
      <c r="B8234" s="250" t="s">
        <v>3915</v>
      </c>
      <c r="C8234" s="252"/>
      <c r="D8234" s="252"/>
      <c r="E8234" s="374"/>
      <c r="F8234" s="361"/>
      <c r="G8234" s="272"/>
    </row>
    <row r="8235" spans="1:7" s="292" customFormat="1" ht="24.95" customHeight="1">
      <c r="A8235" s="290" t="s">
        <v>1003</v>
      </c>
      <c r="B8235" s="290" t="s">
        <v>1004</v>
      </c>
      <c r="C8235" s="290" t="s">
        <v>1005</v>
      </c>
      <c r="D8235" s="290" t="s">
        <v>1006</v>
      </c>
      <c r="E8235" s="373" t="s">
        <v>1007</v>
      </c>
      <c r="F8235" s="363" t="s">
        <v>2637</v>
      </c>
      <c r="G8235" s="353" t="s">
        <v>2638</v>
      </c>
    </row>
    <row r="8236" spans="1:7">
      <c r="A8236" s="294" t="s">
        <v>671</v>
      </c>
      <c r="B8236" s="410" t="s">
        <v>3902</v>
      </c>
      <c r="C8236" s="247"/>
      <c r="D8236" s="247"/>
      <c r="E8236" s="372"/>
      <c r="F8236" s="360"/>
      <c r="G8236" s="274"/>
    </row>
    <row r="8237" spans="1:7">
      <c r="A8237" s="294"/>
      <c r="B8237" s="282" t="str">
        <f>'[43]analisa baru'!$B$2378</f>
        <v>Pengerjaan 10 cm pengelasan dengan las listrik</v>
      </c>
      <c r="C8237" s="247" t="str">
        <f>'[43]analisa baru'!$A$2378</f>
        <v xml:space="preserve">A.4.2.1.5. </v>
      </c>
      <c r="D8237" s="247" t="s">
        <v>959</v>
      </c>
      <c r="E8237" s="372">
        <f>(5.65+5.65+5.65+(4*(E8242+E8243)))/0.1</f>
        <v>510.75000000000006</v>
      </c>
      <c r="F8237" s="360">
        <f>G1775</f>
        <v>51646.5</v>
      </c>
      <c r="G8237" s="274">
        <f>E8237*F8237</f>
        <v>26378449.875000004</v>
      </c>
    </row>
    <row r="8238" spans="1:7">
      <c r="A8238" s="294"/>
      <c r="B8238" s="282" t="str">
        <f>'[43]analisa baru'!$B$2335</f>
        <v xml:space="preserve"> Pengerjaan 100 kg pekerjaan perakitan</v>
      </c>
      <c r="C8238" s="247" t="str">
        <f>'[43]analisa baru'!$A$2335</f>
        <v>A.4.2.1.3.</v>
      </c>
      <c r="D8238" s="247" t="s">
        <v>773</v>
      </c>
      <c r="E8238" s="372">
        <f>((7850*(E8242+E8243+(E8244*2.54))*0.006)+(E8252*7850)+(E8251*2.5))/100</f>
        <v>45.60963841666667</v>
      </c>
      <c r="F8238" s="360">
        <f>G1737</f>
        <v>47667.5</v>
      </c>
      <c r="G8238" s="274">
        <f>E8238*F8238</f>
        <v>2174097.4392264583</v>
      </c>
    </row>
    <row r="8239" spans="1:7">
      <c r="A8239" s="294"/>
      <c r="B8239" s="282" t="s">
        <v>3670</v>
      </c>
      <c r="C8239" s="247"/>
      <c r="D8239" s="247" t="s">
        <v>2997</v>
      </c>
      <c r="E8239" s="372">
        <v>1</v>
      </c>
      <c r="F8239" s="360">
        <v>1000000</v>
      </c>
      <c r="G8239" s="274">
        <f>E8239*F8239</f>
        <v>1000000</v>
      </c>
    </row>
    <row r="8240" spans="1:7">
      <c r="A8240" s="357"/>
      <c r="B8240" s="356"/>
      <c r="C8240" s="356"/>
      <c r="D8240" s="356"/>
      <c r="E8240" s="384" t="s">
        <v>685</v>
      </c>
      <c r="F8240" s="391"/>
      <c r="G8240" s="274">
        <f>SUM(G8237:G8239)</f>
        <v>29552547.314226463</v>
      </c>
    </row>
    <row r="8241" spans="1:7">
      <c r="A8241" s="294" t="s">
        <v>686</v>
      </c>
      <c r="B8241" s="410" t="s">
        <v>687</v>
      </c>
      <c r="C8241" s="247"/>
      <c r="D8241" s="247"/>
      <c r="E8241" s="372"/>
      <c r="F8241" s="360"/>
      <c r="G8241" s="274"/>
    </row>
    <row r="8242" spans="1:7">
      <c r="A8242" s="247"/>
      <c r="B8242" s="282" t="s">
        <v>3373</v>
      </c>
      <c r="C8242" s="247"/>
      <c r="D8242" s="247" t="s">
        <v>3106</v>
      </c>
      <c r="E8242" s="372">
        <f>(2.54*3)/(1.2*2.4)</f>
        <v>2.6458333333333335</v>
      </c>
      <c r="F8242" s="360">
        <f>'UPAD-BAHAN-ALAT'!I768</f>
        <v>6011640</v>
      </c>
      <c r="G8242" s="274">
        <f t="shared" ref="G8242:G8263" si="47">E8242*F8242</f>
        <v>15905797.5</v>
      </c>
    </row>
    <row r="8243" spans="1:7">
      <c r="A8243" s="247"/>
      <c r="B8243" s="282" t="s">
        <v>3374</v>
      </c>
      <c r="C8243" s="247"/>
      <c r="D8243" s="247" t="s">
        <v>3106</v>
      </c>
      <c r="E8243" s="372">
        <f>(5.65*3)/(1.2*2.4)</f>
        <v>5.8854166666666679</v>
      </c>
      <c r="F8243" s="360">
        <f>'UPAD-BAHAN-ALAT'!I769</f>
        <v>8029800</v>
      </c>
      <c r="G8243" s="274">
        <f t="shared" si="47"/>
        <v>47258718.750000007</v>
      </c>
    </row>
    <row r="8244" spans="1:7">
      <c r="A8244" s="247"/>
      <c r="B8244" s="282" t="s">
        <v>3375</v>
      </c>
      <c r="C8244" s="247"/>
      <c r="D8244" s="247" t="s">
        <v>3106</v>
      </c>
      <c r="E8244" s="372">
        <f>(2.54*1.2*2)/(1.2*2.4)</f>
        <v>2.1166666666666667</v>
      </c>
      <c r="F8244" s="360">
        <f>'UPAD-BAHAN-ALAT'!I770</f>
        <v>9076920</v>
      </c>
      <c r="G8244" s="274">
        <f t="shared" si="47"/>
        <v>19212814</v>
      </c>
    </row>
    <row r="8245" spans="1:7">
      <c r="A8245" s="247"/>
      <c r="B8245" s="282" t="s">
        <v>3376</v>
      </c>
      <c r="C8245" s="247"/>
      <c r="D8245" s="247" t="s">
        <v>1423</v>
      </c>
      <c r="E8245" s="372">
        <v>2</v>
      </c>
      <c r="F8245" s="360">
        <f>'UPAD-BAHAN-ALAT'!I771</f>
        <v>3816240</v>
      </c>
      <c r="G8245" s="274">
        <f t="shared" si="47"/>
        <v>7632480</v>
      </c>
    </row>
    <row r="8246" spans="1:7">
      <c r="A8246" s="247"/>
      <c r="B8246" s="282" t="s">
        <v>3377</v>
      </c>
      <c r="C8246" s="247"/>
      <c r="D8246" s="247" t="s">
        <v>1423</v>
      </c>
      <c r="E8246" s="372">
        <v>2</v>
      </c>
      <c r="F8246" s="360">
        <f>'UPAD-BAHAN-ALAT'!I772</f>
        <v>3816240</v>
      </c>
      <c r="G8246" s="274">
        <f t="shared" si="47"/>
        <v>7632480</v>
      </c>
    </row>
    <row r="8247" spans="1:7">
      <c r="A8247" s="247"/>
      <c r="B8247" s="282" t="s">
        <v>3916</v>
      </c>
      <c r="C8247" s="247"/>
      <c r="D8247" s="247" t="s">
        <v>1423</v>
      </c>
      <c r="E8247" s="372">
        <v>6</v>
      </c>
      <c r="F8247" s="360">
        <f>'UPAD-BAHAN-ALAT'!I773</f>
        <v>1511880</v>
      </c>
      <c r="G8247" s="274">
        <f t="shared" si="47"/>
        <v>9071280</v>
      </c>
    </row>
    <row r="8248" spans="1:7">
      <c r="A8248" s="247"/>
      <c r="B8248" s="282" t="s">
        <v>3917</v>
      </c>
      <c r="C8248" s="247"/>
      <c r="D8248" s="247" t="s">
        <v>1423</v>
      </c>
      <c r="E8248" s="372">
        <f>(E8247*2)+8</f>
        <v>20</v>
      </c>
      <c r="F8248" s="360">
        <f>'UPAD-BAHAN-ALAT'!I774</f>
        <v>101880</v>
      </c>
      <c r="G8248" s="274">
        <f t="shared" si="47"/>
        <v>2037600</v>
      </c>
    </row>
    <row r="8249" spans="1:7">
      <c r="A8249" s="247"/>
      <c r="B8249" s="282" t="s">
        <v>3379</v>
      </c>
      <c r="C8249" s="247"/>
      <c r="D8249" s="247" t="s">
        <v>1423</v>
      </c>
      <c r="E8249" s="372">
        <v>6</v>
      </c>
      <c r="F8249" s="360">
        <f>'UPAD-BAHAN-ALAT'!I776</f>
        <v>291000</v>
      </c>
      <c r="G8249" s="274">
        <f t="shared" si="47"/>
        <v>1746000</v>
      </c>
    </row>
    <row r="8250" spans="1:7">
      <c r="A8250" s="247"/>
      <c r="B8250" s="282" t="s">
        <v>3918</v>
      </c>
      <c r="C8250" s="247"/>
      <c r="D8250" s="247" t="s">
        <v>1423</v>
      </c>
      <c r="E8250" s="372">
        <v>4</v>
      </c>
      <c r="F8250" s="360">
        <f>'UPAD-BAHAN-ALAT'!I777</f>
        <v>291000</v>
      </c>
      <c r="G8250" s="274">
        <f t="shared" si="47"/>
        <v>1164000</v>
      </c>
    </row>
    <row r="8251" spans="1:7">
      <c r="A8251" s="247"/>
      <c r="B8251" s="282" t="s">
        <v>3381</v>
      </c>
      <c r="C8251" s="247"/>
      <c r="D8251" s="247" t="s">
        <v>853</v>
      </c>
      <c r="E8251" s="372">
        <v>13.3</v>
      </c>
      <c r="F8251" s="360">
        <f>'UPAD-BAHAN-ALAT'!I779</f>
        <v>605880</v>
      </c>
      <c r="G8251" s="274">
        <f t="shared" si="47"/>
        <v>8058204</v>
      </c>
    </row>
    <row r="8252" spans="1:7">
      <c r="A8252" s="247"/>
      <c r="B8252" s="282" t="s">
        <v>3382</v>
      </c>
      <c r="C8252" s="247"/>
      <c r="D8252" s="247" t="s">
        <v>2667</v>
      </c>
      <c r="E8252" s="372">
        <f>(0.74*4)/6</f>
        <v>0.49333333333333335</v>
      </c>
      <c r="F8252" s="360">
        <f>'UPAD-BAHAN-ALAT'!I780</f>
        <v>12263640</v>
      </c>
      <c r="G8252" s="274">
        <f t="shared" si="47"/>
        <v>6050062.4000000004</v>
      </c>
    </row>
    <row r="8253" spans="1:7">
      <c r="A8253" s="247"/>
      <c r="B8253" s="282" t="s">
        <v>3383</v>
      </c>
      <c r="C8253" s="247"/>
      <c r="D8253" s="247" t="s">
        <v>1423</v>
      </c>
      <c r="E8253" s="372">
        <v>1</v>
      </c>
      <c r="F8253" s="360">
        <f>'UPAD-BAHAN-ALAT'!I781</f>
        <v>6612240</v>
      </c>
      <c r="G8253" s="274">
        <f t="shared" si="47"/>
        <v>6612240</v>
      </c>
    </row>
    <row r="8254" spans="1:7">
      <c r="A8254" s="247"/>
      <c r="B8254" s="282" t="s">
        <v>3384</v>
      </c>
      <c r="C8254" s="247"/>
      <c r="D8254" s="247" t="s">
        <v>1423</v>
      </c>
      <c r="E8254" s="372">
        <v>1</v>
      </c>
      <c r="F8254" s="360">
        <f>'UPAD-BAHAN-ALAT'!I782</f>
        <v>555960</v>
      </c>
      <c r="G8254" s="274">
        <f t="shared" si="47"/>
        <v>555960</v>
      </c>
    </row>
    <row r="8255" spans="1:7">
      <c r="A8255" s="247"/>
      <c r="B8255" s="282" t="s">
        <v>3385</v>
      </c>
      <c r="C8255" s="247"/>
      <c r="D8255" s="247" t="s">
        <v>1423</v>
      </c>
      <c r="E8255" s="372">
        <v>160</v>
      </c>
      <c r="F8255" s="360">
        <f>'UPAD-BAHAN-ALAT'!I783</f>
        <v>112320</v>
      </c>
      <c r="G8255" s="274">
        <f t="shared" si="47"/>
        <v>17971200</v>
      </c>
    </row>
    <row r="8256" spans="1:7">
      <c r="A8256" s="247"/>
      <c r="B8256" s="282" t="s">
        <v>3386</v>
      </c>
      <c r="C8256" s="247"/>
      <c r="D8256" s="247" t="s">
        <v>773</v>
      </c>
      <c r="E8256" s="372">
        <f>2.54*0.75*1800</f>
        <v>3429</v>
      </c>
      <c r="F8256" s="360">
        <f>'UPAD-BAHAN-ALAT'!I784</f>
        <v>2400</v>
      </c>
      <c r="G8256" s="274">
        <f t="shared" si="47"/>
        <v>8229600</v>
      </c>
    </row>
    <row r="8257" spans="1:7">
      <c r="A8257" s="247"/>
      <c r="B8257" s="282" t="s">
        <v>3387</v>
      </c>
      <c r="C8257" s="247"/>
      <c r="D8257" s="247" t="s">
        <v>773</v>
      </c>
      <c r="E8257" s="372">
        <f>2.54*0.4*1800</f>
        <v>1828.8</v>
      </c>
      <c r="F8257" s="360">
        <f>'UPAD-BAHAN-ALAT'!I785</f>
        <v>2400</v>
      </c>
      <c r="G8257" s="274">
        <f t="shared" si="47"/>
        <v>4389120</v>
      </c>
    </row>
    <row r="8258" spans="1:7">
      <c r="A8258" s="247"/>
      <c r="B8258" s="282" t="s">
        <v>3388</v>
      </c>
      <c r="C8258" s="247"/>
      <c r="D8258" s="247" t="s">
        <v>773</v>
      </c>
      <c r="E8258" s="372">
        <f>2.54*0.35*1800</f>
        <v>1600.1999999999998</v>
      </c>
      <c r="F8258" s="360">
        <f>'UPAD-BAHAN-ALAT'!I786</f>
        <v>2400</v>
      </c>
      <c r="G8258" s="274">
        <f t="shared" si="47"/>
        <v>3840479.9999999995</v>
      </c>
    </row>
    <row r="8259" spans="1:7">
      <c r="A8259" s="247"/>
      <c r="B8259" s="282" t="s">
        <v>3389</v>
      </c>
      <c r="C8259" s="247"/>
      <c r="D8259" s="247" t="s">
        <v>773</v>
      </c>
      <c r="E8259" s="372">
        <f>2.54*0.3*1800</f>
        <v>1371.6</v>
      </c>
      <c r="F8259" s="360">
        <f>'UPAD-BAHAN-ALAT'!I787</f>
        <v>2160</v>
      </c>
      <c r="G8259" s="274">
        <f t="shared" si="47"/>
        <v>2962656</v>
      </c>
    </row>
    <row r="8260" spans="1:7">
      <c r="A8260" s="247"/>
      <c r="B8260" s="282" t="s">
        <v>3390</v>
      </c>
      <c r="C8260" s="247"/>
      <c r="D8260" s="247" t="s">
        <v>2647</v>
      </c>
      <c r="E8260" s="372">
        <v>4</v>
      </c>
      <c r="F8260" s="360">
        <f>'UPAD-BAHAN-ALAT'!I788</f>
        <v>166680</v>
      </c>
      <c r="G8260" s="274">
        <f t="shared" si="47"/>
        <v>666720</v>
      </c>
    </row>
    <row r="8261" spans="1:7">
      <c r="A8261" s="247"/>
      <c r="B8261" s="282" t="s">
        <v>3391</v>
      </c>
      <c r="C8261" s="247"/>
      <c r="D8261" s="247" t="s">
        <v>1423</v>
      </c>
      <c r="E8261" s="372">
        <f>17*4</f>
        <v>68</v>
      </c>
      <c r="F8261" s="360">
        <f>'UPAD-BAHAN-ALAT'!I789</f>
        <v>8640</v>
      </c>
      <c r="G8261" s="274">
        <f t="shared" si="47"/>
        <v>587520</v>
      </c>
    </row>
    <row r="8262" spans="1:7">
      <c r="A8262" s="247"/>
      <c r="B8262" s="282" t="s">
        <v>3392</v>
      </c>
      <c r="C8262" s="247"/>
      <c r="D8262" s="247" t="s">
        <v>1423</v>
      </c>
      <c r="E8262" s="372">
        <v>32</v>
      </c>
      <c r="F8262" s="360">
        <f>'UPAD-BAHAN-ALAT'!I790</f>
        <v>122280</v>
      </c>
      <c r="G8262" s="274">
        <f t="shared" si="47"/>
        <v>3912960</v>
      </c>
    </row>
    <row r="8263" spans="1:7">
      <c r="A8263" s="247"/>
      <c r="B8263" s="282" t="s">
        <v>3393</v>
      </c>
      <c r="C8263" s="247"/>
      <c r="D8263" s="247" t="s">
        <v>1423</v>
      </c>
      <c r="E8263" s="372">
        <v>16</v>
      </c>
      <c r="F8263" s="360">
        <f>'UPAD-BAHAN-ALAT'!I791</f>
        <v>33960</v>
      </c>
      <c r="G8263" s="274">
        <f t="shared" si="47"/>
        <v>543360</v>
      </c>
    </row>
    <row r="8264" spans="1:7">
      <c r="A8264" s="355"/>
      <c r="B8264" s="356"/>
      <c r="C8264" s="356"/>
      <c r="D8264" s="356"/>
      <c r="E8264" s="384" t="s">
        <v>3909</v>
      </c>
      <c r="F8264" s="391"/>
      <c r="G8264" s="274">
        <f>SUM(G8242:G8263)</f>
        <v>176041252.65000001</v>
      </c>
    </row>
    <row r="8265" spans="1:7" s="265" customFormat="1">
      <c r="A8265" s="294" t="s">
        <v>703</v>
      </c>
      <c r="B8265" s="1141" t="s">
        <v>3910</v>
      </c>
      <c r="C8265" s="1142"/>
      <c r="D8265" s="1142"/>
      <c r="E8265" s="1142"/>
      <c r="F8265" s="1143"/>
      <c r="G8265" s="273">
        <f>G8240+G8264</f>
        <v>205593799.96422648</v>
      </c>
    </row>
    <row r="8266" spans="1:7" s="265" customFormat="1">
      <c r="A8266" s="294" t="s">
        <v>706</v>
      </c>
      <c r="B8266" s="1141" t="s">
        <v>709</v>
      </c>
      <c r="C8266" s="1142"/>
      <c r="D8266" s="1143"/>
      <c r="E8266" s="1141" t="s">
        <v>4030</v>
      </c>
      <c r="F8266" s="1143"/>
      <c r="G8266" s="255">
        <f>G8265*0.15</f>
        <v>30839069.994633973</v>
      </c>
    </row>
    <row r="8267" spans="1:7" s="265" customFormat="1">
      <c r="A8267" s="294" t="s">
        <v>708</v>
      </c>
      <c r="B8267" s="1141" t="s">
        <v>3911</v>
      </c>
      <c r="C8267" s="1142"/>
      <c r="D8267" s="1142"/>
      <c r="E8267" s="1142"/>
      <c r="F8267" s="1143"/>
      <c r="G8267" s="255">
        <f>ROUND(SUM(G8265:G8266),2)</f>
        <v>236432869.96000001</v>
      </c>
    </row>
    <row r="8268" spans="1:7">
      <c r="A8268" s="749"/>
      <c r="B8268" s="750"/>
      <c r="C8268" s="751"/>
      <c r="D8268" s="279"/>
      <c r="E8268" s="752"/>
      <c r="F8268" s="753"/>
      <c r="G8268" s="754"/>
    </row>
    <row r="8269" spans="1:7">
      <c r="A8269" s="284" t="s">
        <v>3919</v>
      </c>
      <c r="B8269" s="250" t="s">
        <v>3920</v>
      </c>
      <c r="C8269" s="252"/>
      <c r="D8269" s="252"/>
      <c r="E8269" s="374"/>
      <c r="F8269" s="361"/>
      <c r="G8269" s="272"/>
    </row>
    <row r="8270" spans="1:7" s="292" customFormat="1" ht="24.95" customHeight="1">
      <c r="A8270" s="290" t="s">
        <v>1003</v>
      </c>
      <c r="B8270" s="290" t="s">
        <v>1004</v>
      </c>
      <c r="C8270" s="290" t="s">
        <v>1005</v>
      </c>
      <c r="D8270" s="290" t="s">
        <v>1006</v>
      </c>
      <c r="E8270" s="373" t="s">
        <v>1007</v>
      </c>
      <c r="F8270" s="363" t="s">
        <v>2637</v>
      </c>
      <c r="G8270" s="353" t="s">
        <v>2638</v>
      </c>
    </row>
    <row r="8271" spans="1:7">
      <c r="A8271" s="294" t="s">
        <v>671</v>
      </c>
      <c r="B8271" s="410" t="s">
        <v>3902</v>
      </c>
      <c r="C8271" s="247"/>
      <c r="D8271" s="247"/>
      <c r="E8271" s="372"/>
      <c r="F8271" s="360"/>
      <c r="G8271" s="274"/>
    </row>
    <row r="8272" spans="1:7">
      <c r="A8272" s="294"/>
      <c r="B8272" s="282" t="str">
        <f>'[43]analisa baru'!$B$2378</f>
        <v>Pengerjaan 10 cm pengelasan dengan las listrik</v>
      </c>
      <c r="C8272" s="247" t="str">
        <f>'[43]analisa baru'!$A$2378</f>
        <v xml:space="preserve">A.4.2.1.5. </v>
      </c>
      <c r="D8272" s="247" t="s">
        <v>959</v>
      </c>
      <c r="E8272" s="372">
        <f>(3.23+3.23+3.23+(4*(E8277+E8278)))/0.1</f>
        <v>208.19583333333333</v>
      </c>
      <c r="F8272" s="360">
        <f>F8237</f>
        <v>51646.5</v>
      </c>
      <c r="G8272" s="274">
        <f>E8272*F8272</f>
        <v>10752586.106249999</v>
      </c>
    </row>
    <row r="8273" spans="1:7">
      <c r="A8273" s="294"/>
      <c r="B8273" s="282" t="str">
        <f>'[43]analisa baru'!$B$2335</f>
        <v xml:space="preserve"> Pengerjaan 100 kg pekerjaan perakitan</v>
      </c>
      <c r="C8273" s="247" t="str">
        <f>'[43]analisa baru'!$A$2335</f>
        <v>A.4.2.1.3.</v>
      </c>
      <c r="D8273" s="247" t="s">
        <v>773</v>
      </c>
      <c r="E8273" s="372">
        <f>((7850*(E8277+E8278+(E8279*2.54))*0.006)+(E8287*7850)+(E8286*2.5))/100</f>
        <v>28.534643604166668</v>
      </c>
      <c r="F8273" s="360">
        <f>F8238</f>
        <v>47667.5</v>
      </c>
      <c r="G8273" s="274">
        <f>E8273*F8273</f>
        <v>1360175.1240016147</v>
      </c>
    </row>
    <row r="8274" spans="1:7">
      <c r="A8274" s="294"/>
      <c r="B8274" s="282" t="s">
        <v>3670</v>
      </c>
      <c r="C8274" s="247"/>
      <c r="D8274" s="247" t="s">
        <v>2997</v>
      </c>
      <c r="E8274" s="372">
        <v>1</v>
      </c>
      <c r="F8274" s="360">
        <v>750000</v>
      </c>
      <c r="G8274" s="274">
        <f>E8274*F8274</f>
        <v>750000</v>
      </c>
    </row>
    <row r="8275" spans="1:7">
      <c r="A8275" s="357"/>
      <c r="B8275" s="356"/>
      <c r="C8275" s="356"/>
      <c r="D8275" s="356"/>
      <c r="E8275" s="384" t="s">
        <v>685</v>
      </c>
      <c r="F8275" s="391"/>
      <c r="G8275" s="274">
        <f>SUM(G8272:G8274)</f>
        <v>12862761.230251614</v>
      </c>
    </row>
    <row r="8276" spans="1:7">
      <c r="A8276" s="294" t="s">
        <v>686</v>
      </c>
      <c r="B8276" s="410" t="s">
        <v>687</v>
      </c>
      <c r="C8276" s="247"/>
      <c r="D8276" s="247"/>
      <c r="E8276" s="372"/>
      <c r="F8276" s="360"/>
      <c r="G8276" s="274"/>
    </row>
    <row r="8277" spans="1:7">
      <c r="A8277" s="294"/>
      <c r="B8277" s="282" t="s">
        <v>3373</v>
      </c>
      <c r="C8277" s="247"/>
      <c r="D8277" s="247" t="s">
        <v>3106</v>
      </c>
      <c r="E8277" s="372">
        <f>(0.83*3)/(1.2*2.4)</f>
        <v>0.86458333333333326</v>
      </c>
      <c r="F8277" s="360">
        <f>'UPAD-BAHAN-ALAT'!I768</f>
        <v>6011640</v>
      </c>
      <c r="G8277" s="274">
        <f t="shared" ref="G8277:G8298" si="48">E8277*F8277</f>
        <v>5197563.75</v>
      </c>
    </row>
    <row r="8278" spans="1:7">
      <c r="A8278" s="247"/>
      <c r="B8278" s="282" t="s">
        <v>3374</v>
      </c>
      <c r="C8278" s="247"/>
      <c r="D8278" s="247" t="s">
        <v>3106</v>
      </c>
      <c r="E8278" s="372">
        <f>(3.23*1.71)/(1.2*2.4)</f>
        <v>1.9178124999999999</v>
      </c>
      <c r="F8278" s="360">
        <f>'UPAD-BAHAN-ALAT'!I769</f>
        <v>8029800</v>
      </c>
      <c r="G8278" s="274">
        <f t="shared" si="48"/>
        <v>15399650.8125</v>
      </c>
    </row>
    <row r="8279" spans="1:7">
      <c r="A8279" s="247"/>
      <c r="B8279" s="282" t="s">
        <v>3375</v>
      </c>
      <c r="C8279" s="247"/>
      <c r="D8279" s="247" t="s">
        <v>3106</v>
      </c>
      <c r="E8279" s="372">
        <f>(0.83*1.2*2)/(1.2*2.4)</f>
        <v>0.69166666666666665</v>
      </c>
      <c r="F8279" s="360">
        <f>'UPAD-BAHAN-ALAT'!I770</f>
        <v>9076920</v>
      </c>
      <c r="G8279" s="274">
        <f t="shared" si="48"/>
        <v>6278203</v>
      </c>
    </row>
    <row r="8280" spans="1:7">
      <c r="A8280" s="247"/>
      <c r="B8280" s="282" t="s">
        <v>3376</v>
      </c>
      <c r="C8280" s="247"/>
      <c r="D8280" s="247" t="s">
        <v>1423</v>
      </c>
      <c r="E8280" s="372">
        <v>1</v>
      </c>
      <c r="F8280" s="360">
        <f>'UPAD-BAHAN-ALAT'!I771</f>
        <v>3816240</v>
      </c>
      <c r="G8280" s="274">
        <f t="shared" si="48"/>
        <v>3816240</v>
      </c>
    </row>
    <row r="8281" spans="1:7">
      <c r="A8281" s="247"/>
      <c r="B8281" s="282" t="s">
        <v>3377</v>
      </c>
      <c r="C8281" s="247"/>
      <c r="D8281" s="247" t="s">
        <v>1423</v>
      </c>
      <c r="E8281" s="372">
        <v>1</v>
      </c>
      <c r="F8281" s="360">
        <f>'UPAD-BAHAN-ALAT'!I772</f>
        <v>3816240</v>
      </c>
      <c r="G8281" s="274">
        <f t="shared" si="48"/>
        <v>3816240</v>
      </c>
    </row>
    <row r="8282" spans="1:7">
      <c r="A8282" s="247"/>
      <c r="B8282" s="282" t="s">
        <v>3916</v>
      </c>
      <c r="C8282" s="247"/>
      <c r="D8282" s="247" t="s">
        <v>1423</v>
      </c>
      <c r="E8282" s="372">
        <v>5</v>
      </c>
      <c r="F8282" s="360">
        <f>'UPAD-BAHAN-ALAT'!I773</f>
        <v>1511880</v>
      </c>
      <c r="G8282" s="274">
        <f t="shared" si="48"/>
        <v>7559400</v>
      </c>
    </row>
    <row r="8283" spans="1:7">
      <c r="A8283" s="247"/>
      <c r="B8283" s="282" t="s">
        <v>3917</v>
      </c>
      <c r="C8283" s="247"/>
      <c r="D8283" s="247" t="s">
        <v>1423</v>
      </c>
      <c r="E8283" s="372">
        <f>(E8282*2)+8</f>
        <v>18</v>
      </c>
      <c r="F8283" s="360">
        <f>'UPAD-BAHAN-ALAT'!I774</f>
        <v>101880</v>
      </c>
      <c r="G8283" s="274">
        <f t="shared" si="48"/>
        <v>1833840</v>
      </c>
    </row>
    <row r="8284" spans="1:7">
      <c r="A8284" s="247"/>
      <c r="B8284" s="282" t="s">
        <v>3379</v>
      </c>
      <c r="C8284" s="247"/>
      <c r="D8284" s="247" t="s">
        <v>1423</v>
      </c>
      <c r="E8284" s="372">
        <v>5</v>
      </c>
      <c r="F8284" s="360">
        <f>'UPAD-BAHAN-ALAT'!I776</f>
        <v>291000</v>
      </c>
      <c r="G8284" s="274">
        <f t="shared" si="48"/>
        <v>1455000</v>
      </c>
    </row>
    <row r="8285" spans="1:7">
      <c r="A8285" s="247"/>
      <c r="B8285" s="282" t="s">
        <v>3918</v>
      </c>
      <c r="C8285" s="247"/>
      <c r="D8285" s="247" t="s">
        <v>1423</v>
      </c>
      <c r="E8285" s="372">
        <v>4</v>
      </c>
      <c r="F8285" s="360">
        <f>'UPAD-BAHAN-ALAT'!I777</f>
        <v>291000</v>
      </c>
      <c r="G8285" s="274">
        <f t="shared" si="48"/>
        <v>1164000</v>
      </c>
    </row>
    <row r="8286" spans="1:7">
      <c r="A8286" s="247"/>
      <c r="B8286" s="282" t="s">
        <v>3381</v>
      </c>
      <c r="C8286" s="247"/>
      <c r="D8286" s="247" t="s">
        <v>853</v>
      </c>
      <c r="E8286" s="372">
        <v>9.1999999999999993</v>
      </c>
      <c r="F8286" s="360">
        <f>'UPAD-BAHAN-ALAT'!I779</f>
        <v>605880</v>
      </c>
      <c r="G8286" s="274">
        <f t="shared" si="48"/>
        <v>5574096</v>
      </c>
    </row>
    <row r="8287" spans="1:7">
      <c r="A8287" s="247"/>
      <c r="B8287" s="282" t="s">
        <v>3382</v>
      </c>
      <c r="C8287" s="247"/>
      <c r="D8287" s="247" t="s">
        <v>2667</v>
      </c>
      <c r="E8287" s="372">
        <f>(0.5*4)/6</f>
        <v>0.33333333333333331</v>
      </c>
      <c r="F8287" s="360">
        <f>'UPAD-BAHAN-ALAT'!I780</f>
        <v>12263640</v>
      </c>
      <c r="G8287" s="274">
        <f t="shared" si="48"/>
        <v>4087880</v>
      </c>
    </row>
    <row r="8288" spans="1:7">
      <c r="A8288" s="247"/>
      <c r="B8288" s="282" t="s">
        <v>3921</v>
      </c>
      <c r="C8288" s="247"/>
      <c r="D8288" s="247" t="s">
        <v>1423</v>
      </c>
      <c r="E8288" s="372">
        <v>1</v>
      </c>
      <c r="F8288" s="360">
        <f>'UPAD-BAHAN-ALAT'!I654</f>
        <v>2787840</v>
      </c>
      <c r="G8288" s="274">
        <f t="shared" si="48"/>
        <v>2787840</v>
      </c>
    </row>
    <row r="8289" spans="1:7">
      <c r="A8289" s="247"/>
      <c r="B8289" s="282" t="s">
        <v>3384</v>
      </c>
      <c r="C8289" s="247"/>
      <c r="D8289" s="247" t="s">
        <v>1423</v>
      </c>
      <c r="E8289" s="372">
        <v>1</v>
      </c>
      <c r="F8289" s="360">
        <f>'UPAD-BAHAN-ALAT'!I782</f>
        <v>555960</v>
      </c>
      <c r="G8289" s="274">
        <f t="shared" si="48"/>
        <v>555960</v>
      </c>
    </row>
    <row r="8290" spans="1:7">
      <c r="A8290" s="247"/>
      <c r="B8290" s="282" t="s">
        <v>3385</v>
      </c>
      <c r="C8290" s="247"/>
      <c r="D8290" s="247" t="s">
        <v>1423</v>
      </c>
      <c r="E8290" s="372">
        <v>90</v>
      </c>
      <c r="F8290" s="360">
        <f>'UPAD-BAHAN-ALAT'!I783</f>
        <v>112320</v>
      </c>
      <c r="G8290" s="274">
        <f t="shared" si="48"/>
        <v>10108800</v>
      </c>
    </row>
    <row r="8291" spans="1:7">
      <c r="A8291" s="247"/>
      <c r="B8291" s="282" t="s">
        <v>3386</v>
      </c>
      <c r="C8291" s="247"/>
      <c r="D8291" s="247" t="s">
        <v>773</v>
      </c>
      <c r="E8291" s="372">
        <f>0.83*0.45*1800</f>
        <v>672.3</v>
      </c>
      <c r="F8291" s="360">
        <f>'UPAD-BAHAN-ALAT'!I784</f>
        <v>2400</v>
      </c>
      <c r="G8291" s="274">
        <f t="shared" si="48"/>
        <v>1613520</v>
      </c>
    </row>
    <row r="8292" spans="1:7">
      <c r="A8292" s="247"/>
      <c r="B8292" s="282" t="s">
        <v>3387</v>
      </c>
      <c r="C8292" s="247"/>
      <c r="D8292" s="247" t="s">
        <v>773</v>
      </c>
      <c r="E8292" s="372">
        <f>0.83*0.25*1800</f>
        <v>373.5</v>
      </c>
      <c r="F8292" s="360">
        <f>'UPAD-BAHAN-ALAT'!I785</f>
        <v>2400</v>
      </c>
      <c r="G8292" s="274">
        <f t="shared" si="48"/>
        <v>896400</v>
      </c>
    </row>
    <row r="8293" spans="1:7">
      <c r="A8293" s="247"/>
      <c r="B8293" s="282" t="s">
        <v>3388</v>
      </c>
      <c r="C8293" s="247"/>
      <c r="D8293" s="247" t="s">
        <v>773</v>
      </c>
      <c r="E8293" s="372">
        <f>0.83*0.2*1800</f>
        <v>298.8</v>
      </c>
      <c r="F8293" s="360">
        <f>'UPAD-BAHAN-ALAT'!I786</f>
        <v>2400</v>
      </c>
      <c r="G8293" s="274">
        <f t="shared" si="48"/>
        <v>717120</v>
      </c>
    </row>
    <row r="8294" spans="1:7">
      <c r="A8294" s="247"/>
      <c r="B8294" s="282" t="s">
        <v>3389</v>
      </c>
      <c r="C8294" s="247"/>
      <c r="D8294" s="247" t="s">
        <v>773</v>
      </c>
      <c r="E8294" s="372">
        <f>0.83*0.2*1800</f>
        <v>298.8</v>
      </c>
      <c r="F8294" s="360">
        <f>'UPAD-BAHAN-ALAT'!I787</f>
        <v>2160</v>
      </c>
      <c r="G8294" s="274">
        <f t="shared" si="48"/>
        <v>645408</v>
      </c>
    </row>
    <row r="8295" spans="1:7">
      <c r="A8295" s="247"/>
      <c r="B8295" s="282" t="s">
        <v>3390</v>
      </c>
      <c r="C8295" s="247"/>
      <c r="D8295" s="247" t="s">
        <v>2647</v>
      </c>
      <c r="E8295" s="372">
        <v>3</v>
      </c>
      <c r="F8295" s="360">
        <f>'UPAD-BAHAN-ALAT'!I788</f>
        <v>166680</v>
      </c>
      <c r="G8295" s="274">
        <f t="shared" si="48"/>
        <v>500040</v>
      </c>
    </row>
    <row r="8296" spans="1:7">
      <c r="A8296" s="247"/>
      <c r="B8296" s="282" t="s">
        <v>3391</v>
      </c>
      <c r="C8296" s="247"/>
      <c r="D8296" s="247" t="s">
        <v>1423</v>
      </c>
      <c r="E8296" s="372">
        <f>17*4</f>
        <v>68</v>
      </c>
      <c r="F8296" s="360">
        <f>'UPAD-BAHAN-ALAT'!I789</f>
        <v>8640</v>
      </c>
      <c r="G8296" s="274">
        <f t="shared" si="48"/>
        <v>587520</v>
      </c>
    </row>
    <row r="8297" spans="1:7">
      <c r="A8297" s="247"/>
      <c r="B8297" s="282" t="s">
        <v>3392</v>
      </c>
      <c r="C8297" s="247"/>
      <c r="D8297" s="247" t="s">
        <v>1423</v>
      </c>
      <c r="E8297" s="372">
        <v>32</v>
      </c>
      <c r="F8297" s="360">
        <f>'UPAD-BAHAN-ALAT'!I790</f>
        <v>122280</v>
      </c>
      <c r="G8297" s="274">
        <f t="shared" si="48"/>
        <v>3912960</v>
      </c>
    </row>
    <row r="8298" spans="1:7">
      <c r="A8298" s="247"/>
      <c r="B8298" s="282" t="s">
        <v>3393</v>
      </c>
      <c r="C8298" s="247"/>
      <c r="D8298" s="247" t="s">
        <v>1423</v>
      </c>
      <c r="E8298" s="372">
        <v>16</v>
      </c>
      <c r="F8298" s="360">
        <f>'UPAD-BAHAN-ALAT'!I791</f>
        <v>33960</v>
      </c>
      <c r="G8298" s="274">
        <f t="shared" si="48"/>
        <v>543360</v>
      </c>
    </row>
    <row r="8299" spans="1:7">
      <c r="A8299" s="355"/>
      <c r="B8299" s="356"/>
      <c r="C8299" s="356"/>
      <c r="D8299" s="356"/>
      <c r="E8299" s="384" t="s">
        <v>3909</v>
      </c>
      <c r="F8299" s="391"/>
      <c r="G8299" s="274">
        <f>SUM(G8277:G8298)</f>
        <v>79051041.5625</v>
      </c>
    </row>
    <row r="8300" spans="1:7" s="265" customFormat="1">
      <c r="A8300" s="294" t="s">
        <v>703</v>
      </c>
      <c r="B8300" s="1141" t="s">
        <v>3910</v>
      </c>
      <c r="C8300" s="1142"/>
      <c r="D8300" s="1142"/>
      <c r="E8300" s="1142"/>
      <c r="F8300" s="1143"/>
      <c r="G8300" s="273">
        <f>G8275+G8299</f>
        <v>91913802.79275161</v>
      </c>
    </row>
    <row r="8301" spans="1:7" s="265" customFormat="1">
      <c r="A8301" s="294" t="s">
        <v>706</v>
      </c>
      <c r="B8301" s="1141" t="s">
        <v>709</v>
      </c>
      <c r="C8301" s="1142"/>
      <c r="D8301" s="1143"/>
      <c r="E8301" s="1141" t="s">
        <v>4030</v>
      </c>
      <c r="F8301" s="1143"/>
      <c r="G8301" s="255">
        <f>G8300*0.15</f>
        <v>13787070.41891274</v>
      </c>
    </row>
    <row r="8302" spans="1:7" s="265" customFormat="1">
      <c r="A8302" s="294" t="s">
        <v>708</v>
      </c>
      <c r="B8302" s="1141" t="s">
        <v>3911</v>
      </c>
      <c r="C8302" s="1142"/>
      <c r="D8302" s="1142"/>
      <c r="E8302" s="1142"/>
      <c r="F8302" s="1143"/>
      <c r="G8302" s="255">
        <f>ROUND(SUM(G8300:G8301),2)</f>
        <v>105700873.20999999</v>
      </c>
    </row>
    <row r="8303" spans="1:7">
      <c r="A8303" s="749"/>
      <c r="B8303" s="750"/>
      <c r="C8303" s="751"/>
      <c r="D8303" s="279"/>
      <c r="E8303" s="752"/>
      <c r="F8303" s="753"/>
      <c r="G8303" s="754"/>
    </row>
    <row r="8304" spans="1:7">
      <c r="A8304" s="284" t="s">
        <v>3922</v>
      </c>
      <c r="B8304" s="250" t="s">
        <v>3923</v>
      </c>
      <c r="C8304" s="252"/>
      <c r="D8304" s="252"/>
      <c r="E8304" s="374"/>
      <c r="F8304" s="361"/>
      <c r="G8304" s="272"/>
    </row>
    <row r="8305" spans="1:7" s="292" customFormat="1" ht="24.95" customHeight="1">
      <c r="A8305" s="290" t="s">
        <v>1003</v>
      </c>
      <c r="B8305" s="290" t="s">
        <v>1004</v>
      </c>
      <c r="C8305" s="290" t="s">
        <v>1005</v>
      </c>
      <c r="D8305" s="290" t="s">
        <v>1006</v>
      </c>
      <c r="E8305" s="373" t="s">
        <v>1007</v>
      </c>
      <c r="F8305" s="363" t="s">
        <v>2637</v>
      </c>
      <c r="G8305" s="353" t="s">
        <v>2638</v>
      </c>
    </row>
    <row r="8306" spans="1:7">
      <c r="A8306" s="294" t="s">
        <v>671</v>
      </c>
      <c r="B8306" s="410" t="s">
        <v>3902</v>
      </c>
      <c r="C8306" s="247"/>
      <c r="D8306" s="247"/>
      <c r="E8306" s="372"/>
      <c r="F8306" s="360"/>
      <c r="G8306" s="274"/>
    </row>
    <row r="8307" spans="1:7">
      <c r="A8307" s="294"/>
      <c r="B8307" s="282" t="s">
        <v>3670</v>
      </c>
      <c r="C8307" s="247"/>
      <c r="D8307" s="247" t="s">
        <v>2997</v>
      </c>
      <c r="E8307" s="372">
        <v>1</v>
      </c>
      <c r="F8307" s="360">
        <v>500000</v>
      </c>
      <c r="G8307" s="274">
        <f>E8307*F8307</f>
        <v>500000</v>
      </c>
    </row>
    <row r="8308" spans="1:7">
      <c r="A8308" s="357"/>
      <c r="B8308" s="356"/>
      <c r="C8308" s="356"/>
      <c r="D8308" s="356"/>
      <c r="E8308" s="384" t="s">
        <v>685</v>
      </c>
      <c r="F8308" s="391"/>
      <c r="G8308" s="274">
        <f>SUM(G8307:G8307)</f>
        <v>500000</v>
      </c>
    </row>
    <row r="8309" spans="1:7">
      <c r="A8309" s="294" t="s">
        <v>686</v>
      </c>
      <c r="B8309" s="410" t="s">
        <v>687</v>
      </c>
      <c r="C8309" s="247"/>
      <c r="D8309" s="247"/>
      <c r="E8309" s="372"/>
      <c r="F8309" s="360"/>
      <c r="G8309" s="274"/>
    </row>
    <row r="8310" spans="1:7">
      <c r="A8310" s="294"/>
      <c r="B8310" s="282" t="s">
        <v>3376</v>
      </c>
      <c r="C8310" s="247"/>
      <c r="D8310" s="247" t="s">
        <v>1423</v>
      </c>
      <c r="E8310" s="372">
        <v>2</v>
      </c>
      <c r="F8310" s="360">
        <f>'UPAD-BAHAN-ALAT'!$I$771</f>
        <v>3816240</v>
      </c>
      <c r="G8310" s="274">
        <f t="shared" ref="G8310:G8322" si="49">E8310*F8310</f>
        <v>7632480</v>
      </c>
    </row>
    <row r="8311" spans="1:7">
      <c r="A8311" s="294"/>
      <c r="B8311" s="282" t="s">
        <v>3377</v>
      </c>
      <c r="C8311" s="247"/>
      <c r="D8311" s="247" t="s">
        <v>1423</v>
      </c>
      <c r="E8311" s="372">
        <v>2</v>
      </c>
      <c r="F8311" s="360">
        <f>'UPAD-BAHAN-ALAT'!$I$772</f>
        <v>3816240</v>
      </c>
      <c r="G8311" s="274">
        <f t="shared" si="49"/>
        <v>7632480</v>
      </c>
    </row>
    <row r="8312" spans="1:7">
      <c r="A8312" s="247"/>
      <c r="B8312" s="282" t="s">
        <v>3916</v>
      </c>
      <c r="C8312" s="247"/>
      <c r="D8312" s="247" t="s">
        <v>1423</v>
      </c>
      <c r="E8312" s="372">
        <v>4</v>
      </c>
      <c r="F8312" s="360">
        <f>'UPAD-BAHAN-ALAT'!$I$773</f>
        <v>1511880</v>
      </c>
      <c r="G8312" s="274">
        <f t="shared" si="49"/>
        <v>6047520</v>
      </c>
    </row>
    <row r="8313" spans="1:7">
      <c r="A8313" s="247"/>
      <c r="B8313" s="282" t="s">
        <v>3917</v>
      </c>
      <c r="C8313" s="247"/>
      <c r="D8313" s="247" t="s">
        <v>1423</v>
      </c>
      <c r="E8313" s="372">
        <f>E8312+7</f>
        <v>11</v>
      </c>
      <c r="F8313" s="360">
        <f>'UPAD-BAHAN-ALAT'!$I$774</f>
        <v>101880</v>
      </c>
      <c r="G8313" s="274">
        <f t="shared" si="49"/>
        <v>1120680</v>
      </c>
    </row>
    <row r="8314" spans="1:7">
      <c r="A8314" s="247"/>
      <c r="B8314" s="282" t="s">
        <v>3379</v>
      </c>
      <c r="C8314" s="247"/>
      <c r="D8314" s="247" t="s">
        <v>1423</v>
      </c>
      <c r="E8314" s="372">
        <v>5</v>
      </c>
      <c r="F8314" s="360">
        <f>'UPAD-BAHAN-ALAT'!$I$776</f>
        <v>291000</v>
      </c>
      <c r="G8314" s="274">
        <f t="shared" si="49"/>
        <v>1455000</v>
      </c>
    </row>
    <row r="8315" spans="1:7">
      <c r="A8315" s="247"/>
      <c r="B8315" s="282" t="s">
        <v>3918</v>
      </c>
      <c r="C8315" s="247"/>
      <c r="D8315" s="247" t="s">
        <v>1423</v>
      </c>
      <c r="E8315" s="372">
        <v>2</v>
      </c>
      <c r="F8315" s="360">
        <f>'UPAD-BAHAN-ALAT'!$I$777</f>
        <v>291000</v>
      </c>
      <c r="G8315" s="274">
        <f t="shared" si="49"/>
        <v>582000</v>
      </c>
    </row>
    <row r="8316" spans="1:7">
      <c r="A8316" s="247"/>
      <c r="B8316" s="282" t="s">
        <v>3380</v>
      </c>
      <c r="C8316" s="247"/>
      <c r="D8316" s="247" t="s">
        <v>853</v>
      </c>
      <c r="E8316" s="372">
        <v>3</v>
      </c>
      <c r="F8316" s="360">
        <f>'UPAD-BAHAN-ALAT'!$I$778</f>
        <v>5984880</v>
      </c>
      <c r="G8316" s="274">
        <f t="shared" si="49"/>
        <v>17954640</v>
      </c>
    </row>
    <row r="8317" spans="1:7">
      <c r="A8317" s="247"/>
      <c r="B8317" s="282" t="s">
        <v>3381</v>
      </c>
      <c r="C8317" s="247"/>
      <c r="D8317" s="247" t="s">
        <v>853</v>
      </c>
      <c r="E8317" s="372">
        <v>9.5</v>
      </c>
      <c r="F8317" s="360">
        <f>'UPAD-BAHAN-ALAT'!$I$779</f>
        <v>605880</v>
      </c>
      <c r="G8317" s="274">
        <f t="shared" si="49"/>
        <v>5755860</v>
      </c>
    </row>
    <row r="8318" spans="1:7">
      <c r="A8318" s="247"/>
      <c r="B8318" s="282" t="s">
        <v>3382</v>
      </c>
      <c r="C8318" s="247"/>
      <c r="D8318" s="247" t="s">
        <v>2667</v>
      </c>
      <c r="E8318" s="372">
        <f>4/6</f>
        <v>0.66666666666666663</v>
      </c>
      <c r="F8318" s="360">
        <f>'UPAD-BAHAN-ALAT'!$I$780</f>
        <v>12263640</v>
      </c>
      <c r="G8318" s="274">
        <f t="shared" si="49"/>
        <v>8175760</v>
      </c>
    </row>
    <row r="8319" spans="1:7">
      <c r="A8319" s="247"/>
      <c r="B8319" s="282" t="s">
        <v>3389</v>
      </c>
      <c r="C8319" s="247"/>
      <c r="D8319" s="247" t="s">
        <v>773</v>
      </c>
      <c r="E8319" s="372">
        <f>0.84*3*1800</f>
        <v>4536</v>
      </c>
      <c r="F8319" s="360">
        <f>'UPAD-BAHAN-ALAT'!$I$787</f>
        <v>2160</v>
      </c>
      <c r="G8319" s="274">
        <f t="shared" si="49"/>
        <v>9797760</v>
      </c>
    </row>
    <row r="8320" spans="1:7">
      <c r="A8320" s="247"/>
      <c r="B8320" s="282" t="s">
        <v>3390</v>
      </c>
      <c r="C8320" s="247"/>
      <c r="D8320" s="247" t="s">
        <v>2647</v>
      </c>
      <c r="E8320" s="372">
        <f>0.284*4</f>
        <v>1.1359999999999999</v>
      </c>
      <c r="F8320" s="360">
        <f>'UPAD-BAHAN-ALAT'!$I$788</f>
        <v>166680</v>
      </c>
      <c r="G8320" s="274">
        <f t="shared" si="49"/>
        <v>189348.47999999998</v>
      </c>
    </row>
    <row r="8321" spans="1:7">
      <c r="A8321" s="247"/>
      <c r="B8321" s="282" t="s">
        <v>3392</v>
      </c>
      <c r="C8321" s="247"/>
      <c r="D8321" s="247" t="s">
        <v>1423</v>
      </c>
      <c r="E8321" s="372">
        <v>32</v>
      </c>
      <c r="F8321" s="360">
        <f>'UPAD-BAHAN-ALAT'!$I$790</f>
        <v>122280</v>
      </c>
      <c r="G8321" s="274">
        <f t="shared" si="49"/>
        <v>3912960</v>
      </c>
    </row>
    <row r="8322" spans="1:7">
      <c r="A8322" s="247"/>
      <c r="B8322" s="282" t="s">
        <v>3393</v>
      </c>
      <c r="C8322" s="247"/>
      <c r="D8322" s="247" t="s">
        <v>1423</v>
      </c>
      <c r="E8322" s="372">
        <v>16</v>
      </c>
      <c r="F8322" s="360">
        <f>'UPAD-BAHAN-ALAT'!$I$791</f>
        <v>33960</v>
      </c>
      <c r="G8322" s="274">
        <f t="shared" si="49"/>
        <v>543360</v>
      </c>
    </row>
    <row r="8323" spans="1:7">
      <c r="A8323" s="355"/>
      <c r="B8323" s="356"/>
      <c r="C8323" s="356"/>
      <c r="D8323" s="356"/>
      <c r="E8323" s="384" t="s">
        <v>3909</v>
      </c>
      <c r="F8323" s="391"/>
      <c r="G8323" s="274">
        <f>SUM(G8310:G8322)</f>
        <v>70799848.479999989</v>
      </c>
    </row>
    <row r="8324" spans="1:7">
      <c r="A8324" s="294" t="s">
        <v>703</v>
      </c>
      <c r="B8324" s="1141" t="s">
        <v>3910</v>
      </c>
      <c r="C8324" s="1142"/>
      <c r="D8324" s="1142"/>
      <c r="E8324" s="1142"/>
      <c r="F8324" s="1143"/>
      <c r="G8324" s="273">
        <f>G8308+G8323</f>
        <v>71299848.479999989</v>
      </c>
    </row>
    <row r="8325" spans="1:7">
      <c r="A8325" s="294" t="s">
        <v>706</v>
      </c>
      <c r="B8325" s="1141" t="s">
        <v>709</v>
      </c>
      <c r="C8325" s="1142"/>
      <c r="D8325" s="1143"/>
      <c r="E8325" s="1141" t="s">
        <v>4030</v>
      </c>
      <c r="F8325" s="1143"/>
      <c r="G8325" s="255">
        <f>G8324*0.15</f>
        <v>10694977.271999998</v>
      </c>
    </row>
    <row r="8326" spans="1:7">
      <c r="A8326" s="294" t="s">
        <v>708</v>
      </c>
      <c r="B8326" s="1141" t="s">
        <v>3911</v>
      </c>
      <c r="C8326" s="1142"/>
      <c r="D8326" s="1142"/>
      <c r="E8326" s="1142"/>
      <c r="F8326" s="1143"/>
      <c r="G8326" s="255">
        <f>ROUND(SUM(G8324:G8325),2)</f>
        <v>81994825.75</v>
      </c>
    </row>
    <row r="8327" spans="1:7">
      <c r="A8327" s="749"/>
      <c r="B8327" s="750"/>
      <c r="C8327" s="751"/>
      <c r="D8327" s="279"/>
      <c r="E8327" s="752"/>
      <c r="F8327" s="753"/>
      <c r="G8327" s="754"/>
    </row>
    <row r="8328" spans="1:7">
      <c r="A8328" s="284" t="s">
        <v>3924</v>
      </c>
      <c r="B8328" s="250" t="s">
        <v>3925</v>
      </c>
      <c r="C8328" s="252"/>
      <c r="D8328" s="252"/>
      <c r="E8328" s="374"/>
      <c r="F8328" s="361"/>
      <c r="G8328" s="272"/>
    </row>
    <row r="8329" spans="1:7" s="292" customFormat="1" ht="24.95" customHeight="1">
      <c r="A8329" s="290" t="s">
        <v>1003</v>
      </c>
      <c r="B8329" s="290" t="s">
        <v>1004</v>
      </c>
      <c r="C8329" s="290" t="s">
        <v>1005</v>
      </c>
      <c r="D8329" s="290" t="s">
        <v>1006</v>
      </c>
      <c r="E8329" s="373" t="s">
        <v>1007</v>
      </c>
      <c r="F8329" s="363" t="s">
        <v>2637</v>
      </c>
      <c r="G8329" s="353" t="s">
        <v>2638</v>
      </c>
    </row>
    <row r="8330" spans="1:7">
      <c r="A8330" s="294" t="s">
        <v>671</v>
      </c>
      <c r="B8330" s="410" t="s">
        <v>3902</v>
      </c>
      <c r="C8330" s="247"/>
      <c r="D8330" s="247"/>
      <c r="E8330" s="372"/>
      <c r="F8330" s="360"/>
      <c r="G8330" s="274"/>
    </row>
    <row r="8331" spans="1:7">
      <c r="A8331" s="294"/>
      <c r="B8331" s="282" t="s">
        <v>3670</v>
      </c>
      <c r="C8331" s="247"/>
      <c r="D8331" s="247" t="s">
        <v>2997</v>
      </c>
      <c r="E8331" s="372">
        <v>1</v>
      </c>
      <c r="F8331" s="360">
        <v>350000</v>
      </c>
      <c r="G8331" s="274">
        <f>E8331*F8331</f>
        <v>350000</v>
      </c>
    </row>
    <row r="8332" spans="1:7">
      <c r="A8332" s="357"/>
      <c r="B8332" s="356"/>
      <c r="C8332" s="356"/>
      <c r="D8332" s="356"/>
      <c r="E8332" s="384" t="s">
        <v>685</v>
      </c>
      <c r="F8332" s="391"/>
      <c r="G8332" s="274">
        <f>SUM(G8331:G8331)</f>
        <v>350000</v>
      </c>
    </row>
    <row r="8333" spans="1:7">
      <c r="A8333" s="294" t="s">
        <v>686</v>
      </c>
      <c r="B8333" s="410" t="s">
        <v>687</v>
      </c>
      <c r="C8333" s="247"/>
      <c r="D8333" s="247"/>
      <c r="E8333" s="372"/>
      <c r="F8333" s="360"/>
      <c r="G8333" s="274"/>
    </row>
    <row r="8334" spans="1:7">
      <c r="A8334" s="294"/>
      <c r="B8334" s="282" t="s">
        <v>3376</v>
      </c>
      <c r="C8334" s="247"/>
      <c r="D8334" s="247" t="s">
        <v>1423</v>
      </c>
      <c r="E8334" s="372">
        <v>2</v>
      </c>
      <c r="F8334" s="360">
        <f>'UPAD-BAHAN-ALAT'!$I$771</f>
        <v>3816240</v>
      </c>
      <c r="G8334" s="274">
        <f t="shared" ref="G8334:G8346" si="50">E8334*F8334</f>
        <v>7632480</v>
      </c>
    </row>
    <row r="8335" spans="1:7">
      <c r="A8335" s="294"/>
      <c r="B8335" s="282" t="s">
        <v>3377</v>
      </c>
      <c r="C8335" s="247"/>
      <c r="D8335" s="247" t="s">
        <v>1423</v>
      </c>
      <c r="E8335" s="372">
        <v>2</v>
      </c>
      <c r="F8335" s="360">
        <f>'UPAD-BAHAN-ALAT'!$I$772</f>
        <v>3816240</v>
      </c>
      <c r="G8335" s="274">
        <f t="shared" si="50"/>
        <v>7632480</v>
      </c>
    </row>
    <row r="8336" spans="1:7">
      <c r="A8336" s="247"/>
      <c r="B8336" s="282" t="s">
        <v>3916</v>
      </c>
      <c r="C8336" s="247"/>
      <c r="D8336" s="247" t="s">
        <v>1423</v>
      </c>
      <c r="E8336" s="372">
        <v>4</v>
      </c>
      <c r="F8336" s="360">
        <f>'UPAD-BAHAN-ALAT'!$I$773</f>
        <v>1511880</v>
      </c>
      <c r="G8336" s="274">
        <f t="shared" si="50"/>
        <v>6047520</v>
      </c>
    </row>
    <row r="8337" spans="1:7">
      <c r="A8337" s="247"/>
      <c r="B8337" s="282" t="s">
        <v>3917</v>
      </c>
      <c r="C8337" s="247"/>
      <c r="D8337" s="247" t="s">
        <v>1423</v>
      </c>
      <c r="E8337" s="372">
        <f>E8336+7</f>
        <v>11</v>
      </c>
      <c r="F8337" s="360">
        <f>'UPAD-BAHAN-ALAT'!$I$774</f>
        <v>101880</v>
      </c>
      <c r="G8337" s="274">
        <f t="shared" si="50"/>
        <v>1120680</v>
      </c>
    </row>
    <row r="8338" spans="1:7">
      <c r="A8338" s="247"/>
      <c r="B8338" s="282" t="s">
        <v>3379</v>
      </c>
      <c r="C8338" s="247"/>
      <c r="D8338" s="247" t="s">
        <v>1423</v>
      </c>
      <c r="E8338" s="372">
        <v>5</v>
      </c>
      <c r="F8338" s="360">
        <f>'UPAD-BAHAN-ALAT'!$I$776</f>
        <v>291000</v>
      </c>
      <c r="G8338" s="274">
        <f t="shared" si="50"/>
        <v>1455000</v>
      </c>
    </row>
    <row r="8339" spans="1:7">
      <c r="A8339" s="247"/>
      <c r="B8339" s="282" t="s">
        <v>3918</v>
      </c>
      <c r="C8339" s="247"/>
      <c r="D8339" s="247" t="s">
        <v>1423</v>
      </c>
      <c r="E8339" s="372">
        <v>2</v>
      </c>
      <c r="F8339" s="360">
        <f>'UPAD-BAHAN-ALAT'!$I$777</f>
        <v>291000</v>
      </c>
      <c r="G8339" s="274">
        <f t="shared" si="50"/>
        <v>582000</v>
      </c>
    </row>
    <row r="8340" spans="1:7">
      <c r="A8340" s="247"/>
      <c r="B8340" s="282" t="s">
        <v>3380</v>
      </c>
      <c r="C8340" s="247"/>
      <c r="D8340" s="247" t="s">
        <v>853</v>
      </c>
      <c r="E8340" s="372">
        <v>2.4</v>
      </c>
      <c r="F8340" s="360">
        <f>'UPAD-BAHAN-ALAT'!$I$778</f>
        <v>5984880</v>
      </c>
      <c r="G8340" s="274">
        <f t="shared" si="50"/>
        <v>14363712</v>
      </c>
    </row>
    <row r="8341" spans="1:7">
      <c r="A8341" s="247"/>
      <c r="B8341" s="282" t="s">
        <v>3381</v>
      </c>
      <c r="C8341" s="247"/>
      <c r="D8341" s="247" t="s">
        <v>853</v>
      </c>
      <c r="E8341" s="372">
        <v>9.5</v>
      </c>
      <c r="F8341" s="360">
        <f>'UPAD-BAHAN-ALAT'!$I$779</f>
        <v>605880</v>
      </c>
      <c r="G8341" s="274">
        <f t="shared" si="50"/>
        <v>5755860</v>
      </c>
    </row>
    <row r="8342" spans="1:7">
      <c r="A8342" s="247"/>
      <c r="B8342" s="282" t="s">
        <v>3382</v>
      </c>
      <c r="C8342" s="247"/>
      <c r="D8342" s="247" t="s">
        <v>2667</v>
      </c>
      <c r="E8342" s="372">
        <f>4/6</f>
        <v>0.66666666666666663</v>
      </c>
      <c r="F8342" s="360">
        <f>'UPAD-BAHAN-ALAT'!$I$780</f>
        <v>12263640</v>
      </c>
      <c r="G8342" s="274">
        <f t="shared" si="50"/>
        <v>8175760</v>
      </c>
    </row>
    <row r="8343" spans="1:7">
      <c r="A8343" s="247"/>
      <c r="B8343" s="282" t="s">
        <v>3389</v>
      </c>
      <c r="C8343" s="247"/>
      <c r="D8343" s="247" t="s">
        <v>773</v>
      </c>
      <c r="E8343" s="372">
        <f>0.84*2.4*1800</f>
        <v>3628.8</v>
      </c>
      <c r="F8343" s="360">
        <f>'UPAD-BAHAN-ALAT'!$I$787</f>
        <v>2160</v>
      </c>
      <c r="G8343" s="274">
        <f t="shared" si="50"/>
        <v>7838208</v>
      </c>
    </row>
    <row r="8344" spans="1:7">
      <c r="A8344" s="247"/>
      <c r="B8344" s="282" t="s">
        <v>3390</v>
      </c>
      <c r="C8344" s="247"/>
      <c r="D8344" s="247" t="s">
        <v>2647</v>
      </c>
      <c r="E8344" s="372">
        <f>0.284*4</f>
        <v>1.1359999999999999</v>
      </c>
      <c r="F8344" s="360">
        <f>'UPAD-BAHAN-ALAT'!$I$788</f>
        <v>166680</v>
      </c>
      <c r="G8344" s="274">
        <f t="shared" si="50"/>
        <v>189348.47999999998</v>
      </c>
    </row>
    <row r="8345" spans="1:7">
      <c r="A8345" s="247"/>
      <c r="B8345" s="282" t="s">
        <v>3392</v>
      </c>
      <c r="C8345" s="247"/>
      <c r="D8345" s="247" t="s">
        <v>1423</v>
      </c>
      <c r="E8345" s="372">
        <v>32</v>
      </c>
      <c r="F8345" s="360">
        <f>'UPAD-BAHAN-ALAT'!$I$790</f>
        <v>122280</v>
      </c>
      <c r="G8345" s="274">
        <f t="shared" si="50"/>
        <v>3912960</v>
      </c>
    </row>
    <row r="8346" spans="1:7">
      <c r="A8346" s="247"/>
      <c r="B8346" s="282" t="s">
        <v>3393</v>
      </c>
      <c r="C8346" s="247"/>
      <c r="D8346" s="247" t="s">
        <v>1423</v>
      </c>
      <c r="E8346" s="372">
        <v>16</v>
      </c>
      <c r="F8346" s="360">
        <f>'UPAD-BAHAN-ALAT'!$I$791</f>
        <v>33960</v>
      </c>
      <c r="G8346" s="274">
        <f t="shared" si="50"/>
        <v>543360</v>
      </c>
    </row>
    <row r="8347" spans="1:7">
      <c r="A8347" s="355"/>
      <c r="B8347" s="356"/>
      <c r="C8347" s="356"/>
      <c r="D8347" s="356"/>
      <c r="E8347" s="384" t="s">
        <v>3909</v>
      </c>
      <c r="F8347" s="391"/>
      <c r="G8347" s="274">
        <f>SUM(G8334:G8346)</f>
        <v>65249368.479999997</v>
      </c>
    </row>
    <row r="8348" spans="1:7">
      <c r="A8348" s="294" t="s">
        <v>703</v>
      </c>
      <c r="B8348" s="1141" t="s">
        <v>3910</v>
      </c>
      <c r="C8348" s="1142"/>
      <c r="D8348" s="1142"/>
      <c r="E8348" s="1142"/>
      <c r="F8348" s="1143"/>
      <c r="G8348" s="273">
        <f>G8332+G8347</f>
        <v>65599368.479999997</v>
      </c>
    </row>
    <row r="8349" spans="1:7">
      <c r="A8349" s="294" t="s">
        <v>706</v>
      </c>
      <c r="B8349" s="1141" t="s">
        <v>709</v>
      </c>
      <c r="C8349" s="1142"/>
      <c r="D8349" s="1143"/>
      <c r="E8349" s="1141" t="s">
        <v>4030</v>
      </c>
      <c r="F8349" s="1143"/>
      <c r="G8349" s="255">
        <f>G8348*0.15</f>
        <v>9839905.2719999999</v>
      </c>
    </row>
    <row r="8350" spans="1:7">
      <c r="A8350" s="294" t="s">
        <v>708</v>
      </c>
      <c r="B8350" s="1141" t="s">
        <v>3911</v>
      </c>
      <c r="C8350" s="1142"/>
      <c r="D8350" s="1142"/>
      <c r="E8350" s="1142"/>
      <c r="F8350" s="1143"/>
      <c r="G8350" s="255">
        <f>ROUND(SUM(G8348:G8349),2)</f>
        <v>75439273.75</v>
      </c>
    </row>
    <row r="8352" spans="1:7" s="265" customFormat="1">
      <c r="A8352" s="286" t="s">
        <v>4455</v>
      </c>
      <c r="B8352" s="265" t="s">
        <v>4456</v>
      </c>
      <c r="C8352" s="286"/>
      <c r="D8352" s="286"/>
      <c r="E8352" s="597"/>
      <c r="F8352" s="598"/>
      <c r="G8352" s="599"/>
    </row>
    <row r="8353" spans="1:7">
      <c r="A8353" s="286" t="s">
        <v>4457</v>
      </c>
      <c r="B8353" s="755" t="s">
        <v>4599</v>
      </c>
    </row>
    <row r="8354" spans="1:7" ht="24.95" customHeight="1">
      <c r="A8354" s="290" t="s">
        <v>1003</v>
      </c>
      <c r="B8354" s="290" t="s">
        <v>1004</v>
      </c>
      <c r="C8354" s="290" t="s">
        <v>1005</v>
      </c>
      <c r="D8354" s="290" t="s">
        <v>1006</v>
      </c>
      <c r="E8354" s="373" t="s">
        <v>1007</v>
      </c>
      <c r="F8354" s="363" t="s">
        <v>2637</v>
      </c>
      <c r="G8354" s="291" t="s">
        <v>2638</v>
      </c>
    </row>
    <row r="8355" spans="1:7">
      <c r="A8355" s="294" t="s">
        <v>671</v>
      </c>
      <c r="B8355" s="411" t="s">
        <v>672</v>
      </c>
      <c r="C8355" s="247"/>
      <c r="D8355" s="247"/>
      <c r="E8355" s="372"/>
      <c r="F8355" s="360"/>
      <c r="G8355" s="248"/>
    </row>
    <row r="8356" spans="1:7">
      <c r="A8356" s="247"/>
      <c r="B8356" s="410" t="s">
        <v>3661</v>
      </c>
      <c r="C8356" s="247"/>
      <c r="D8356" s="247" t="s">
        <v>2647</v>
      </c>
      <c r="E8356" s="372">
        <v>56</v>
      </c>
      <c r="F8356" s="360">
        <v>30000</v>
      </c>
      <c r="G8356" s="248">
        <f>F8356*E8356</f>
        <v>1680000</v>
      </c>
    </row>
    <row r="8357" spans="1:7">
      <c r="A8357" s="247"/>
      <c r="B8357" s="410"/>
      <c r="C8357" s="247"/>
      <c r="D8357" s="247"/>
      <c r="E8357" s="1190" t="s">
        <v>685</v>
      </c>
      <c r="F8357" s="1190"/>
      <c r="G8357" s="248">
        <f>SUM(G8356:G8356)</f>
        <v>1680000</v>
      </c>
    </row>
    <row r="8358" spans="1:7">
      <c r="A8358" s="294" t="s">
        <v>686</v>
      </c>
      <c r="B8358" s="411" t="s">
        <v>687</v>
      </c>
      <c r="C8358" s="247"/>
      <c r="D8358" s="247"/>
      <c r="E8358" s="372"/>
      <c r="F8358" s="360"/>
      <c r="G8358" s="248"/>
    </row>
    <row r="8359" spans="1:7">
      <c r="A8359" s="247"/>
      <c r="B8359" s="756" t="s">
        <v>3146</v>
      </c>
      <c r="C8359" s="247"/>
      <c r="D8359" s="247" t="s">
        <v>2667</v>
      </c>
      <c r="E8359" s="359">
        <v>12</v>
      </c>
      <c r="F8359" s="360">
        <f>'UPAD-BAHAN-ALAT'!I350</f>
        <v>25000</v>
      </c>
      <c r="G8359" s="248">
        <f t="shared" ref="G8359:G8366" si="51">F8359*E8359</f>
        <v>300000</v>
      </c>
    </row>
    <row r="8360" spans="1:7">
      <c r="A8360" s="247"/>
      <c r="B8360" s="756" t="s">
        <v>3147</v>
      </c>
      <c r="C8360" s="247"/>
      <c r="D8360" s="247" t="s">
        <v>2667</v>
      </c>
      <c r="E8360" s="359">
        <v>41</v>
      </c>
      <c r="F8360" s="360">
        <f>'UPAD-BAHAN-ALAT'!I351</f>
        <v>18500</v>
      </c>
      <c r="G8360" s="248">
        <f t="shared" si="51"/>
        <v>758500</v>
      </c>
    </row>
    <row r="8361" spans="1:7">
      <c r="A8361" s="247"/>
      <c r="B8361" s="756" t="s">
        <v>3148</v>
      </c>
      <c r="C8361" s="247"/>
      <c r="D8361" s="247" t="s">
        <v>2667</v>
      </c>
      <c r="E8361" s="359">
        <v>11</v>
      </c>
      <c r="F8361" s="360">
        <f>'UPAD-BAHAN-ALAT'!I352</f>
        <v>34000</v>
      </c>
      <c r="G8361" s="248">
        <f t="shared" si="51"/>
        <v>374000</v>
      </c>
    </row>
    <row r="8362" spans="1:7">
      <c r="A8362" s="247"/>
      <c r="B8362" s="756" t="s">
        <v>3149</v>
      </c>
      <c r="C8362" s="247"/>
      <c r="D8362" s="247" t="s">
        <v>1423</v>
      </c>
      <c r="E8362" s="359">
        <v>32</v>
      </c>
      <c r="F8362" s="360">
        <f>'UPAD-BAHAN-ALAT'!I353</f>
        <v>6350</v>
      </c>
      <c r="G8362" s="248">
        <f t="shared" si="51"/>
        <v>203200</v>
      </c>
    </row>
    <row r="8363" spans="1:7">
      <c r="A8363" s="247"/>
      <c r="B8363" s="756" t="s">
        <v>3150</v>
      </c>
      <c r="C8363" s="247"/>
      <c r="D8363" s="247" t="s">
        <v>1423</v>
      </c>
      <c r="E8363" s="359">
        <v>17</v>
      </c>
      <c r="F8363" s="360">
        <f>'UPAD-BAHAN-ALAT'!I354</f>
        <v>7200</v>
      </c>
      <c r="G8363" s="248">
        <f t="shared" si="51"/>
        <v>122400</v>
      </c>
    </row>
    <row r="8364" spans="1:7">
      <c r="A8364" s="247"/>
      <c r="B8364" s="756" t="s">
        <v>3151</v>
      </c>
      <c r="C8364" s="247"/>
      <c r="D8364" s="247" t="s">
        <v>1423</v>
      </c>
      <c r="E8364" s="359">
        <v>32</v>
      </c>
      <c r="F8364" s="360">
        <f>'UPAD-BAHAN-ALAT'!I355</f>
        <v>2500</v>
      </c>
      <c r="G8364" s="248">
        <f t="shared" si="51"/>
        <v>80000</v>
      </c>
    </row>
    <row r="8365" spans="1:7">
      <c r="A8365" s="247"/>
      <c r="B8365" s="756" t="s">
        <v>3152</v>
      </c>
      <c r="C8365" s="247"/>
      <c r="D8365" s="247" t="s">
        <v>1423</v>
      </c>
      <c r="E8365" s="359">
        <v>41</v>
      </c>
      <c r="F8365" s="360">
        <f>'UPAD-BAHAN-ALAT'!I356</f>
        <v>2900</v>
      </c>
      <c r="G8365" s="248">
        <f t="shared" si="51"/>
        <v>118900</v>
      </c>
    </row>
    <row r="8366" spans="1:7">
      <c r="A8366" s="247"/>
      <c r="B8366" s="756" t="s">
        <v>3153</v>
      </c>
      <c r="C8366" s="247"/>
      <c r="D8366" s="247" t="s">
        <v>1423</v>
      </c>
      <c r="E8366" s="359">
        <v>41</v>
      </c>
      <c r="F8366" s="360">
        <f>'UPAD-BAHAN-ALAT'!I357</f>
        <v>170</v>
      </c>
      <c r="G8366" s="248">
        <f t="shared" si="51"/>
        <v>6970</v>
      </c>
    </row>
    <row r="8367" spans="1:7">
      <c r="A8367" s="247"/>
      <c r="B8367" s="295"/>
      <c r="C8367" s="296"/>
      <c r="D8367" s="296"/>
      <c r="E8367" s="1146" t="s">
        <v>702</v>
      </c>
      <c r="F8367" s="1146"/>
      <c r="G8367" s="248">
        <f>SUM(G8359:G8366)</f>
        <v>1963970</v>
      </c>
    </row>
    <row r="8368" spans="1:7">
      <c r="A8368" s="294" t="s">
        <v>703</v>
      </c>
      <c r="B8368" s="1147" t="s">
        <v>3910</v>
      </c>
      <c r="C8368" s="1147"/>
      <c r="D8368" s="1147"/>
      <c r="E8368" s="1147"/>
      <c r="F8368" s="1147"/>
      <c r="G8368" s="255">
        <f>G8357+G8367</f>
        <v>3643970</v>
      </c>
    </row>
    <row r="8369" spans="1:7">
      <c r="A8369" s="294" t="s">
        <v>706</v>
      </c>
      <c r="B8369" s="1148" t="s">
        <v>876</v>
      </c>
      <c r="C8369" s="1148"/>
      <c r="D8369" s="1148"/>
      <c r="E8369" s="1147" t="s">
        <v>4030</v>
      </c>
      <c r="F8369" s="1147"/>
      <c r="G8369" s="255">
        <f>G8368*0.15</f>
        <v>546595.5</v>
      </c>
    </row>
    <row r="8370" spans="1:7">
      <c r="A8370" s="294" t="s">
        <v>708</v>
      </c>
      <c r="B8370" s="1147" t="s">
        <v>3911</v>
      </c>
      <c r="C8370" s="1147"/>
      <c r="D8370" s="1147"/>
      <c r="E8370" s="1147"/>
      <c r="F8370" s="1147"/>
      <c r="G8370" s="255">
        <f>ROUND(SUM(G8368:G8369),2)</f>
        <v>4190565.5</v>
      </c>
    </row>
    <row r="8371" spans="1:7" s="265" customFormat="1">
      <c r="A8371" s="640" t="s">
        <v>711</v>
      </c>
      <c r="B8371" s="757" t="s">
        <v>4458</v>
      </c>
      <c r="C8371" s="758"/>
      <c r="D8371" s="758"/>
      <c r="E8371" s="759"/>
      <c r="F8371" s="760"/>
      <c r="G8371" s="626">
        <f>ROUND((G8370/56),2)</f>
        <v>74831.53</v>
      </c>
    </row>
    <row r="8373" spans="1:7" s="265" customFormat="1">
      <c r="A8373" s="286" t="s">
        <v>4459</v>
      </c>
      <c r="B8373" s="761" t="s">
        <v>4681</v>
      </c>
      <c r="C8373" s="286"/>
      <c r="D8373" s="286"/>
      <c r="E8373" s="597"/>
      <c r="F8373" s="598"/>
      <c r="G8373" s="599"/>
    </row>
    <row r="8374" spans="1:7" s="743" customFormat="1" ht="24.95" customHeight="1">
      <c r="A8374" s="290" t="s">
        <v>1003</v>
      </c>
      <c r="B8374" s="290" t="s">
        <v>1004</v>
      </c>
      <c r="C8374" s="290" t="s">
        <v>1005</v>
      </c>
      <c r="D8374" s="290" t="s">
        <v>1006</v>
      </c>
      <c r="E8374" s="373" t="s">
        <v>1007</v>
      </c>
      <c r="F8374" s="363" t="s">
        <v>2637</v>
      </c>
      <c r="G8374" s="291" t="s">
        <v>2638</v>
      </c>
    </row>
    <row r="8375" spans="1:7">
      <c r="A8375" s="294" t="s">
        <v>671</v>
      </c>
      <c r="B8375" s="411" t="s">
        <v>672</v>
      </c>
      <c r="C8375" s="247"/>
      <c r="D8375" s="247"/>
      <c r="E8375" s="372"/>
      <c r="F8375" s="360"/>
      <c r="G8375" s="248"/>
    </row>
    <row r="8376" spans="1:7">
      <c r="A8376" s="247"/>
      <c r="B8376" s="410" t="s">
        <v>673</v>
      </c>
      <c r="C8376" s="247" t="s">
        <v>674</v>
      </c>
      <c r="D8376" s="247" t="s">
        <v>675</v>
      </c>
      <c r="E8376" s="372">
        <v>0.25</v>
      </c>
      <c r="F8376" s="360">
        <f>$F$2312</f>
        <v>110000</v>
      </c>
      <c r="G8376" s="248">
        <f>F8376*E8376</f>
        <v>27500</v>
      </c>
    </row>
    <row r="8377" spans="1:7">
      <c r="A8377" s="247"/>
      <c r="B8377" s="410" t="s">
        <v>4460</v>
      </c>
      <c r="C8377" s="247" t="s">
        <v>678</v>
      </c>
      <c r="D8377" s="247" t="s">
        <v>675</v>
      </c>
      <c r="E8377" s="372">
        <v>0.25</v>
      </c>
      <c r="F8377" s="360">
        <f>$F$2313</f>
        <v>140000</v>
      </c>
      <c r="G8377" s="248">
        <f t="shared" ref="G8377:G8379" si="52">F8377*E8377</f>
        <v>35000</v>
      </c>
    </row>
    <row r="8378" spans="1:7">
      <c r="A8378" s="247"/>
      <c r="B8378" s="410" t="s">
        <v>680</v>
      </c>
      <c r="C8378" s="247" t="s">
        <v>681</v>
      </c>
      <c r="D8378" s="247" t="s">
        <v>675</v>
      </c>
      <c r="E8378" s="372">
        <v>2.5000000000000001E-2</v>
      </c>
      <c r="F8378" s="360">
        <f>$F$2314</f>
        <v>150000</v>
      </c>
      <c r="G8378" s="248">
        <f t="shared" si="52"/>
        <v>3750</v>
      </c>
    </row>
    <row r="8379" spans="1:7">
      <c r="A8379" s="247"/>
      <c r="B8379" s="410" t="s">
        <v>683</v>
      </c>
      <c r="C8379" s="247" t="s">
        <v>684</v>
      </c>
      <c r="D8379" s="247" t="s">
        <v>675</v>
      </c>
      <c r="E8379" s="372">
        <v>2.5000000000000001E-3</v>
      </c>
      <c r="F8379" s="360">
        <f>$F$2315</f>
        <v>140000</v>
      </c>
      <c r="G8379" s="248">
        <f t="shared" si="52"/>
        <v>350</v>
      </c>
    </row>
    <row r="8380" spans="1:7">
      <c r="A8380" s="247"/>
      <c r="B8380" s="410"/>
      <c r="C8380" s="247"/>
      <c r="D8380" s="247"/>
      <c r="E8380" s="1145" t="s">
        <v>685</v>
      </c>
      <c r="F8380" s="1145"/>
      <c r="G8380" s="248">
        <f>SUM(G8376:G8379)</f>
        <v>66600</v>
      </c>
    </row>
    <row r="8381" spans="1:7">
      <c r="A8381" s="294" t="s">
        <v>686</v>
      </c>
      <c r="B8381" s="411" t="s">
        <v>687</v>
      </c>
      <c r="C8381" s="247"/>
      <c r="D8381" s="247"/>
      <c r="E8381" s="372"/>
      <c r="F8381" s="360"/>
      <c r="G8381" s="248"/>
    </row>
    <row r="8382" spans="1:7">
      <c r="A8382" s="247"/>
      <c r="B8382" s="358" t="s">
        <v>4682</v>
      </c>
      <c r="C8382" s="247"/>
      <c r="D8382" s="247" t="s">
        <v>1452</v>
      </c>
      <c r="E8382" s="359">
        <v>9</v>
      </c>
      <c r="F8382" s="360">
        <f>'UPAD-BAHAN-ALAT'!$I$452</f>
        <v>14300</v>
      </c>
      <c r="G8382" s="248">
        <f>F8382*E8382</f>
        <v>128700</v>
      </c>
    </row>
    <row r="8383" spans="1:7">
      <c r="A8383" s="247"/>
      <c r="B8383" s="358" t="s">
        <v>3227</v>
      </c>
      <c r="C8383" s="247"/>
      <c r="D8383" s="247" t="s">
        <v>3228</v>
      </c>
      <c r="E8383" s="359">
        <v>3</v>
      </c>
      <c r="F8383" s="360">
        <f>'UPAD-BAHAN-ALAT'!$I$455</f>
        <v>9350</v>
      </c>
      <c r="G8383" s="248">
        <f t="shared" ref="G8383:G8384" si="53">F8383*E8383</f>
        <v>28050</v>
      </c>
    </row>
    <row r="8384" spans="1:7">
      <c r="A8384" s="247"/>
      <c r="B8384" s="358" t="s">
        <v>3655</v>
      </c>
      <c r="C8384" s="247"/>
      <c r="D8384" s="247" t="s">
        <v>1011</v>
      </c>
      <c r="E8384" s="359">
        <v>1</v>
      </c>
      <c r="F8384" s="360">
        <v>1000</v>
      </c>
      <c r="G8384" s="248">
        <f t="shared" si="53"/>
        <v>1000</v>
      </c>
    </row>
    <row r="8385" spans="1:7">
      <c r="A8385" s="247"/>
      <c r="B8385" s="295"/>
      <c r="C8385" s="296"/>
      <c r="D8385" s="296"/>
      <c r="E8385" s="1146" t="s">
        <v>702</v>
      </c>
      <c r="F8385" s="1146"/>
      <c r="G8385" s="248">
        <f>SUM(G8382:G8384)</f>
        <v>157750</v>
      </c>
    </row>
    <row r="8386" spans="1:7">
      <c r="A8386" s="294" t="s">
        <v>703</v>
      </c>
      <c r="B8386" s="1147" t="s">
        <v>3910</v>
      </c>
      <c r="C8386" s="1147"/>
      <c r="D8386" s="1147"/>
      <c r="E8386" s="1147"/>
      <c r="F8386" s="1147"/>
      <c r="G8386" s="255">
        <f>G8380+G8385</f>
        <v>224350</v>
      </c>
    </row>
    <row r="8387" spans="1:7">
      <c r="A8387" s="294" t="s">
        <v>706</v>
      </c>
      <c r="B8387" s="1148" t="s">
        <v>876</v>
      </c>
      <c r="C8387" s="1148"/>
      <c r="D8387" s="1148"/>
      <c r="E8387" s="1147" t="s">
        <v>4030</v>
      </c>
      <c r="F8387" s="1147"/>
      <c r="G8387" s="255">
        <f>G8386*0.15</f>
        <v>33652.5</v>
      </c>
    </row>
    <row r="8388" spans="1:7">
      <c r="A8388" s="294" t="s">
        <v>708</v>
      </c>
      <c r="B8388" s="1147" t="s">
        <v>3911</v>
      </c>
      <c r="C8388" s="1147"/>
      <c r="D8388" s="1147"/>
      <c r="E8388" s="1147"/>
      <c r="F8388" s="1147"/>
      <c r="G8388" s="255">
        <f>ROUND(SUM(G8386:G8387),2)</f>
        <v>258002.5</v>
      </c>
    </row>
    <row r="8390" spans="1:7">
      <c r="A8390" s="286" t="s">
        <v>4462</v>
      </c>
      <c r="B8390" s="761" t="s">
        <v>4696</v>
      </c>
      <c r="C8390" s="286"/>
      <c r="D8390" s="286"/>
      <c r="E8390" s="597"/>
      <c r="F8390" s="598"/>
      <c r="G8390" s="599"/>
    </row>
    <row r="8391" spans="1:7" ht="24.95" customHeight="1">
      <c r="A8391" s="290" t="s">
        <v>1003</v>
      </c>
      <c r="B8391" s="290" t="s">
        <v>1004</v>
      </c>
      <c r="C8391" s="290" t="s">
        <v>1005</v>
      </c>
      <c r="D8391" s="290" t="s">
        <v>1006</v>
      </c>
      <c r="E8391" s="373" t="s">
        <v>1007</v>
      </c>
      <c r="F8391" s="363" t="s">
        <v>2637</v>
      </c>
      <c r="G8391" s="291" t="s">
        <v>2638</v>
      </c>
    </row>
    <row r="8392" spans="1:7">
      <c r="A8392" s="294" t="s">
        <v>671</v>
      </c>
      <c r="B8392" s="411" t="s">
        <v>672</v>
      </c>
      <c r="C8392" s="247"/>
      <c r="D8392" s="247"/>
      <c r="E8392" s="372"/>
      <c r="F8392" s="360"/>
      <c r="G8392" s="248"/>
    </row>
    <row r="8393" spans="1:7">
      <c r="A8393" s="247"/>
      <c r="B8393" s="410" t="s">
        <v>673</v>
      </c>
      <c r="C8393" s="247" t="s">
        <v>674</v>
      </c>
      <c r="D8393" s="247" t="s">
        <v>675</v>
      </c>
      <c r="E8393" s="372">
        <v>0.25</v>
      </c>
      <c r="F8393" s="360">
        <f>$F$2312</f>
        <v>110000</v>
      </c>
      <c r="G8393" s="248">
        <f>F8393*E8393</f>
        <v>27500</v>
      </c>
    </row>
    <row r="8394" spans="1:7">
      <c r="A8394" s="247"/>
      <c r="B8394" s="410" t="s">
        <v>4460</v>
      </c>
      <c r="C8394" s="247" t="s">
        <v>678</v>
      </c>
      <c r="D8394" s="247" t="s">
        <v>675</v>
      </c>
      <c r="E8394" s="372">
        <v>0.25</v>
      </c>
      <c r="F8394" s="360">
        <f>$F$2313</f>
        <v>140000</v>
      </c>
      <c r="G8394" s="248">
        <f t="shared" ref="G8394:G8396" si="54">F8394*E8394</f>
        <v>35000</v>
      </c>
    </row>
    <row r="8395" spans="1:7">
      <c r="A8395" s="247"/>
      <c r="B8395" s="410" t="s">
        <v>680</v>
      </c>
      <c r="C8395" s="247" t="s">
        <v>681</v>
      </c>
      <c r="D8395" s="247" t="s">
        <v>675</v>
      </c>
      <c r="E8395" s="372">
        <v>2.5000000000000001E-2</v>
      </c>
      <c r="F8395" s="360">
        <f>$F$2314</f>
        <v>150000</v>
      </c>
      <c r="G8395" s="248">
        <f t="shared" si="54"/>
        <v>3750</v>
      </c>
    </row>
    <row r="8396" spans="1:7">
      <c r="A8396" s="247"/>
      <c r="B8396" s="410" t="s">
        <v>683</v>
      </c>
      <c r="C8396" s="247" t="s">
        <v>684</v>
      </c>
      <c r="D8396" s="247" t="s">
        <v>675</v>
      </c>
      <c r="E8396" s="372">
        <v>2.5000000000000001E-3</v>
      </c>
      <c r="F8396" s="360">
        <f>$F$2315</f>
        <v>140000</v>
      </c>
      <c r="G8396" s="248">
        <f t="shared" si="54"/>
        <v>350</v>
      </c>
    </row>
    <row r="8397" spans="1:7">
      <c r="A8397" s="247"/>
      <c r="B8397" s="410"/>
      <c r="C8397" s="247"/>
      <c r="D8397" s="247"/>
      <c r="E8397" s="1145" t="s">
        <v>685</v>
      </c>
      <c r="F8397" s="1145"/>
      <c r="G8397" s="248">
        <f>SUM(G8393:G8396)</f>
        <v>66600</v>
      </c>
    </row>
    <row r="8398" spans="1:7">
      <c r="A8398" s="294" t="s">
        <v>686</v>
      </c>
      <c r="B8398" s="411" t="s">
        <v>687</v>
      </c>
      <c r="C8398" s="247"/>
      <c r="D8398" s="247"/>
      <c r="E8398" s="372"/>
      <c r="F8398" s="360"/>
      <c r="G8398" s="248"/>
    </row>
    <row r="8399" spans="1:7">
      <c r="A8399" s="247"/>
      <c r="B8399" s="358" t="s">
        <v>4697</v>
      </c>
      <c r="C8399" s="247"/>
      <c r="D8399" s="247" t="s">
        <v>1452</v>
      </c>
      <c r="E8399" s="359">
        <v>9</v>
      </c>
      <c r="F8399" s="360">
        <f>'UPAD-BAHAN-ALAT'!$I$451</f>
        <v>8400</v>
      </c>
      <c r="G8399" s="248">
        <f>F8399*E8399</f>
        <v>75600</v>
      </c>
    </row>
    <row r="8400" spans="1:7">
      <c r="A8400" s="247"/>
      <c r="B8400" s="358" t="s">
        <v>3227</v>
      </c>
      <c r="C8400" s="247"/>
      <c r="D8400" s="247" t="s">
        <v>3228</v>
      </c>
      <c r="E8400" s="359">
        <v>3</v>
      </c>
      <c r="F8400" s="360">
        <f>'UPAD-BAHAN-ALAT'!$I$455</f>
        <v>9350</v>
      </c>
      <c r="G8400" s="248">
        <f t="shared" ref="G8400:G8401" si="55">F8400*E8400</f>
        <v>28050</v>
      </c>
    </row>
    <row r="8401" spans="1:7">
      <c r="A8401" s="247"/>
      <c r="B8401" s="358" t="s">
        <v>3655</v>
      </c>
      <c r="C8401" s="247"/>
      <c r="D8401" s="247" t="s">
        <v>1011</v>
      </c>
      <c r="E8401" s="359">
        <v>1</v>
      </c>
      <c r="F8401" s="360">
        <v>1000</v>
      </c>
      <c r="G8401" s="248">
        <f t="shared" si="55"/>
        <v>1000</v>
      </c>
    </row>
    <row r="8402" spans="1:7">
      <c r="A8402" s="247"/>
      <c r="B8402" s="295"/>
      <c r="C8402" s="296"/>
      <c r="D8402" s="296"/>
      <c r="E8402" s="1146" t="s">
        <v>702</v>
      </c>
      <c r="F8402" s="1146"/>
      <c r="G8402" s="248">
        <f>SUM(G8399:G8401)</f>
        <v>104650</v>
      </c>
    </row>
    <row r="8403" spans="1:7">
      <c r="A8403" s="294" t="s">
        <v>703</v>
      </c>
      <c r="B8403" s="1147" t="s">
        <v>3910</v>
      </c>
      <c r="C8403" s="1147"/>
      <c r="D8403" s="1147"/>
      <c r="E8403" s="1147"/>
      <c r="F8403" s="1147"/>
      <c r="G8403" s="255">
        <f>G8397+G8402</f>
        <v>171250</v>
      </c>
    </row>
    <row r="8404" spans="1:7">
      <c r="A8404" s="294" t="s">
        <v>706</v>
      </c>
      <c r="B8404" s="1148" t="s">
        <v>876</v>
      </c>
      <c r="C8404" s="1148"/>
      <c r="D8404" s="1148"/>
      <c r="E8404" s="1147" t="s">
        <v>4030</v>
      </c>
      <c r="F8404" s="1147"/>
      <c r="G8404" s="255">
        <f>G8403*0.15</f>
        <v>25687.5</v>
      </c>
    </row>
    <row r="8405" spans="1:7">
      <c r="A8405" s="294" t="s">
        <v>708</v>
      </c>
      <c r="B8405" s="1147" t="s">
        <v>3911</v>
      </c>
      <c r="C8405" s="1147"/>
      <c r="D8405" s="1147"/>
      <c r="E8405" s="1147"/>
      <c r="F8405" s="1147"/>
      <c r="G8405" s="255">
        <f>ROUND(SUM(G8403:G8404),2)</f>
        <v>196937.5</v>
      </c>
    </row>
    <row r="8407" spans="1:7">
      <c r="A8407" s="286" t="s">
        <v>4463</v>
      </c>
      <c r="B8407" s="761" t="s">
        <v>4684</v>
      </c>
      <c r="C8407" s="286"/>
      <c r="D8407" s="286"/>
      <c r="E8407" s="597"/>
      <c r="F8407" s="598"/>
      <c r="G8407" s="599"/>
    </row>
    <row r="8408" spans="1:7" s="260" customFormat="1" ht="24.95" customHeight="1">
      <c r="A8408" s="290" t="s">
        <v>1003</v>
      </c>
      <c r="B8408" s="290" t="s">
        <v>1004</v>
      </c>
      <c r="C8408" s="290" t="s">
        <v>1005</v>
      </c>
      <c r="D8408" s="290" t="s">
        <v>1006</v>
      </c>
      <c r="E8408" s="373" t="s">
        <v>1007</v>
      </c>
      <c r="F8408" s="363" t="s">
        <v>2637</v>
      </c>
      <c r="G8408" s="291" t="s">
        <v>2638</v>
      </c>
    </row>
    <row r="8409" spans="1:7">
      <c r="A8409" s="294" t="s">
        <v>671</v>
      </c>
      <c r="B8409" s="411" t="s">
        <v>672</v>
      </c>
      <c r="C8409" s="247"/>
      <c r="D8409" s="247"/>
      <c r="E8409" s="372"/>
      <c r="F8409" s="360"/>
      <c r="G8409" s="248"/>
    </row>
    <row r="8410" spans="1:7">
      <c r="A8410" s="247"/>
      <c r="B8410" s="410" t="s">
        <v>673</v>
      </c>
      <c r="C8410" s="247" t="s">
        <v>674</v>
      </c>
      <c r="D8410" s="247" t="s">
        <v>675</v>
      </c>
      <c r="E8410" s="372">
        <v>0.25</v>
      </c>
      <c r="F8410" s="360">
        <f>$F$2312</f>
        <v>110000</v>
      </c>
      <c r="G8410" s="248">
        <f>F8410*E8410</f>
        <v>27500</v>
      </c>
    </row>
    <row r="8411" spans="1:7">
      <c r="A8411" s="247"/>
      <c r="B8411" s="410" t="s">
        <v>4460</v>
      </c>
      <c r="C8411" s="247" t="s">
        <v>678</v>
      </c>
      <c r="D8411" s="247" t="s">
        <v>675</v>
      </c>
      <c r="E8411" s="372">
        <v>0.25</v>
      </c>
      <c r="F8411" s="360">
        <f>$F$2313</f>
        <v>140000</v>
      </c>
      <c r="G8411" s="248">
        <f t="shared" ref="G8411:G8413" si="56">F8411*E8411</f>
        <v>35000</v>
      </c>
    </row>
    <row r="8412" spans="1:7">
      <c r="A8412" s="247"/>
      <c r="B8412" s="410" t="s">
        <v>680</v>
      </c>
      <c r="C8412" s="247" t="s">
        <v>681</v>
      </c>
      <c r="D8412" s="247" t="s">
        <v>675</v>
      </c>
      <c r="E8412" s="372">
        <v>2.5000000000000001E-2</v>
      </c>
      <c r="F8412" s="360">
        <f>$F$2314</f>
        <v>150000</v>
      </c>
      <c r="G8412" s="248">
        <f t="shared" si="56"/>
        <v>3750</v>
      </c>
    </row>
    <row r="8413" spans="1:7">
      <c r="A8413" s="247"/>
      <c r="B8413" s="410" t="s">
        <v>683</v>
      </c>
      <c r="C8413" s="247" t="s">
        <v>684</v>
      </c>
      <c r="D8413" s="247" t="s">
        <v>675</v>
      </c>
      <c r="E8413" s="372">
        <v>2.5000000000000001E-3</v>
      </c>
      <c r="F8413" s="360">
        <f>$F$2315</f>
        <v>140000</v>
      </c>
      <c r="G8413" s="248">
        <f t="shared" si="56"/>
        <v>350</v>
      </c>
    </row>
    <row r="8414" spans="1:7">
      <c r="A8414" s="247"/>
      <c r="B8414" s="410"/>
      <c r="C8414" s="247"/>
      <c r="D8414" s="247"/>
      <c r="E8414" s="1145" t="s">
        <v>685</v>
      </c>
      <c r="F8414" s="1145"/>
      <c r="G8414" s="248">
        <f>SUM(G8410:G8413)</f>
        <v>66600</v>
      </c>
    </row>
    <row r="8415" spans="1:7">
      <c r="A8415" s="294" t="s">
        <v>686</v>
      </c>
      <c r="B8415" s="411" t="s">
        <v>687</v>
      </c>
      <c r="C8415" s="247"/>
      <c r="D8415" s="247"/>
      <c r="E8415" s="372"/>
      <c r="F8415" s="360"/>
      <c r="G8415" s="248"/>
    </row>
    <row r="8416" spans="1:7">
      <c r="A8416" s="247"/>
      <c r="B8416" s="358" t="s">
        <v>4685</v>
      </c>
      <c r="C8416" s="247"/>
      <c r="D8416" s="247" t="s">
        <v>1452</v>
      </c>
      <c r="E8416" s="359">
        <v>9</v>
      </c>
      <c r="F8416" s="360">
        <f>'UPAD-BAHAN-ALAT'!$I$450</f>
        <v>13200</v>
      </c>
      <c r="G8416" s="248">
        <f>F8416*E8416</f>
        <v>118800</v>
      </c>
    </row>
    <row r="8417" spans="1:7">
      <c r="A8417" s="247"/>
      <c r="B8417" s="358" t="s">
        <v>3227</v>
      </c>
      <c r="C8417" s="247"/>
      <c r="D8417" s="247" t="s">
        <v>3228</v>
      </c>
      <c r="E8417" s="359">
        <v>3</v>
      </c>
      <c r="F8417" s="360">
        <f>'UPAD-BAHAN-ALAT'!$I$455</f>
        <v>9350</v>
      </c>
      <c r="G8417" s="248">
        <f t="shared" ref="G8417:G8418" si="57">F8417*E8417</f>
        <v>28050</v>
      </c>
    </row>
    <row r="8418" spans="1:7">
      <c r="A8418" s="247"/>
      <c r="B8418" s="358" t="s">
        <v>3655</v>
      </c>
      <c r="C8418" s="247"/>
      <c r="D8418" s="247" t="s">
        <v>1011</v>
      </c>
      <c r="E8418" s="359">
        <v>1</v>
      </c>
      <c r="F8418" s="360">
        <v>1000</v>
      </c>
      <c r="G8418" s="248">
        <f t="shared" si="57"/>
        <v>1000</v>
      </c>
    </row>
    <row r="8419" spans="1:7">
      <c r="A8419" s="247"/>
      <c r="B8419" s="295"/>
      <c r="C8419" s="296"/>
      <c r="D8419" s="296"/>
      <c r="E8419" s="1146" t="s">
        <v>702</v>
      </c>
      <c r="F8419" s="1146"/>
      <c r="G8419" s="248">
        <f>SUM(G8416:G8418)</f>
        <v>147850</v>
      </c>
    </row>
    <row r="8420" spans="1:7">
      <c r="A8420" s="294" t="s">
        <v>703</v>
      </c>
      <c r="B8420" s="1147" t="s">
        <v>3910</v>
      </c>
      <c r="C8420" s="1147"/>
      <c r="D8420" s="1147"/>
      <c r="E8420" s="1147"/>
      <c r="F8420" s="1147"/>
      <c r="G8420" s="255">
        <f>G8414+G8419</f>
        <v>214450</v>
      </c>
    </row>
    <row r="8421" spans="1:7">
      <c r="A8421" s="294" t="s">
        <v>706</v>
      </c>
      <c r="B8421" s="1148" t="s">
        <v>876</v>
      </c>
      <c r="C8421" s="1148"/>
      <c r="D8421" s="1148"/>
      <c r="E8421" s="1147" t="s">
        <v>4030</v>
      </c>
      <c r="F8421" s="1147"/>
      <c r="G8421" s="255">
        <f>G8420*0.15</f>
        <v>32167.5</v>
      </c>
    </row>
    <row r="8422" spans="1:7">
      <c r="A8422" s="294" t="s">
        <v>708</v>
      </c>
      <c r="B8422" s="1147" t="s">
        <v>3911</v>
      </c>
      <c r="C8422" s="1147"/>
      <c r="D8422" s="1147"/>
      <c r="E8422" s="1147"/>
      <c r="F8422" s="1147"/>
      <c r="G8422" s="255">
        <f>ROUND(SUM(G8420:G8421),2)</f>
        <v>246617.5</v>
      </c>
    </row>
    <row r="8424" spans="1:7">
      <c r="A8424" s="286" t="s">
        <v>4690</v>
      </c>
      <c r="B8424" s="761" t="s">
        <v>4683</v>
      </c>
    </row>
    <row r="8425" spans="1:7" ht="24.95" customHeight="1">
      <c r="A8425" s="290" t="s">
        <v>1003</v>
      </c>
      <c r="B8425" s="290" t="s">
        <v>1004</v>
      </c>
      <c r="C8425" s="290" t="s">
        <v>1005</v>
      </c>
      <c r="D8425" s="290" t="s">
        <v>1006</v>
      </c>
      <c r="E8425" s="373" t="s">
        <v>1007</v>
      </c>
      <c r="F8425" s="363" t="s">
        <v>2637</v>
      </c>
      <c r="G8425" s="291" t="s">
        <v>2638</v>
      </c>
    </row>
    <row r="8426" spans="1:7">
      <c r="A8426" s="294" t="s">
        <v>671</v>
      </c>
      <c r="B8426" s="411" t="s">
        <v>672</v>
      </c>
      <c r="C8426" s="247"/>
      <c r="D8426" s="247"/>
      <c r="E8426" s="372"/>
      <c r="F8426" s="360"/>
      <c r="G8426" s="248"/>
    </row>
    <row r="8427" spans="1:7">
      <c r="A8427" s="247"/>
      <c r="B8427" s="410" t="s">
        <v>673</v>
      </c>
      <c r="C8427" s="247" t="s">
        <v>674</v>
      </c>
      <c r="D8427" s="247" t="s">
        <v>675</v>
      </c>
      <c r="E8427" s="372">
        <v>0.25</v>
      </c>
      <c r="F8427" s="360">
        <f>$F$2312</f>
        <v>110000</v>
      </c>
      <c r="G8427" s="248">
        <f>F8427*E8427</f>
        <v>27500</v>
      </c>
    </row>
    <row r="8428" spans="1:7">
      <c r="A8428" s="247"/>
      <c r="B8428" s="410" t="s">
        <v>4460</v>
      </c>
      <c r="C8428" s="247" t="s">
        <v>678</v>
      </c>
      <c r="D8428" s="247" t="s">
        <v>675</v>
      </c>
      <c r="E8428" s="372">
        <v>0.25</v>
      </c>
      <c r="F8428" s="360">
        <f>$F$2313</f>
        <v>140000</v>
      </c>
      <c r="G8428" s="248">
        <f t="shared" ref="G8428:G8430" si="58">F8428*E8428</f>
        <v>35000</v>
      </c>
    </row>
    <row r="8429" spans="1:7">
      <c r="A8429" s="247"/>
      <c r="B8429" s="410" t="s">
        <v>680</v>
      </c>
      <c r="C8429" s="247" t="s">
        <v>681</v>
      </c>
      <c r="D8429" s="247" t="s">
        <v>675</v>
      </c>
      <c r="E8429" s="372">
        <v>2.5000000000000001E-2</v>
      </c>
      <c r="F8429" s="360">
        <f>$F$2314</f>
        <v>150000</v>
      </c>
      <c r="G8429" s="248">
        <f t="shared" si="58"/>
        <v>3750</v>
      </c>
    </row>
    <row r="8430" spans="1:7">
      <c r="A8430" s="247"/>
      <c r="B8430" s="410" t="s">
        <v>683</v>
      </c>
      <c r="C8430" s="247" t="s">
        <v>684</v>
      </c>
      <c r="D8430" s="247" t="s">
        <v>675</v>
      </c>
      <c r="E8430" s="372">
        <v>2.5000000000000001E-3</v>
      </c>
      <c r="F8430" s="360">
        <f>$F$2315</f>
        <v>140000</v>
      </c>
      <c r="G8430" s="248">
        <f t="shared" si="58"/>
        <v>350</v>
      </c>
    </row>
    <row r="8431" spans="1:7">
      <c r="A8431" s="247"/>
      <c r="B8431" s="410"/>
      <c r="C8431" s="247"/>
      <c r="D8431" s="247"/>
      <c r="E8431" s="1145" t="s">
        <v>685</v>
      </c>
      <c r="F8431" s="1145"/>
      <c r="G8431" s="248">
        <f>SUM(G8427:G8430)</f>
        <v>66600</v>
      </c>
    </row>
    <row r="8432" spans="1:7">
      <c r="A8432" s="294" t="s">
        <v>686</v>
      </c>
      <c r="B8432" s="411" t="s">
        <v>687</v>
      </c>
      <c r="C8432" s="247"/>
      <c r="D8432" s="247"/>
      <c r="E8432" s="372"/>
      <c r="F8432" s="360"/>
      <c r="G8432" s="248"/>
    </row>
    <row r="8433" spans="1:7">
      <c r="A8433" s="247"/>
      <c r="B8433" s="358" t="s">
        <v>4686</v>
      </c>
      <c r="C8433" s="247"/>
      <c r="D8433" s="247" t="s">
        <v>1452</v>
      </c>
      <c r="E8433" s="359">
        <v>9</v>
      </c>
      <c r="F8433" s="360">
        <f>'UPAD-BAHAN-ALAT'!$I$449</f>
        <v>6800</v>
      </c>
      <c r="G8433" s="248">
        <f>F8433*E8433</f>
        <v>61200</v>
      </c>
    </row>
    <row r="8434" spans="1:7">
      <c r="A8434" s="247"/>
      <c r="B8434" s="358" t="s">
        <v>3227</v>
      </c>
      <c r="C8434" s="247"/>
      <c r="D8434" s="247" t="s">
        <v>3228</v>
      </c>
      <c r="E8434" s="359">
        <v>3</v>
      </c>
      <c r="F8434" s="360">
        <f>'UPAD-BAHAN-ALAT'!$I$455</f>
        <v>9350</v>
      </c>
      <c r="G8434" s="248">
        <f t="shared" ref="G8434:G8435" si="59">F8434*E8434</f>
        <v>28050</v>
      </c>
    </row>
    <row r="8435" spans="1:7">
      <c r="A8435" s="247"/>
      <c r="B8435" s="358" t="s">
        <v>3655</v>
      </c>
      <c r="C8435" s="247"/>
      <c r="D8435" s="247" t="s">
        <v>1011</v>
      </c>
      <c r="E8435" s="359">
        <v>1</v>
      </c>
      <c r="F8435" s="360">
        <v>1000</v>
      </c>
      <c r="G8435" s="248">
        <f t="shared" si="59"/>
        <v>1000</v>
      </c>
    </row>
    <row r="8436" spans="1:7">
      <c r="A8436" s="247"/>
      <c r="B8436" s="295"/>
      <c r="C8436" s="296"/>
      <c r="D8436" s="296"/>
      <c r="E8436" s="1146" t="s">
        <v>702</v>
      </c>
      <c r="F8436" s="1146"/>
      <c r="G8436" s="248">
        <f>SUM(G8433:G8435)</f>
        <v>90250</v>
      </c>
    </row>
    <row r="8437" spans="1:7">
      <c r="A8437" s="294" t="s">
        <v>703</v>
      </c>
      <c r="B8437" s="1147" t="s">
        <v>3910</v>
      </c>
      <c r="C8437" s="1147"/>
      <c r="D8437" s="1147"/>
      <c r="E8437" s="1147"/>
      <c r="F8437" s="1147"/>
      <c r="G8437" s="255">
        <f>G8431+G8436</f>
        <v>156850</v>
      </c>
    </row>
    <row r="8438" spans="1:7">
      <c r="A8438" s="294" t="s">
        <v>706</v>
      </c>
      <c r="B8438" s="1148" t="s">
        <v>876</v>
      </c>
      <c r="C8438" s="1148"/>
      <c r="D8438" s="1148"/>
      <c r="E8438" s="1147" t="s">
        <v>4030</v>
      </c>
      <c r="F8438" s="1147"/>
      <c r="G8438" s="255">
        <f>G8437*0.15</f>
        <v>23527.5</v>
      </c>
    </row>
    <row r="8439" spans="1:7">
      <c r="A8439" s="294" t="s">
        <v>708</v>
      </c>
      <c r="B8439" s="1147" t="s">
        <v>3911</v>
      </c>
      <c r="C8439" s="1147"/>
      <c r="D8439" s="1147"/>
      <c r="E8439" s="1147"/>
      <c r="F8439" s="1147"/>
      <c r="G8439" s="255">
        <f>ROUND(SUM(G8437:G8438),2)</f>
        <v>180377.5</v>
      </c>
    </row>
    <row r="8441" spans="1:7">
      <c r="A8441" s="286" t="s">
        <v>4692</v>
      </c>
      <c r="B8441" s="761" t="s">
        <v>3662</v>
      </c>
    </row>
    <row r="8442" spans="1:7" ht="24.95" customHeight="1">
      <c r="A8442" s="290" t="s">
        <v>1003</v>
      </c>
      <c r="B8442" s="290" t="s">
        <v>1004</v>
      </c>
      <c r="C8442" s="290" t="s">
        <v>1005</v>
      </c>
      <c r="D8442" s="290" t="s">
        <v>1006</v>
      </c>
      <c r="E8442" s="373" t="s">
        <v>1007</v>
      </c>
      <c r="F8442" s="363" t="s">
        <v>2637</v>
      </c>
      <c r="G8442" s="291" t="s">
        <v>2638</v>
      </c>
    </row>
    <row r="8443" spans="1:7">
      <c r="A8443" s="294" t="s">
        <v>671</v>
      </c>
      <c r="B8443" s="411" t="s">
        <v>672</v>
      </c>
      <c r="C8443" s="247"/>
      <c r="D8443" s="247"/>
      <c r="E8443" s="372"/>
      <c r="F8443" s="360"/>
      <c r="G8443" s="248"/>
    </row>
    <row r="8444" spans="1:7">
      <c r="A8444" s="247"/>
      <c r="B8444" s="410" t="s">
        <v>673</v>
      </c>
      <c r="C8444" s="247" t="s">
        <v>674</v>
      </c>
      <c r="D8444" s="247" t="s">
        <v>675</v>
      </c>
      <c r="E8444" s="372">
        <v>0.25</v>
      </c>
      <c r="F8444" s="360">
        <f>$F$2312</f>
        <v>110000</v>
      </c>
      <c r="G8444" s="248">
        <f>F8444*E8444</f>
        <v>27500</v>
      </c>
    </row>
    <row r="8445" spans="1:7">
      <c r="A8445" s="247"/>
      <c r="B8445" s="410" t="s">
        <v>4460</v>
      </c>
      <c r="C8445" s="247" t="s">
        <v>678</v>
      </c>
      <c r="D8445" s="247" t="s">
        <v>675</v>
      </c>
      <c r="E8445" s="372">
        <v>0.25</v>
      </c>
      <c r="F8445" s="360">
        <f>$F$2313</f>
        <v>140000</v>
      </c>
      <c r="G8445" s="248">
        <f t="shared" ref="G8445:G8447" si="60">F8445*E8445</f>
        <v>35000</v>
      </c>
    </row>
    <row r="8446" spans="1:7">
      <c r="A8446" s="247"/>
      <c r="B8446" s="410" t="s">
        <v>680</v>
      </c>
      <c r="C8446" s="247" t="s">
        <v>681</v>
      </c>
      <c r="D8446" s="247" t="s">
        <v>675</v>
      </c>
      <c r="E8446" s="372">
        <v>2.5000000000000001E-2</v>
      </c>
      <c r="F8446" s="360">
        <f>$F$2314</f>
        <v>150000</v>
      </c>
      <c r="G8446" s="248">
        <f t="shared" si="60"/>
        <v>3750</v>
      </c>
    </row>
    <row r="8447" spans="1:7">
      <c r="A8447" s="247"/>
      <c r="B8447" s="410" t="s">
        <v>683</v>
      </c>
      <c r="C8447" s="247" t="s">
        <v>684</v>
      </c>
      <c r="D8447" s="247" t="s">
        <v>675</v>
      </c>
      <c r="E8447" s="372">
        <v>2.5000000000000001E-3</v>
      </c>
      <c r="F8447" s="360">
        <f>$F$2315</f>
        <v>140000</v>
      </c>
      <c r="G8447" s="248">
        <f t="shared" si="60"/>
        <v>350</v>
      </c>
    </row>
    <row r="8448" spans="1:7">
      <c r="A8448" s="247"/>
      <c r="B8448" s="410"/>
      <c r="C8448" s="247"/>
      <c r="D8448" s="247"/>
      <c r="E8448" s="1145" t="s">
        <v>685</v>
      </c>
      <c r="F8448" s="1145"/>
      <c r="G8448" s="248">
        <f>SUM(G8444:G8447)</f>
        <v>66600</v>
      </c>
    </row>
    <row r="8449" spans="1:7">
      <c r="A8449" s="294" t="s">
        <v>686</v>
      </c>
      <c r="B8449" s="411" t="s">
        <v>687</v>
      </c>
      <c r="C8449" s="247"/>
      <c r="D8449" s="247"/>
      <c r="E8449" s="372"/>
      <c r="F8449" s="360"/>
      <c r="G8449" s="248"/>
    </row>
    <row r="8450" spans="1:7">
      <c r="A8450" s="247"/>
      <c r="B8450" s="358" t="s">
        <v>4691</v>
      </c>
      <c r="C8450" s="247"/>
      <c r="D8450" s="247" t="s">
        <v>1452</v>
      </c>
      <c r="E8450" s="359">
        <f>9*3</f>
        <v>27</v>
      </c>
      <c r="F8450" s="360">
        <f>'UPAD-BAHAN-ALAT'!$I$447</f>
        <v>7150.0000000000009</v>
      </c>
      <c r="G8450" s="248">
        <f>F8450*E8450</f>
        <v>193050.00000000003</v>
      </c>
    </row>
    <row r="8451" spans="1:7">
      <c r="A8451" s="247"/>
      <c r="B8451" s="358" t="s">
        <v>3227</v>
      </c>
      <c r="C8451" s="247"/>
      <c r="D8451" s="247" t="s">
        <v>3228</v>
      </c>
      <c r="E8451" s="359">
        <v>3</v>
      </c>
      <c r="F8451" s="360">
        <f>'UPAD-BAHAN-ALAT'!$I$455</f>
        <v>9350</v>
      </c>
      <c r="G8451" s="248">
        <f t="shared" ref="G8451:G8452" si="61">F8451*E8451</f>
        <v>28050</v>
      </c>
    </row>
    <row r="8452" spans="1:7">
      <c r="A8452" s="247"/>
      <c r="B8452" s="358" t="s">
        <v>3655</v>
      </c>
      <c r="C8452" s="247"/>
      <c r="D8452" s="247" t="s">
        <v>1011</v>
      </c>
      <c r="E8452" s="359">
        <v>1</v>
      </c>
      <c r="F8452" s="360">
        <v>1000</v>
      </c>
      <c r="G8452" s="248">
        <f t="shared" si="61"/>
        <v>1000</v>
      </c>
    </row>
    <row r="8453" spans="1:7">
      <c r="A8453" s="247"/>
      <c r="B8453" s="295"/>
      <c r="C8453" s="296"/>
      <c r="D8453" s="296"/>
      <c r="E8453" s="1146" t="s">
        <v>702</v>
      </c>
      <c r="F8453" s="1146"/>
      <c r="G8453" s="248">
        <f>SUM(G8450:G8452)</f>
        <v>222100.00000000003</v>
      </c>
    </row>
    <row r="8454" spans="1:7">
      <c r="A8454" s="294" t="s">
        <v>703</v>
      </c>
      <c r="B8454" s="1147" t="s">
        <v>3910</v>
      </c>
      <c r="C8454" s="1147"/>
      <c r="D8454" s="1147"/>
      <c r="E8454" s="1147"/>
      <c r="F8454" s="1147"/>
      <c r="G8454" s="255">
        <f>G8448+G8453</f>
        <v>288700</v>
      </c>
    </row>
    <row r="8455" spans="1:7">
      <c r="A8455" s="294" t="s">
        <v>706</v>
      </c>
      <c r="B8455" s="1148" t="s">
        <v>876</v>
      </c>
      <c r="C8455" s="1148"/>
      <c r="D8455" s="1148"/>
      <c r="E8455" s="1147" t="s">
        <v>4030</v>
      </c>
      <c r="F8455" s="1147"/>
      <c r="G8455" s="255">
        <f>G8454*0.15</f>
        <v>43305</v>
      </c>
    </row>
    <row r="8456" spans="1:7">
      <c r="A8456" s="294" t="s">
        <v>708</v>
      </c>
      <c r="B8456" s="1147" t="s">
        <v>3911</v>
      </c>
      <c r="C8456" s="1147"/>
      <c r="D8456" s="1147"/>
      <c r="E8456" s="1147"/>
      <c r="F8456" s="1147"/>
      <c r="G8456" s="255">
        <f>ROUND(SUM(G8454:G8455),2)</f>
        <v>332005</v>
      </c>
    </row>
    <row r="8458" spans="1:7">
      <c r="A8458" s="286" t="s">
        <v>4695</v>
      </c>
      <c r="B8458" s="761" t="s">
        <v>4693</v>
      </c>
    </row>
    <row r="8459" spans="1:7" ht="24.95" customHeight="1">
      <c r="A8459" s="290" t="s">
        <v>1003</v>
      </c>
      <c r="B8459" s="290" t="s">
        <v>1004</v>
      </c>
      <c r="C8459" s="290" t="s">
        <v>1005</v>
      </c>
      <c r="D8459" s="290" t="s">
        <v>1006</v>
      </c>
      <c r="E8459" s="373" t="s">
        <v>1007</v>
      </c>
      <c r="F8459" s="363" t="s">
        <v>2637</v>
      </c>
      <c r="G8459" s="291" t="s">
        <v>2638</v>
      </c>
    </row>
    <row r="8460" spans="1:7">
      <c r="A8460" s="294" t="s">
        <v>671</v>
      </c>
      <c r="B8460" s="411" t="s">
        <v>672</v>
      </c>
      <c r="C8460" s="247"/>
      <c r="D8460" s="247"/>
      <c r="E8460" s="372"/>
      <c r="F8460" s="360"/>
      <c r="G8460" s="248"/>
    </row>
    <row r="8461" spans="1:7">
      <c r="A8461" s="247"/>
      <c r="B8461" s="410" t="s">
        <v>673</v>
      </c>
      <c r="C8461" s="247" t="s">
        <v>674</v>
      </c>
      <c r="D8461" s="247" t="s">
        <v>675</v>
      </c>
      <c r="E8461" s="372">
        <v>0.25</v>
      </c>
      <c r="F8461" s="360">
        <f>$F$2312</f>
        <v>110000</v>
      </c>
      <c r="G8461" s="248">
        <f>F8461*E8461</f>
        <v>27500</v>
      </c>
    </row>
    <row r="8462" spans="1:7">
      <c r="A8462" s="247"/>
      <c r="B8462" s="410" t="s">
        <v>4460</v>
      </c>
      <c r="C8462" s="247" t="s">
        <v>678</v>
      </c>
      <c r="D8462" s="247" t="s">
        <v>675</v>
      </c>
      <c r="E8462" s="372">
        <v>0.25</v>
      </c>
      <c r="F8462" s="360">
        <f>$F$2313</f>
        <v>140000</v>
      </c>
      <c r="G8462" s="248">
        <f t="shared" ref="G8462:G8464" si="62">F8462*E8462</f>
        <v>35000</v>
      </c>
    </row>
    <row r="8463" spans="1:7">
      <c r="A8463" s="247"/>
      <c r="B8463" s="410" t="s">
        <v>680</v>
      </c>
      <c r="C8463" s="247" t="s">
        <v>681</v>
      </c>
      <c r="D8463" s="247" t="s">
        <v>675</v>
      </c>
      <c r="E8463" s="372">
        <v>2.5000000000000001E-2</v>
      </c>
      <c r="F8463" s="360">
        <f>$F$2314</f>
        <v>150000</v>
      </c>
      <c r="G8463" s="248">
        <f t="shared" si="62"/>
        <v>3750</v>
      </c>
    </row>
    <row r="8464" spans="1:7">
      <c r="A8464" s="247"/>
      <c r="B8464" s="410" t="s">
        <v>683</v>
      </c>
      <c r="C8464" s="247" t="s">
        <v>684</v>
      </c>
      <c r="D8464" s="247" t="s">
        <v>675</v>
      </c>
      <c r="E8464" s="372">
        <v>2.5000000000000001E-3</v>
      </c>
      <c r="F8464" s="360">
        <f>$F$2315</f>
        <v>140000</v>
      </c>
      <c r="G8464" s="248">
        <f t="shared" si="62"/>
        <v>350</v>
      </c>
    </row>
    <row r="8465" spans="1:7">
      <c r="A8465" s="247"/>
      <c r="B8465" s="410"/>
      <c r="C8465" s="247"/>
      <c r="D8465" s="247"/>
      <c r="E8465" s="1145" t="s">
        <v>685</v>
      </c>
      <c r="F8465" s="1145"/>
      <c r="G8465" s="248">
        <f>SUM(G8461:G8464)</f>
        <v>66600</v>
      </c>
    </row>
    <row r="8466" spans="1:7">
      <c r="A8466" s="294" t="s">
        <v>686</v>
      </c>
      <c r="B8466" s="411" t="s">
        <v>687</v>
      </c>
      <c r="C8466" s="247"/>
      <c r="D8466" s="247"/>
      <c r="E8466" s="372"/>
      <c r="F8466" s="360"/>
      <c r="G8466" s="248"/>
    </row>
    <row r="8467" spans="1:7">
      <c r="A8467" s="247"/>
      <c r="B8467" s="358" t="s">
        <v>4694</v>
      </c>
      <c r="C8467" s="247"/>
      <c r="D8467" s="247" t="s">
        <v>1452</v>
      </c>
      <c r="E8467" s="359">
        <f>9*3</f>
        <v>27</v>
      </c>
      <c r="F8467" s="360">
        <f>'UPAD-BAHAN-ALAT'!$I$446</f>
        <v>3300.0000000000005</v>
      </c>
      <c r="G8467" s="248">
        <f>F8467*E8467</f>
        <v>89100.000000000015</v>
      </c>
    </row>
    <row r="8468" spans="1:7">
      <c r="A8468" s="247"/>
      <c r="B8468" s="358" t="s">
        <v>3227</v>
      </c>
      <c r="C8468" s="247"/>
      <c r="D8468" s="247" t="s">
        <v>3228</v>
      </c>
      <c r="E8468" s="359">
        <v>3</v>
      </c>
      <c r="F8468" s="360">
        <f>'UPAD-BAHAN-ALAT'!$I$455</f>
        <v>9350</v>
      </c>
      <c r="G8468" s="248">
        <f t="shared" ref="G8468:G8469" si="63">F8468*E8468</f>
        <v>28050</v>
      </c>
    </row>
    <row r="8469" spans="1:7">
      <c r="A8469" s="247"/>
      <c r="B8469" s="358" t="s">
        <v>3655</v>
      </c>
      <c r="C8469" s="247"/>
      <c r="D8469" s="247" t="s">
        <v>1011</v>
      </c>
      <c r="E8469" s="359">
        <v>1</v>
      </c>
      <c r="F8469" s="360">
        <v>1000</v>
      </c>
      <c r="G8469" s="248">
        <f t="shared" si="63"/>
        <v>1000</v>
      </c>
    </row>
    <row r="8470" spans="1:7">
      <c r="A8470" s="247"/>
      <c r="B8470" s="295"/>
      <c r="C8470" s="296"/>
      <c r="D8470" s="296"/>
      <c r="E8470" s="1146" t="s">
        <v>702</v>
      </c>
      <c r="F8470" s="1146"/>
      <c r="G8470" s="248">
        <f>SUM(G8467:G8469)</f>
        <v>118150.00000000001</v>
      </c>
    </row>
    <row r="8471" spans="1:7">
      <c r="A8471" s="294" t="s">
        <v>703</v>
      </c>
      <c r="B8471" s="1147" t="s">
        <v>3910</v>
      </c>
      <c r="C8471" s="1147"/>
      <c r="D8471" s="1147"/>
      <c r="E8471" s="1147"/>
      <c r="F8471" s="1147"/>
      <c r="G8471" s="255">
        <f>G8465+G8470</f>
        <v>184750</v>
      </c>
    </row>
    <row r="8472" spans="1:7">
      <c r="A8472" s="294" t="s">
        <v>706</v>
      </c>
      <c r="B8472" s="1148" t="s">
        <v>876</v>
      </c>
      <c r="C8472" s="1148"/>
      <c r="D8472" s="1148"/>
      <c r="E8472" s="1147" t="s">
        <v>4030</v>
      </c>
      <c r="F8472" s="1147"/>
      <c r="G8472" s="255">
        <f>G8471*0.15</f>
        <v>27712.5</v>
      </c>
    </row>
    <row r="8473" spans="1:7">
      <c r="A8473" s="294" t="s">
        <v>708</v>
      </c>
      <c r="B8473" s="1147" t="s">
        <v>3911</v>
      </c>
      <c r="C8473" s="1147"/>
      <c r="D8473" s="1147"/>
      <c r="E8473" s="1147"/>
      <c r="F8473" s="1147"/>
      <c r="G8473" s="255">
        <f>ROUND(SUM(G8471:G8472),2)</f>
        <v>212462.5</v>
      </c>
    </row>
    <row r="8475" spans="1:7">
      <c r="A8475" s="286" t="s">
        <v>4698</v>
      </c>
      <c r="B8475" s="761" t="s">
        <v>3680</v>
      </c>
    </row>
    <row r="8476" spans="1:7" ht="24.95" customHeight="1">
      <c r="A8476" s="290" t="s">
        <v>1003</v>
      </c>
      <c r="B8476" s="290" t="s">
        <v>1004</v>
      </c>
      <c r="C8476" s="290" t="s">
        <v>1005</v>
      </c>
      <c r="D8476" s="290" t="s">
        <v>1006</v>
      </c>
      <c r="E8476" s="373" t="s">
        <v>1007</v>
      </c>
      <c r="F8476" s="363" t="s">
        <v>2637</v>
      </c>
      <c r="G8476" s="291" t="s">
        <v>2638</v>
      </c>
    </row>
    <row r="8477" spans="1:7">
      <c r="A8477" s="294" t="s">
        <v>671</v>
      </c>
      <c r="B8477" s="411" t="s">
        <v>672</v>
      </c>
      <c r="C8477" s="247"/>
      <c r="D8477" s="247"/>
      <c r="E8477" s="372"/>
      <c r="F8477" s="360"/>
      <c r="G8477" s="248"/>
    </row>
    <row r="8478" spans="1:7">
      <c r="A8478" s="247"/>
      <c r="B8478" s="410" t="s">
        <v>673</v>
      </c>
      <c r="C8478" s="247" t="s">
        <v>674</v>
      </c>
      <c r="D8478" s="247" t="s">
        <v>675</v>
      </c>
      <c r="E8478" s="372">
        <v>0.25</v>
      </c>
      <c r="F8478" s="360">
        <f>$F$2312</f>
        <v>110000</v>
      </c>
      <c r="G8478" s="248">
        <f>F8478*E8478</f>
        <v>27500</v>
      </c>
    </row>
    <row r="8479" spans="1:7">
      <c r="A8479" s="247"/>
      <c r="B8479" s="410" t="s">
        <v>4460</v>
      </c>
      <c r="C8479" s="247" t="s">
        <v>678</v>
      </c>
      <c r="D8479" s="247" t="s">
        <v>675</v>
      </c>
      <c r="E8479" s="372">
        <v>0.25</v>
      </c>
      <c r="F8479" s="360">
        <f>$F$2313</f>
        <v>140000</v>
      </c>
      <c r="G8479" s="248">
        <f t="shared" ref="G8479:G8481" si="64">F8479*E8479</f>
        <v>35000</v>
      </c>
    </row>
    <row r="8480" spans="1:7">
      <c r="A8480" s="247"/>
      <c r="B8480" s="410" t="s">
        <v>680</v>
      </c>
      <c r="C8480" s="247" t="s">
        <v>681</v>
      </c>
      <c r="D8480" s="247" t="s">
        <v>675</v>
      </c>
      <c r="E8480" s="372">
        <v>2.5000000000000001E-2</v>
      </c>
      <c r="F8480" s="360">
        <f>$F$2314</f>
        <v>150000</v>
      </c>
      <c r="G8480" s="248">
        <f t="shared" si="64"/>
        <v>3750</v>
      </c>
    </row>
    <row r="8481" spans="1:7">
      <c r="A8481" s="247"/>
      <c r="B8481" s="410" t="s">
        <v>683</v>
      </c>
      <c r="C8481" s="247" t="s">
        <v>684</v>
      </c>
      <c r="D8481" s="247" t="s">
        <v>675</v>
      </c>
      <c r="E8481" s="372">
        <v>2.5000000000000001E-3</v>
      </c>
      <c r="F8481" s="360">
        <f>$F$2315</f>
        <v>140000</v>
      </c>
      <c r="G8481" s="248">
        <f t="shared" si="64"/>
        <v>350</v>
      </c>
    </row>
    <row r="8482" spans="1:7">
      <c r="A8482" s="247"/>
      <c r="B8482" s="410"/>
      <c r="C8482" s="247"/>
      <c r="D8482" s="247"/>
      <c r="E8482" s="1145" t="s">
        <v>685</v>
      </c>
      <c r="F8482" s="1145"/>
      <c r="G8482" s="248">
        <f>SUM(G8478:G8481)</f>
        <v>66600</v>
      </c>
    </row>
    <row r="8483" spans="1:7">
      <c r="A8483" s="294" t="s">
        <v>686</v>
      </c>
      <c r="B8483" s="411" t="s">
        <v>687</v>
      </c>
      <c r="C8483" s="247"/>
      <c r="D8483" s="247"/>
      <c r="E8483" s="372"/>
      <c r="F8483" s="360"/>
      <c r="G8483" s="248"/>
    </row>
    <row r="8484" spans="1:7">
      <c r="A8484" s="247"/>
      <c r="B8484" s="358" t="s">
        <v>4691</v>
      </c>
      <c r="C8484" s="247"/>
      <c r="D8484" s="247" t="s">
        <v>1452</v>
      </c>
      <c r="E8484" s="359">
        <f>9*2</f>
        <v>18</v>
      </c>
      <c r="F8484" s="360">
        <f>'UPAD-BAHAN-ALAT'!$I$447</f>
        <v>7150.0000000000009</v>
      </c>
      <c r="G8484" s="248">
        <f>F8484*E8484</f>
        <v>128700.00000000001</v>
      </c>
    </row>
    <row r="8485" spans="1:7">
      <c r="A8485" s="247"/>
      <c r="B8485" s="358" t="s">
        <v>3227</v>
      </c>
      <c r="C8485" s="247"/>
      <c r="D8485" s="247" t="s">
        <v>3228</v>
      </c>
      <c r="E8485" s="359">
        <v>3</v>
      </c>
      <c r="F8485" s="360">
        <f>'UPAD-BAHAN-ALAT'!$I$455</f>
        <v>9350</v>
      </c>
      <c r="G8485" s="248">
        <f t="shared" ref="G8485:G8486" si="65">F8485*E8485</f>
        <v>28050</v>
      </c>
    </row>
    <row r="8486" spans="1:7">
      <c r="A8486" s="247"/>
      <c r="B8486" s="358" t="s">
        <v>3655</v>
      </c>
      <c r="C8486" s="247"/>
      <c r="D8486" s="247" t="s">
        <v>1011</v>
      </c>
      <c r="E8486" s="359">
        <v>1</v>
      </c>
      <c r="F8486" s="360">
        <v>1000</v>
      </c>
      <c r="G8486" s="248">
        <f t="shared" si="65"/>
        <v>1000</v>
      </c>
    </row>
    <row r="8487" spans="1:7">
      <c r="A8487" s="247"/>
      <c r="B8487" s="295"/>
      <c r="C8487" s="296"/>
      <c r="D8487" s="296"/>
      <c r="E8487" s="1146" t="s">
        <v>702</v>
      </c>
      <c r="F8487" s="1146"/>
      <c r="G8487" s="248">
        <f>SUM(G8484:G8486)</f>
        <v>157750</v>
      </c>
    </row>
    <row r="8488" spans="1:7">
      <c r="A8488" s="294" t="s">
        <v>703</v>
      </c>
      <c r="B8488" s="1147" t="s">
        <v>3910</v>
      </c>
      <c r="C8488" s="1147"/>
      <c r="D8488" s="1147"/>
      <c r="E8488" s="1147"/>
      <c r="F8488" s="1147"/>
      <c r="G8488" s="255">
        <f>G8482+G8487</f>
        <v>224350</v>
      </c>
    </row>
    <row r="8489" spans="1:7">
      <c r="A8489" s="294" t="s">
        <v>706</v>
      </c>
      <c r="B8489" s="1148" t="s">
        <v>876</v>
      </c>
      <c r="C8489" s="1148"/>
      <c r="D8489" s="1148"/>
      <c r="E8489" s="1147" t="s">
        <v>4030</v>
      </c>
      <c r="F8489" s="1147"/>
      <c r="G8489" s="255">
        <f>G8488*0.15</f>
        <v>33652.5</v>
      </c>
    </row>
    <row r="8490" spans="1:7">
      <c r="A8490" s="294" t="s">
        <v>708</v>
      </c>
      <c r="B8490" s="1147" t="s">
        <v>3911</v>
      </c>
      <c r="C8490" s="1147"/>
      <c r="D8490" s="1147"/>
      <c r="E8490" s="1147"/>
      <c r="F8490" s="1147"/>
      <c r="G8490" s="255">
        <f>ROUND(SUM(G8488:G8489),2)</f>
        <v>258002.5</v>
      </c>
    </row>
    <row r="8492" spans="1:7">
      <c r="A8492" s="286" t="s">
        <v>4699</v>
      </c>
      <c r="B8492" s="761" t="s">
        <v>3681</v>
      </c>
    </row>
    <row r="8493" spans="1:7" ht="24.95" customHeight="1">
      <c r="A8493" s="290" t="s">
        <v>1003</v>
      </c>
      <c r="B8493" s="290" t="s">
        <v>1004</v>
      </c>
      <c r="C8493" s="290" t="s">
        <v>1005</v>
      </c>
      <c r="D8493" s="290" t="s">
        <v>1006</v>
      </c>
      <c r="E8493" s="373" t="s">
        <v>1007</v>
      </c>
      <c r="F8493" s="363" t="s">
        <v>2637</v>
      </c>
      <c r="G8493" s="291" t="s">
        <v>2638</v>
      </c>
    </row>
    <row r="8494" spans="1:7">
      <c r="A8494" s="294" t="s">
        <v>671</v>
      </c>
      <c r="B8494" s="411" t="s">
        <v>672</v>
      </c>
      <c r="C8494" s="247"/>
      <c r="D8494" s="247"/>
      <c r="E8494" s="372"/>
      <c r="F8494" s="360"/>
      <c r="G8494" s="248"/>
    </row>
    <row r="8495" spans="1:7">
      <c r="A8495" s="247"/>
      <c r="B8495" s="410" t="s">
        <v>673</v>
      </c>
      <c r="C8495" s="247" t="s">
        <v>674</v>
      </c>
      <c r="D8495" s="247" t="s">
        <v>675</v>
      </c>
      <c r="E8495" s="372">
        <v>0.25</v>
      </c>
      <c r="F8495" s="360">
        <f>$F$2312</f>
        <v>110000</v>
      </c>
      <c r="G8495" s="248">
        <f>F8495*E8495</f>
        <v>27500</v>
      </c>
    </row>
    <row r="8496" spans="1:7">
      <c r="A8496" s="247"/>
      <c r="B8496" s="410" t="s">
        <v>4460</v>
      </c>
      <c r="C8496" s="247" t="s">
        <v>678</v>
      </c>
      <c r="D8496" s="247" t="s">
        <v>675</v>
      </c>
      <c r="E8496" s="372">
        <v>0.25</v>
      </c>
      <c r="F8496" s="360">
        <f>$F$2313</f>
        <v>140000</v>
      </c>
      <c r="G8496" s="248">
        <f t="shared" ref="G8496:G8498" si="66">F8496*E8496</f>
        <v>35000</v>
      </c>
    </row>
    <row r="8497" spans="1:7">
      <c r="A8497" s="247"/>
      <c r="B8497" s="410" t="s">
        <v>680</v>
      </c>
      <c r="C8497" s="247" t="s">
        <v>681</v>
      </c>
      <c r="D8497" s="247" t="s">
        <v>675</v>
      </c>
      <c r="E8497" s="372">
        <v>2.5000000000000001E-2</v>
      </c>
      <c r="F8497" s="360">
        <f>$F$2314</f>
        <v>150000</v>
      </c>
      <c r="G8497" s="248">
        <f t="shared" si="66"/>
        <v>3750</v>
      </c>
    </row>
    <row r="8498" spans="1:7">
      <c r="A8498" s="247"/>
      <c r="B8498" s="410" t="s">
        <v>683</v>
      </c>
      <c r="C8498" s="247" t="s">
        <v>684</v>
      </c>
      <c r="D8498" s="247" t="s">
        <v>675</v>
      </c>
      <c r="E8498" s="372">
        <v>2.5000000000000001E-3</v>
      </c>
      <c r="F8498" s="360">
        <f>$F$2315</f>
        <v>140000</v>
      </c>
      <c r="G8498" s="248">
        <f t="shared" si="66"/>
        <v>350</v>
      </c>
    </row>
    <row r="8499" spans="1:7">
      <c r="A8499" s="247"/>
      <c r="B8499" s="410"/>
      <c r="C8499" s="247"/>
      <c r="D8499" s="247"/>
      <c r="E8499" s="1145" t="s">
        <v>685</v>
      </c>
      <c r="F8499" s="1145"/>
      <c r="G8499" s="248">
        <f>SUM(G8495:G8498)</f>
        <v>66600</v>
      </c>
    </row>
    <row r="8500" spans="1:7">
      <c r="A8500" s="294" t="s">
        <v>686</v>
      </c>
      <c r="B8500" s="411" t="s">
        <v>687</v>
      </c>
      <c r="C8500" s="247"/>
      <c r="D8500" s="247"/>
      <c r="E8500" s="372"/>
      <c r="F8500" s="360"/>
      <c r="G8500" s="248"/>
    </row>
    <row r="8501" spans="1:7">
      <c r="A8501" s="247"/>
      <c r="B8501" s="358" t="s">
        <v>4694</v>
      </c>
      <c r="C8501" s="247"/>
      <c r="D8501" s="247" t="s">
        <v>1452</v>
      </c>
      <c r="E8501" s="359">
        <f>9*2</f>
        <v>18</v>
      </c>
      <c r="F8501" s="360">
        <f>'UPAD-BAHAN-ALAT'!$I$446</f>
        <v>3300.0000000000005</v>
      </c>
      <c r="G8501" s="248">
        <f>F8501*E8501</f>
        <v>59400.000000000007</v>
      </c>
    </row>
    <row r="8502" spans="1:7">
      <c r="A8502" s="247"/>
      <c r="B8502" s="358" t="s">
        <v>3227</v>
      </c>
      <c r="C8502" s="247"/>
      <c r="D8502" s="247" t="s">
        <v>3228</v>
      </c>
      <c r="E8502" s="359">
        <v>3</v>
      </c>
      <c r="F8502" s="360">
        <f>'UPAD-BAHAN-ALAT'!$I$455</f>
        <v>9350</v>
      </c>
      <c r="G8502" s="248">
        <f t="shared" ref="G8502:G8503" si="67">F8502*E8502</f>
        <v>28050</v>
      </c>
    </row>
    <row r="8503" spans="1:7">
      <c r="A8503" s="247"/>
      <c r="B8503" s="358" t="s">
        <v>3655</v>
      </c>
      <c r="C8503" s="247"/>
      <c r="D8503" s="247" t="s">
        <v>1011</v>
      </c>
      <c r="E8503" s="359">
        <v>1</v>
      </c>
      <c r="F8503" s="360">
        <v>1000</v>
      </c>
      <c r="G8503" s="248">
        <f t="shared" si="67"/>
        <v>1000</v>
      </c>
    </row>
    <row r="8504" spans="1:7">
      <c r="A8504" s="247"/>
      <c r="B8504" s="295"/>
      <c r="C8504" s="296"/>
      <c r="D8504" s="296"/>
      <c r="E8504" s="1146" t="s">
        <v>702</v>
      </c>
      <c r="F8504" s="1146"/>
      <c r="G8504" s="248">
        <f>SUM(G8501:G8503)</f>
        <v>88450</v>
      </c>
    </row>
    <row r="8505" spans="1:7">
      <c r="A8505" s="294" t="s">
        <v>703</v>
      </c>
      <c r="B8505" s="1147" t="s">
        <v>3910</v>
      </c>
      <c r="C8505" s="1147"/>
      <c r="D8505" s="1147"/>
      <c r="E8505" s="1147"/>
      <c r="F8505" s="1147"/>
      <c r="G8505" s="255">
        <f>G8499+G8504</f>
        <v>155050</v>
      </c>
    </row>
    <row r="8506" spans="1:7">
      <c r="A8506" s="294" t="s">
        <v>706</v>
      </c>
      <c r="B8506" s="1148" t="s">
        <v>876</v>
      </c>
      <c r="C8506" s="1148"/>
      <c r="D8506" s="1148"/>
      <c r="E8506" s="1147" t="s">
        <v>4030</v>
      </c>
      <c r="F8506" s="1147"/>
      <c r="G8506" s="255">
        <f>G8505*0.15</f>
        <v>23257.5</v>
      </c>
    </row>
    <row r="8507" spans="1:7">
      <c r="A8507" s="294" t="s">
        <v>708</v>
      </c>
      <c r="B8507" s="1147" t="s">
        <v>3911</v>
      </c>
      <c r="C8507" s="1147"/>
      <c r="D8507" s="1147"/>
      <c r="E8507" s="1147"/>
      <c r="F8507" s="1147"/>
      <c r="G8507" s="255">
        <f>ROUND(SUM(G8505:G8506),2)</f>
        <v>178307.5</v>
      </c>
    </row>
    <row r="8509" spans="1:7">
      <c r="A8509" s="286" t="s">
        <v>4461</v>
      </c>
      <c r="B8509" s="761" t="s">
        <v>4464</v>
      </c>
    </row>
    <row r="8510" spans="1:7" ht="24.95" customHeight="1">
      <c r="A8510" s="290" t="s">
        <v>1003</v>
      </c>
      <c r="B8510" s="290" t="s">
        <v>1004</v>
      </c>
      <c r="C8510" s="290" t="s">
        <v>1005</v>
      </c>
      <c r="D8510" s="290" t="s">
        <v>1006</v>
      </c>
      <c r="E8510" s="373" t="s">
        <v>1007</v>
      </c>
      <c r="F8510" s="363" t="s">
        <v>2637</v>
      </c>
      <c r="G8510" s="291" t="s">
        <v>2638</v>
      </c>
    </row>
    <row r="8511" spans="1:7">
      <c r="A8511" s="294" t="s">
        <v>671</v>
      </c>
      <c r="B8511" s="411" t="s">
        <v>672</v>
      </c>
      <c r="C8511" s="247"/>
      <c r="D8511" s="247"/>
      <c r="E8511" s="372"/>
      <c r="F8511" s="360"/>
      <c r="G8511" s="248"/>
    </row>
    <row r="8512" spans="1:7">
      <c r="A8512" s="247"/>
      <c r="B8512" s="410" t="s">
        <v>673</v>
      </c>
      <c r="C8512" s="247" t="s">
        <v>674</v>
      </c>
      <c r="D8512" s="247" t="s">
        <v>675</v>
      </c>
      <c r="E8512" s="372">
        <v>0.1</v>
      </c>
      <c r="F8512" s="360">
        <f>$F$2312</f>
        <v>110000</v>
      </c>
      <c r="G8512" s="248">
        <f>F8512*E8512</f>
        <v>11000</v>
      </c>
    </row>
    <row r="8513" spans="1:7">
      <c r="A8513" s="247"/>
      <c r="B8513" s="410" t="s">
        <v>4460</v>
      </c>
      <c r="C8513" s="247" t="s">
        <v>678</v>
      </c>
      <c r="D8513" s="247" t="s">
        <v>675</v>
      </c>
      <c r="E8513" s="372">
        <v>0.1</v>
      </c>
      <c r="F8513" s="360">
        <f>$F$2313</f>
        <v>140000</v>
      </c>
      <c r="G8513" s="248">
        <f t="shared" ref="G8513:G8515" si="68">F8513*E8513</f>
        <v>14000</v>
      </c>
    </row>
    <row r="8514" spans="1:7">
      <c r="A8514" s="247"/>
      <c r="B8514" s="410" t="s">
        <v>680</v>
      </c>
      <c r="C8514" s="247" t="s">
        <v>681</v>
      </c>
      <c r="D8514" s="247" t="s">
        <v>675</v>
      </c>
      <c r="E8514" s="372">
        <v>0.01</v>
      </c>
      <c r="F8514" s="360">
        <f>$F$2314</f>
        <v>150000</v>
      </c>
      <c r="G8514" s="248">
        <f t="shared" si="68"/>
        <v>1500</v>
      </c>
    </row>
    <row r="8515" spans="1:7">
      <c r="A8515" s="247"/>
      <c r="B8515" s="410" t="s">
        <v>683</v>
      </c>
      <c r="C8515" s="247" t="s">
        <v>684</v>
      </c>
      <c r="D8515" s="247" t="s">
        <v>675</v>
      </c>
      <c r="E8515" s="372">
        <v>1E-3</v>
      </c>
      <c r="F8515" s="360">
        <f>$F$2315</f>
        <v>140000</v>
      </c>
      <c r="G8515" s="248">
        <f t="shared" si="68"/>
        <v>140</v>
      </c>
    </row>
    <row r="8516" spans="1:7">
      <c r="A8516" s="247"/>
      <c r="B8516" s="410"/>
      <c r="C8516" s="247"/>
      <c r="D8516" s="247"/>
      <c r="E8516" s="1145" t="s">
        <v>685</v>
      </c>
      <c r="F8516" s="1145"/>
      <c r="G8516" s="248">
        <f>SUM(G8512:G8515)</f>
        <v>26640</v>
      </c>
    </row>
    <row r="8517" spans="1:7">
      <c r="A8517" s="294" t="s">
        <v>686</v>
      </c>
      <c r="B8517" s="411" t="s">
        <v>687</v>
      </c>
      <c r="C8517" s="247"/>
      <c r="D8517" s="247"/>
      <c r="E8517" s="372"/>
      <c r="F8517" s="360"/>
      <c r="G8517" s="248"/>
    </row>
    <row r="8518" spans="1:7">
      <c r="A8518" s="247"/>
      <c r="B8518" s="358" t="s">
        <v>4465</v>
      </c>
      <c r="C8518" s="247"/>
      <c r="D8518" s="247" t="s">
        <v>1346</v>
      </c>
      <c r="E8518" s="359">
        <v>1</v>
      </c>
      <c r="F8518" s="360">
        <f>'UPAD-BAHAN-ALAT'!$I$426</f>
        <v>143000</v>
      </c>
      <c r="G8518" s="248">
        <f>F8518*E8518</f>
        <v>143000</v>
      </c>
    </row>
    <row r="8519" spans="1:7">
      <c r="A8519" s="247"/>
      <c r="B8519" s="358" t="s">
        <v>3655</v>
      </c>
      <c r="C8519" s="247"/>
      <c r="D8519" s="247" t="s">
        <v>1011</v>
      </c>
      <c r="E8519" s="359">
        <v>1</v>
      </c>
      <c r="F8519" s="360">
        <v>1000</v>
      </c>
      <c r="G8519" s="248">
        <f t="shared" ref="G8519" si="69">F8519*E8519</f>
        <v>1000</v>
      </c>
    </row>
    <row r="8520" spans="1:7">
      <c r="A8520" s="247"/>
      <c r="B8520" s="295"/>
      <c r="C8520" s="296"/>
      <c r="D8520" s="296"/>
      <c r="E8520" s="1146" t="s">
        <v>702</v>
      </c>
      <c r="F8520" s="1146"/>
      <c r="G8520" s="248">
        <f>SUM(G8518:G8519)</f>
        <v>144000</v>
      </c>
    </row>
    <row r="8521" spans="1:7">
      <c r="A8521" s="294" t="s">
        <v>703</v>
      </c>
      <c r="B8521" s="1147" t="s">
        <v>3910</v>
      </c>
      <c r="C8521" s="1147"/>
      <c r="D8521" s="1147"/>
      <c r="E8521" s="1147"/>
      <c r="F8521" s="1147"/>
      <c r="G8521" s="255">
        <f>G8516+G8520</f>
        <v>170640</v>
      </c>
    </row>
    <row r="8522" spans="1:7">
      <c r="A8522" s="294" t="s">
        <v>706</v>
      </c>
      <c r="B8522" s="1148" t="s">
        <v>876</v>
      </c>
      <c r="C8522" s="1148"/>
      <c r="D8522" s="1148"/>
      <c r="E8522" s="1147" t="s">
        <v>4030</v>
      </c>
      <c r="F8522" s="1147"/>
      <c r="G8522" s="255">
        <f>G8521*0.15</f>
        <v>25596</v>
      </c>
    </row>
    <row r="8523" spans="1:7">
      <c r="A8523" s="294" t="s">
        <v>708</v>
      </c>
      <c r="B8523" s="1147" t="s">
        <v>3911</v>
      </c>
      <c r="C8523" s="1147"/>
      <c r="D8523" s="1147"/>
      <c r="E8523" s="1147"/>
      <c r="F8523" s="1147"/>
      <c r="G8523" s="255">
        <f>ROUND(SUM(G8521:G8522),2)</f>
        <v>196236</v>
      </c>
    </row>
    <row r="8525" spans="1:7">
      <c r="A8525" s="286" t="s">
        <v>4468</v>
      </c>
      <c r="B8525" s="761" t="s">
        <v>4469</v>
      </c>
    </row>
    <row r="8526" spans="1:7" ht="24.95" customHeight="1">
      <c r="A8526" s="290" t="s">
        <v>1003</v>
      </c>
      <c r="B8526" s="290" t="s">
        <v>1004</v>
      </c>
      <c r="C8526" s="290" t="s">
        <v>1005</v>
      </c>
      <c r="D8526" s="290" t="s">
        <v>1006</v>
      </c>
      <c r="E8526" s="373" t="s">
        <v>1007</v>
      </c>
      <c r="F8526" s="363" t="s">
        <v>2637</v>
      </c>
      <c r="G8526" s="291" t="s">
        <v>2638</v>
      </c>
    </row>
    <row r="8527" spans="1:7">
      <c r="A8527" s="294" t="s">
        <v>671</v>
      </c>
      <c r="B8527" s="411" t="s">
        <v>672</v>
      </c>
      <c r="C8527" s="247"/>
      <c r="D8527" s="247"/>
      <c r="E8527" s="372"/>
      <c r="F8527" s="360"/>
      <c r="G8527" s="248"/>
    </row>
    <row r="8528" spans="1:7">
      <c r="A8528" s="247"/>
      <c r="B8528" s="410" t="s">
        <v>673</v>
      </c>
      <c r="C8528" s="247" t="s">
        <v>674</v>
      </c>
      <c r="D8528" s="247" t="s">
        <v>675</v>
      </c>
      <c r="E8528" s="372">
        <v>0.1</v>
      </c>
      <c r="F8528" s="360">
        <f>$F$2312</f>
        <v>110000</v>
      </c>
      <c r="G8528" s="248">
        <f>F8528*E8528</f>
        <v>11000</v>
      </c>
    </row>
    <row r="8529" spans="1:7">
      <c r="A8529" s="247"/>
      <c r="B8529" s="410" t="s">
        <v>4460</v>
      </c>
      <c r="C8529" s="247" t="s">
        <v>678</v>
      </c>
      <c r="D8529" s="247" t="s">
        <v>675</v>
      </c>
      <c r="E8529" s="372">
        <v>0.1</v>
      </c>
      <c r="F8529" s="360">
        <f>$F$2313</f>
        <v>140000</v>
      </c>
      <c r="G8529" s="248">
        <f t="shared" ref="G8529:G8531" si="70">F8529*E8529</f>
        <v>14000</v>
      </c>
    </row>
    <row r="8530" spans="1:7">
      <c r="A8530" s="247"/>
      <c r="B8530" s="410" t="s">
        <v>680</v>
      </c>
      <c r="C8530" s="247" t="s">
        <v>681</v>
      </c>
      <c r="D8530" s="247" t="s">
        <v>675</v>
      </c>
      <c r="E8530" s="372">
        <v>0.01</v>
      </c>
      <c r="F8530" s="360">
        <f>$F$2314</f>
        <v>150000</v>
      </c>
      <c r="G8530" s="248">
        <f t="shared" si="70"/>
        <v>1500</v>
      </c>
    </row>
    <row r="8531" spans="1:7">
      <c r="A8531" s="247"/>
      <c r="B8531" s="410" t="s">
        <v>683</v>
      </c>
      <c r="C8531" s="247" t="s">
        <v>684</v>
      </c>
      <c r="D8531" s="247" t="s">
        <v>675</v>
      </c>
      <c r="E8531" s="372">
        <v>1E-3</v>
      </c>
      <c r="F8531" s="360">
        <f>$F$2315</f>
        <v>140000</v>
      </c>
      <c r="G8531" s="248">
        <f t="shared" si="70"/>
        <v>140</v>
      </c>
    </row>
    <row r="8532" spans="1:7">
      <c r="A8532" s="247"/>
      <c r="B8532" s="410"/>
      <c r="C8532" s="247"/>
      <c r="D8532" s="247"/>
      <c r="E8532" s="1145" t="s">
        <v>685</v>
      </c>
      <c r="F8532" s="1145"/>
      <c r="G8532" s="248">
        <f>SUM(G8528:G8531)</f>
        <v>26640</v>
      </c>
    </row>
    <row r="8533" spans="1:7">
      <c r="A8533" s="294" t="s">
        <v>686</v>
      </c>
      <c r="B8533" s="411" t="s">
        <v>687</v>
      </c>
      <c r="C8533" s="247"/>
      <c r="D8533" s="247"/>
      <c r="E8533" s="372"/>
      <c r="F8533" s="360"/>
      <c r="G8533" s="248"/>
    </row>
    <row r="8534" spans="1:7">
      <c r="A8534" s="247"/>
      <c r="B8534" s="358" t="s">
        <v>4470</v>
      </c>
      <c r="C8534" s="247"/>
      <c r="D8534" s="247" t="s">
        <v>1346</v>
      </c>
      <c r="E8534" s="359">
        <v>1</v>
      </c>
      <c r="F8534" s="360">
        <f>'UPAD-BAHAN-ALAT'!$I$427</f>
        <v>187000.00000000003</v>
      </c>
      <c r="G8534" s="248">
        <f>F8534*E8534</f>
        <v>187000.00000000003</v>
      </c>
    </row>
    <row r="8535" spans="1:7">
      <c r="A8535" s="247"/>
      <c r="B8535" s="358" t="s">
        <v>3655</v>
      </c>
      <c r="C8535" s="247"/>
      <c r="D8535" s="247" t="s">
        <v>1011</v>
      </c>
      <c r="E8535" s="359">
        <v>1</v>
      </c>
      <c r="F8535" s="360">
        <v>1000</v>
      </c>
      <c r="G8535" s="248">
        <f t="shared" ref="G8535" si="71">F8535*E8535</f>
        <v>1000</v>
      </c>
    </row>
    <row r="8536" spans="1:7">
      <c r="A8536" s="247"/>
      <c r="B8536" s="295"/>
      <c r="C8536" s="296"/>
      <c r="D8536" s="296"/>
      <c r="E8536" s="1146" t="s">
        <v>702</v>
      </c>
      <c r="F8536" s="1146"/>
      <c r="G8536" s="248">
        <f>SUM(G8534:G8535)</f>
        <v>188000.00000000003</v>
      </c>
    </row>
    <row r="8537" spans="1:7">
      <c r="A8537" s="294" t="s">
        <v>703</v>
      </c>
      <c r="B8537" s="1147" t="s">
        <v>3910</v>
      </c>
      <c r="C8537" s="1147"/>
      <c r="D8537" s="1147"/>
      <c r="E8537" s="1147"/>
      <c r="F8537" s="1147"/>
      <c r="G8537" s="255">
        <f>G8532+G8536</f>
        <v>214640.00000000003</v>
      </c>
    </row>
    <row r="8538" spans="1:7">
      <c r="A8538" s="294" t="s">
        <v>706</v>
      </c>
      <c r="B8538" s="1148" t="s">
        <v>876</v>
      </c>
      <c r="C8538" s="1148"/>
      <c r="D8538" s="1148"/>
      <c r="E8538" s="1147" t="s">
        <v>4030</v>
      </c>
      <c r="F8538" s="1147"/>
      <c r="G8538" s="255">
        <f>G8537*0.15</f>
        <v>32196.000000000004</v>
      </c>
    </row>
    <row r="8539" spans="1:7">
      <c r="A8539" s="294" t="s">
        <v>708</v>
      </c>
      <c r="B8539" s="1147" t="s">
        <v>3911</v>
      </c>
      <c r="C8539" s="1147"/>
      <c r="D8539" s="1147"/>
      <c r="E8539" s="1147"/>
      <c r="F8539" s="1147"/>
      <c r="G8539" s="255">
        <f>ROUND(SUM(G8537:G8538),2)</f>
        <v>246836</v>
      </c>
    </row>
    <row r="8541" spans="1:7">
      <c r="A8541" s="286" t="s">
        <v>4471</v>
      </c>
      <c r="B8541" s="761" t="s">
        <v>4472</v>
      </c>
    </row>
    <row r="8542" spans="1:7" ht="24.95" customHeight="1">
      <c r="A8542" s="290" t="s">
        <v>1003</v>
      </c>
      <c r="B8542" s="290" t="s">
        <v>1004</v>
      </c>
      <c r="C8542" s="290" t="s">
        <v>1005</v>
      </c>
      <c r="D8542" s="290" t="s">
        <v>1006</v>
      </c>
      <c r="E8542" s="373" t="s">
        <v>1007</v>
      </c>
      <c r="F8542" s="363" t="s">
        <v>2637</v>
      </c>
      <c r="G8542" s="291" t="s">
        <v>2638</v>
      </c>
    </row>
    <row r="8543" spans="1:7">
      <c r="A8543" s="294" t="s">
        <v>671</v>
      </c>
      <c r="B8543" s="411" t="s">
        <v>672</v>
      </c>
      <c r="C8543" s="247"/>
      <c r="D8543" s="247"/>
      <c r="E8543" s="372"/>
      <c r="F8543" s="360"/>
      <c r="G8543" s="248"/>
    </row>
    <row r="8544" spans="1:7">
      <c r="A8544" s="247"/>
      <c r="B8544" s="410" t="s">
        <v>673</v>
      </c>
      <c r="C8544" s="247" t="s">
        <v>674</v>
      </c>
      <c r="D8544" s="247" t="s">
        <v>675</v>
      </c>
      <c r="E8544" s="372">
        <v>0.1</v>
      </c>
      <c r="F8544" s="360">
        <f>$F$2312</f>
        <v>110000</v>
      </c>
      <c r="G8544" s="248">
        <f>F8544*E8544</f>
        <v>11000</v>
      </c>
    </row>
    <row r="8545" spans="1:7">
      <c r="A8545" s="247"/>
      <c r="B8545" s="410" t="s">
        <v>4460</v>
      </c>
      <c r="C8545" s="247" t="s">
        <v>678</v>
      </c>
      <c r="D8545" s="247" t="s">
        <v>675</v>
      </c>
      <c r="E8545" s="372">
        <v>0.1</v>
      </c>
      <c r="F8545" s="360">
        <f>$F$2313</f>
        <v>140000</v>
      </c>
      <c r="G8545" s="248">
        <f t="shared" ref="G8545:G8547" si="72">F8545*E8545</f>
        <v>14000</v>
      </c>
    </row>
    <row r="8546" spans="1:7">
      <c r="A8546" s="247"/>
      <c r="B8546" s="410" t="s">
        <v>680</v>
      </c>
      <c r="C8546" s="247" t="s">
        <v>681</v>
      </c>
      <c r="D8546" s="247" t="s">
        <v>675</v>
      </c>
      <c r="E8546" s="372">
        <v>0.01</v>
      </c>
      <c r="F8546" s="360">
        <f>$F$2314</f>
        <v>150000</v>
      </c>
      <c r="G8546" s="248">
        <f t="shared" si="72"/>
        <v>1500</v>
      </c>
    </row>
    <row r="8547" spans="1:7">
      <c r="A8547" s="247"/>
      <c r="B8547" s="410" t="s">
        <v>683</v>
      </c>
      <c r="C8547" s="247" t="s">
        <v>684</v>
      </c>
      <c r="D8547" s="247" t="s">
        <v>675</v>
      </c>
      <c r="E8547" s="372">
        <v>1E-3</v>
      </c>
      <c r="F8547" s="360">
        <f>$F$2315</f>
        <v>140000</v>
      </c>
      <c r="G8547" s="248">
        <f t="shared" si="72"/>
        <v>140</v>
      </c>
    </row>
    <row r="8548" spans="1:7">
      <c r="A8548" s="247"/>
      <c r="B8548" s="410"/>
      <c r="C8548" s="247"/>
      <c r="D8548" s="247"/>
      <c r="E8548" s="1145" t="s">
        <v>685</v>
      </c>
      <c r="F8548" s="1145"/>
      <c r="G8548" s="248">
        <f>SUM(G8544:G8547)</f>
        <v>26640</v>
      </c>
    </row>
    <row r="8549" spans="1:7">
      <c r="A8549" s="294" t="s">
        <v>686</v>
      </c>
      <c r="B8549" s="411" t="s">
        <v>687</v>
      </c>
      <c r="C8549" s="247"/>
      <c r="D8549" s="247"/>
      <c r="E8549" s="372"/>
      <c r="F8549" s="360"/>
      <c r="G8549" s="248"/>
    </row>
    <row r="8550" spans="1:7">
      <c r="A8550" s="247"/>
      <c r="B8550" s="358" t="s">
        <v>4473</v>
      </c>
      <c r="C8550" s="247"/>
      <c r="D8550" s="247" t="s">
        <v>1346</v>
      </c>
      <c r="E8550" s="359">
        <v>1</v>
      </c>
      <c r="F8550" s="360">
        <f>'UPAD-BAHAN-ALAT'!$I$437</f>
        <v>65000</v>
      </c>
      <c r="G8550" s="248">
        <f>F8550*E8550</f>
        <v>65000</v>
      </c>
    </row>
    <row r="8551" spans="1:7">
      <c r="A8551" s="247"/>
      <c r="B8551" s="358" t="s">
        <v>3655</v>
      </c>
      <c r="C8551" s="247"/>
      <c r="D8551" s="247" t="s">
        <v>1011</v>
      </c>
      <c r="E8551" s="359">
        <v>1</v>
      </c>
      <c r="F8551" s="360">
        <v>1000</v>
      </c>
      <c r="G8551" s="248">
        <f t="shared" ref="G8551" si="73">F8551*E8551</f>
        <v>1000</v>
      </c>
    </row>
    <row r="8552" spans="1:7">
      <c r="A8552" s="247"/>
      <c r="B8552" s="295"/>
      <c r="C8552" s="296"/>
      <c r="D8552" s="296"/>
      <c r="E8552" s="1146" t="s">
        <v>702</v>
      </c>
      <c r="F8552" s="1146"/>
      <c r="G8552" s="248">
        <f>SUM(G8550:G8551)</f>
        <v>66000</v>
      </c>
    </row>
    <row r="8553" spans="1:7">
      <c r="A8553" s="294" t="s">
        <v>703</v>
      </c>
      <c r="B8553" s="1147" t="s">
        <v>3910</v>
      </c>
      <c r="C8553" s="1147"/>
      <c r="D8553" s="1147"/>
      <c r="E8553" s="1147"/>
      <c r="F8553" s="1147"/>
      <c r="G8553" s="255">
        <f>G8548+G8552</f>
        <v>92640</v>
      </c>
    </row>
    <row r="8554" spans="1:7">
      <c r="A8554" s="294" t="s">
        <v>706</v>
      </c>
      <c r="B8554" s="1148" t="s">
        <v>876</v>
      </c>
      <c r="C8554" s="1148"/>
      <c r="D8554" s="1148"/>
      <c r="E8554" s="1147" t="s">
        <v>4030</v>
      </c>
      <c r="F8554" s="1147"/>
      <c r="G8554" s="255">
        <f>G8553*0.15</f>
        <v>13896</v>
      </c>
    </row>
    <row r="8555" spans="1:7">
      <c r="A8555" s="294" t="s">
        <v>708</v>
      </c>
      <c r="B8555" s="1147" t="s">
        <v>3911</v>
      </c>
      <c r="C8555" s="1147"/>
      <c r="D8555" s="1147"/>
      <c r="E8555" s="1147"/>
      <c r="F8555" s="1147"/>
      <c r="G8555" s="255">
        <f>ROUND(SUM(G8553:G8554),2)</f>
        <v>106536</v>
      </c>
    </row>
    <row r="8557" spans="1:7">
      <c r="A8557" s="286" t="s">
        <v>4474</v>
      </c>
      <c r="B8557" s="761" t="s">
        <v>4475</v>
      </c>
    </row>
    <row r="8558" spans="1:7" ht="24.95" customHeight="1">
      <c r="A8558" s="290" t="s">
        <v>1003</v>
      </c>
      <c r="B8558" s="290" t="s">
        <v>1004</v>
      </c>
      <c r="C8558" s="290" t="s">
        <v>1005</v>
      </c>
      <c r="D8558" s="290" t="s">
        <v>1006</v>
      </c>
      <c r="E8558" s="373" t="s">
        <v>1007</v>
      </c>
      <c r="F8558" s="363" t="s">
        <v>2637</v>
      </c>
      <c r="G8558" s="291" t="s">
        <v>2638</v>
      </c>
    </row>
    <row r="8559" spans="1:7">
      <c r="A8559" s="294" t="s">
        <v>671</v>
      </c>
      <c r="B8559" s="411" t="s">
        <v>672</v>
      </c>
      <c r="C8559" s="247"/>
      <c r="D8559" s="247"/>
      <c r="E8559" s="372"/>
      <c r="F8559" s="360"/>
      <c r="G8559" s="248"/>
    </row>
    <row r="8560" spans="1:7">
      <c r="A8560" s="247"/>
      <c r="B8560" s="410" t="s">
        <v>673</v>
      </c>
      <c r="C8560" s="247" t="s">
        <v>674</v>
      </c>
      <c r="D8560" s="247" t="s">
        <v>675</v>
      </c>
      <c r="E8560" s="372">
        <v>0.1</v>
      </c>
      <c r="F8560" s="360">
        <f>$F$2312</f>
        <v>110000</v>
      </c>
      <c r="G8560" s="248">
        <f>F8560*E8560</f>
        <v>11000</v>
      </c>
    </row>
    <row r="8561" spans="1:7">
      <c r="A8561" s="247"/>
      <c r="B8561" s="410" t="s">
        <v>4460</v>
      </c>
      <c r="C8561" s="247" t="s">
        <v>678</v>
      </c>
      <c r="D8561" s="247" t="s">
        <v>675</v>
      </c>
      <c r="E8561" s="372">
        <v>0.1</v>
      </c>
      <c r="F8561" s="360">
        <f>$F$2313</f>
        <v>140000</v>
      </c>
      <c r="G8561" s="248">
        <f t="shared" ref="G8561:G8563" si="74">F8561*E8561</f>
        <v>14000</v>
      </c>
    </row>
    <row r="8562" spans="1:7">
      <c r="A8562" s="247"/>
      <c r="B8562" s="410" t="s">
        <v>680</v>
      </c>
      <c r="C8562" s="247" t="s">
        <v>681</v>
      </c>
      <c r="D8562" s="247" t="s">
        <v>675</v>
      </c>
      <c r="E8562" s="372">
        <v>0.01</v>
      </c>
      <c r="F8562" s="360">
        <f>$F$2314</f>
        <v>150000</v>
      </c>
      <c r="G8562" s="248">
        <f t="shared" si="74"/>
        <v>1500</v>
      </c>
    </row>
    <row r="8563" spans="1:7">
      <c r="A8563" s="247"/>
      <c r="B8563" s="410" t="s">
        <v>683</v>
      </c>
      <c r="C8563" s="247" t="s">
        <v>684</v>
      </c>
      <c r="D8563" s="247" t="s">
        <v>675</v>
      </c>
      <c r="E8563" s="372">
        <v>1E-3</v>
      </c>
      <c r="F8563" s="360">
        <f>$F$2315</f>
        <v>140000</v>
      </c>
      <c r="G8563" s="248">
        <f t="shared" si="74"/>
        <v>140</v>
      </c>
    </row>
    <row r="8564" spans="1:7">
      <c r="A8564" s="247"/>
      <c r="B8564" s="410"/>
      <c r="C8564" s="247"/>
      <c r="D8564" s="247"/>
      <c r="E8564" s="1145" t="s">
        <v>685</v>
      </c>
      <c r="F8564" s="1145"/>
      <c r="G8564" s="248">
        <f>SUM(G8560:G8563)</f>
        <v>26640</v>
      </c>
    </row>
    <row r="8565" spans="1:7">
      <c r="A8565" s="294" t="s">
        <v>686</v>
      </c>
      <c r="B8565" s="411" t="s">
        <v>687</v>
      </c>
      <c r="C8565" s="247"/>
      <c r="D8565" s="247"/>
      <c r="E8565" s="372"/>
      <c r="F8565" s="360"/>
      <c r="G8565" s="248"/>
    </row>
    <row r="8566" spans="1:7">
      <c r="A8566" s="247"/>
      <c r="B8566" s="358" t="s">
        <v>3229</v>
      </c>
      <c r="C8566" s="247"/>
      <c r="D8566" s="247" t="s">
        <v>1346</v>
      </c>
      <c r="E8566" s="359">
        <v>1</v>
      </c>
      <c r="F8566" s="360">
        <f>'UPAD-BAHAN-ALAT'!$I$456</f>
        <v>291500</v>
      </c>
      <c r="G8566" s="248">
        <f>F8566*E8566</f>
        <v>291500</v>
      </c>
    </row>
    <row r="8567" spans="1:7">
      <c r="A8567" s="247"/>
      <c r="B8567" s="358" t="s">
        <v>3655</v>
      </c>
      <c r="C8567" s="247"/>
      <c r="D8567" s="247" t="s">
        <v>1011</v>
      </c>
      <c r="E8567" s="359">
        <v>1</v>
      </c>
      <c r="F8567" s="360">
        <v>1000</v>
      </c>
      <c r="G8567" s="248">
        <f t="shared" ref="G8567" si="75">F8567*E8567</f>
        <v>1000</v>
      </c>
    </row>
    <row r="8568" spans="1:7">
      <c r="A8568" s="247"/>
      <c r="B8568" s="295"/>
      <c r="C8568" s="296"/>
      <c r="D8568" s="296"/>
      <c r="E8568" s="1146" t="s">
        <v>702</v>
      </c>
      <c r="F8568" s="1146"/>
      <c r="G8568" s="248">
        <f>SUM(G8566:G8567)</f>
        <v>292500</v>
      </c>
    </row>
    <row r="8569" spans="1:7">
      <c r="A8569" s="294" t="s">
        <v>703</v>
      </c>
      <c r="B8569" s="1147" t="s">
        <v>3910</v>
      </c>
      <c r="C8569" s="1147"/>
      <c r="D8569" s="1147"/>
      <c r="E8569" s="1147"/>
      <c r="F8569" s="1147"/>
      <c r="G8569" s="255">
        <f>G8564+G8568</f>
        <v>319140</v>
      </c>
    </row>
    <row r="8570" spans="1:7">
      <c r="A8570" s="294" t="s">
        <v>706</v>
      </c>
      <c r="B8570" s="1148" t="s">
        <v>876</v>
      </c>
      <c r="C8570" s="1148"/>
      <c r="D8570" s="1148"/>
      <c r="E8570" s="1147" t="s">
        <v>4030</v>
      </c>
      <c r="F8570" s="1147"/>
      <c r="G8570" s="255">
        <f>G8569*0.15</f>
        <v>47871</v>
      </c>
    </row>
    <row r="8571" spans="1:7">
      <c r="A8571" s="294" t="s">
        <v>708</v>
      </c>
      <c r="B8571" s="1147" t="s">
        <v>3911</v>
      </c>
      <c r="C8571" s="1147"/>
      <c r="D8571" s="1147"/>
      <c r="E8571" s="1147"/>
      <c r="F8571" s="1147"/>
      <c r="G8571" s="255">
        <f>ROUND(SUM(G8569:G8570),2)</f>
        <v>367011</v>
      </c>
    </row>
    <row r="8573" spans="1:7">
      <c r="A8573" s="286" t="s">
        <v>4476</v>
      </c>
      <c r="B8573" s="761" t="s">
        <v>4477</v>
      </c>
    </row>
    <row r="8574" spans="1:7" ht="24.95" customHeight="1">
      <c r="A8574" s="290" t="s">
        <v>1003</v>
      </c>
      <c r="B8574" s="290" t="s">
        <v>1004</v>
      </c>
      <c r="C8574" s="290" t="s">
        <v>1005</v>
      </c>
      <c r="D8574" s="290" t="s">
        <v>1006</v>
      </c>
      <c r="E8574" s="373" t="s">
        <v>1007</v>
      </c>
      <c r="F8574" s="363" t="s">
        <v>2637</v>
      </c>
      <c r="G8574" s="291" t="s">
        <v>2638</v>
      </c>
    </row>
    <row r="8575" spans="1:7">
      <c r="A8575" s="294" t="s">
        <v>671</v>
      </c>
      <c r="B8575" s="411" t="s">
        <v>672</v>
      </c>
      <c r="C8575" s="247"/>
      <c r="D8575" s="247"/>
      <c r="E8575" s="372"/>
      <c r="F8575" s="360"/>
      <c r="G8575" s="248"/>
    </row>
    <row r="8576" spans="1:7">
      <c r="A8576" s="247"/>
      <c r="B8576" s="410" t="s">
        <v>673</v>
      </c>
      <c r="C8576" s="247" t="s">
        <v>674</v>
      </c>
      <c r="D8576" s="247" t="s">
        <v>675</v>
      </c>
      <c r="E8576" s="372">
        <v>0.1</v>
      </c>
      <c r="F8576" s="360">
        <f>$F$2312</f>
        <v>110000</v>
      </c>
      <c r="G8576" s="248">
        <f>F8576*E8576</f>
        <v>11000</v>
      </c>
    </row>
    <row r="8577" spans="1:11">
      <c r="A8577" s="247"/>
      <c r="B8577" s="410" t="s">
        <v>4460</v>
      </c>
      <c r="C8577" s="247" t="s">
        <v>678</v>
      </c>
      <c r="D8577" s="247" t="s">
        <v>675</v>
      </c>
      <c r="E8577" s="372">
        <v>0.1</v>
      </c>
      <c r="F8577" s="360">
        <f>$F$2313</f>
        <v>140000</v>
      </c>
      <c r="G8577" s="248">
        <f t="shared" ref="G8577:G8579" si="76">F8577*E8577</f>
        <v>14000</v>
      </c>
    </row>
    <row r="8578" spans="1:11">
      <c r="A8578" s="247"/>
      <c r="B8578" s="410" t="s">
        <v>680</v>
      </c>
      <c r="C8578" s="247" t="s">
        <v>681</v>
      </c>
      <c r="D8578" s="247" t="s">
        <v>675</v>
      </c>
      <c r="E8578" s="372">
        <v>0.01</v>
      </c>
      <c r="F8578" s="360">
        <f>$F$2314</f>
        <v>150000</v>
      </c>
      <c r="G8578" s="248">
        <f t="shared" si="76"/>
        <v>1500</v>
      </c>
    </row>
    <row r="8579" spans="1:11">
      <c r="A8579" s="247"/>
      <c r="B8579" s="410" t="s">
        <v>683</v>
      </c>
      <c r="C8579" s="247" t="s">
        <v>684</v>
      </c>
      <c r="D8579" s="247" t="s">
        <v>675</v>
      </c>
      <c r="E8579" s="372">
        <v>1E-3</v>
      </c>
      <c r="F8579" s="360">
        <f>$F$2315</f>
        <v>140000</v>
      </c>
      <c r="G8579" s="248">
        <f t="shared" si="76"/>
        <v>140</v>
      </c>
    </row>
    <row r="8580" spans="1:11">
      <c r="A8580" s="247"/>
      <c r="B8580" s="410"/>
      <c r="C8580" s="247"/>
      <c r="D8580" s="247"/>
      <c r="E8580" s="1145" t="s">
        <v>685</v>
      </c>
      <c r="F8580" s="1145"/>
      <c r="G8580" s="248">
        <f>SUM(G8576:G8579)</f>
        <v>26640</v>
      </c>
    </row>
    <row r="8581" spans="1:11">
      <c r="A8581" s="294" t="s">
        <v>686</v>
      </c>
      <c r="B8581" s="411" t="s">
        <v>687</v>
      </c>
      <c r="C8581" s="247"/>
      <c r="D8581" s="247"/>
      <c r="E8581" s="372"/>
      <c r="F8581" s="360"/>
      <c r="G8581" s="248"/>
    </row>
    <row r="8582" spans="1:11">
      <c r="A8582" s="247"/>
      <c r="B8582" s="358" t="s">
        <v>3663</v>
      </c>
      <c r="C8582" s="247"/>
      <c r="D8582" s="247" t="s">
        <v>1423</v>
      </c>
      <c r="E8582" s="359">
        <v>1</v>
      </c>
      <c r="F8582" s="360">
        <f>'UPAD-BAHAN-ALAT'!$I$436</f>
        <v>18150</v>
      </c>
      <c r="G8582" s="248">
        <f>F8582*E8582</f>
        <v>18150</v>
      </c>
    </row>
    <row r="8583" spans="1:11">
      <c r="A8583" s="247"/>
      <c r="B8583" s="358" t="s">
        <v>3655</v>
      </c>
      <c r="C8583" s="247"/>
      <c r="D8583" s="247" t="s">
        <v>1011</v>
      </c>
      <c r="E8583" s="359">
        <v>1</v>
      </c>
      <c r="F8583" s="360">
        <v>1000</v>
      </c>
      <c r="G8583" s="248">
        <f t="shared" ref="G8583" si="77">F8583*E8583</f>
        <v>1000</v>
      </c>
    </row>
    <row r="8584" spans="1:11">
      <c r="A8584" s="247"/>
      <c r="B8584" s="295"/>
      <c r="C8584" s="296"/>
      <c r="D8584" s="296"/>
      <c r="E8584" s="1146" t="s">
        <v>702</v>
      </c>
      <c r="F8584" s="1146"/>
      <c r="G8584" s="248">
        <f>SUM(G8582:G8583)</f>
        <v>19150</v>
      </c>
    </row>
    <row r="8585" spans="1:11">
      <c r="A8585" s="294" t="s">
        <v>703</v>
      </c>
      <c r="B8585" s="1147" t="s">
        <v>3910</v>
      </c>
      <c r="C8585" s="1147"/>
      <c r="D8585" s="1147"/>
      <c r="E8585" s="1147"/>
      <c r="F8585" s="1147"/>
      <c r="G8585" s="255">
        <f>G8580+G8584</f>
        <v>45790</v>
      </c>
      <c r="K8585" s="249" t="s">
        <v>4782</v>
      </c>
    </row>
    <row r="8586" spans="1:11">
      <c r="A8586" s="294" t="s">
        <v>706</v>
      </c>
      <c r="B8586" s="1148" t="s">
        <v>876</v>
      </c>
      <c r="C8586" s="1148"/>
      <c r="D8586" s="1148"/>
      <c r="E8586" s="1147" t="s">
        <v>4030</v>
      </c>
      <c r="F8586" s="1147"/>
      <c r="G8586" s="255">
        <f>G8585*0.15</f>
        <v>6868.5</v>
      </c>
    </row>
    <row r="8587" spans="1:11">
      <c r="A8587" s="294" t="s">
        <v>708</v>
      </c>
      <c r="B8587" s="1147" t="s">
        <v>3911</v>
      </c>
      <c r="C8587" s="1147"/>
      <c r="D8587" s="1147"/>
      <c r="E8587" s="1147"/>
      <c r="F8587" s="1147"/>
      <c r="G8587" s="255">
        <f>ROUND(SUM(G8585:G8586),2)</f>
        <v>52658.5</v>
      </c>
    </row>
    <row r="8589" spans="1:11">
      <c r="A8589" s="286" t="s">
        <v>4478</v>
      </c>
      <c r="B8589" s="761" t="s">
        <v>4479</v>
      </c>
    </row>
    <row r="8590" spans="1:11" ht="24.95" customHeight="1">
      <c r="A8590" s="290" t="s">
        <v>1003</v>
      </c>
      <c r="B8590" s="290" t="s">
        <v>1004</v>
      </c>
      <c r="C8590" s="290" t="s">
        <v>1005</v>
      </c>
      <c r="D8590" s="290" t="s">
        <v>1006</v>
      </c>
      <c r="E8590" s="373" t="s">
        <v>1007</v>
      </c>
      <c r="F8590" s="363" t="s">
        <v>2637</v>
      </c>
      <c r="G8590" s="291" t="s">
        <v>2638</v>
      </c>
    </row>
    <row r="8591" spans="1:11">
      <c r="A8591" s="294" t="s">
        <v>671</v>
      </c>
      <c r="B8591" s="411" t="s">
        <v>672</v>
      </c>
      <c r="C8591" s="247"/>
      <c r="D8591" s="247"/>
      <c r="E8591" s="372"/>
      <c r="F8591" s="360"/>
      <c r="G8591" s="248"/>
    </row>
    <row r="8592" spans="1:11">
      <c r="A8592" s="247"/>
      <c r="B8592" s="410" t="s">
        <v>673</v>
      </c>
      <c r="C8592" s="247" t="s">
        <v>674</v>
      </c>
      <c r="D8592" s="247" t="s">
        <v>675</v>
      </c>
      <c r="E8592" s="372">
        <v>0.1</v>
      </c>
      <c r="F8592" s="360">
        <f>$F$2312</f>
        <v>110000</v>
      </c>
      <c r="G8592" s="248">
        <f>F8592*E8592</f>
        <v>11000</v>
      </c>
    </row>
    <row r="8593" spans="1:7">
      <c r="A8593" s="247"/>
      <c r="B8593" s="410" t="s">
        <v>4460</v>
      </c>
      <c r="C8593" s="247" t="s">
        <v>678</v>
      </c>
      <c r="D8593" s="247" t="s">
        <v>675</v>
      </c>
      <c r="E8593" s="372">
        <v>0.1</v>
      </c>
      <c r="F8593" s="360">
        <f>$F$2313</f>
        <v>140000</v>
      </c>
      <c r="G8593" s="248">
        <f t="shared" ref="G8593:G8595" si="78">F8593*E8593</f>
        <v>14000</v>
      </c>
    </row>
    <row r="8594" spans="1:7">
      <c r="A8594" s="247"/>
      <c r="B8594" s="410" t="s">
        <v>680</v>
      </c>
      <c r="C8594" s="247" t="s">
        <v>681</v>
      </c>
      <c r="D8594" s="247" t="s">
        <v>675</v>
      </c>
      <c r="E8594" s="372">
        <v>0.01</v>
      </c>
      <c r="F8594" s="360">
        <f>$F$2314</f>
        <v>150000</v>
      </c>
      <c r="G8594" s="248">
        <f t="shared" si="78"/>
        <v>1500</v>
      </c>
    </row>
    <row r="8595" spans="1:7">
      <c r="A8595" s="247"/>
      <c r="B8595" s="410" t="s">
        <v>683</v>
      </c>
      <c r="C8595" s="247" t="s">
        <v>684</v>
      </c>
      <c r="D8595" s="247" t="s">
        <v>675</v>
      </c>
      <c r="E8595" s="372">
        <v>1E-3</v>
      </c>
      <c r="F8595" s="360">
        <f>$F$2315</f>
        <v>140000</v>
      </c>
      <c r="G8595" s="248">
        <f t="shared" si="78"/>
        <v>140</v>
      </c>
    </row>
    <row r="8596" spans="1:7">
      <c r="A8596" s="247"/>
      <c r="B8596" s="410"/>
      <c r="C8596" s="247"/>
      <c r="D8596" s="247"/>
      <c r="E8596" s="1145" t="s">
        <v>685</v>
      </c>
      <c r="F8596" s="1145"/>
      <c r="G8596" s="248">
        <f>SUM(G8592:G8595)</f>
        <v>26640</v>
      </c>
    </row>
    <row r="8597" spans="1:7">
      <c r="A8597" s="294" t="s">
        <v>686</v>
      </c>
      <c r="B8597" s="411" t="s">
        <v>687</v>
      </c>
      <c r="C8597" s="247"/>
      <c r="D8597" s="247"/>
      <c r="E8597" s="372"/>
      <c r="F8597" s="360"/>
      <c r="G8597" s="248"/>
    </row>
    <row r="8598" spans="1:7">
      <c r="A8598" s="247"/>
      <c r="B8598" s="358" t="s">
        <v>3664</v>
      </c>
      <c r="C8598" s="247"/>
      <c r="D8598" s="247" t="s">
        <v>1423</v>
      </c>
      <c r="E8598" s="359">
        <v>1</v>
      </c>
      <c r="F8598" s="360">
        <f>'UPAD-BAHAN-ALAT'!$I$433</f>
        <v>14300.000000000002</v>
      </c>
      <c r="G8598" s="248">
        <f>F8598*E8598</f>
        <v>14300.000000000002</v>
      </c>
    </row>
    <row r="8599" spans="1:7">
      <c r="A8599" s="247"/>
      <c r="B8599" s="358" t="s">
        <v>3655</v>
      </c>
      <c r="C8599" s="247"/>
      <c r="D8599" s="247" t="s">
        <v>1011</v>
      </c>
      <c r="E8599" s="359">
        <v>1</v>
      </c>
      <c r="F8599" s="360">
        <v>1000</v>
      </c>
      <c r="G8599" s="248">
        <f t="shared" ref="G8599" si="79">F8599*E8599</f>
        <v>1000</v>
      </c>
    </row>
    <row r="8600" spans="1:7">
      <c r="A8600" s="247"/>
      <c r="B8600" s="295"/>
      <c r="C8600" s="296"/>
      <c r="D8600" s="296"/>
      <c r="E8600" s="1146" t="s">
        <v>702</v>
      </c>
      <c r="F8600" s="1146"/>
      <c r="G8600" s="248">
        <f>SUM(G8598:G8599)</f>
        <v>15300.000000000002</v>
      </c>
    </row>
    <row r="8601" spans="1:7">
      <c r="A8601" s="294" t="s">
        <v>703</v>
      </c>
      <c r="B8601" s="1147" t="s">
        <v>3910</v>
      </c>
      <c r="C8601" s="1147"/>
      <c r="D8601" s="1147"/>
      <c r="E8601" s="1147"/>
      <c r="F8601" s="1147"/>
      <c r="G8601" s="255">
        <f>G8596+G8600</f>
        <v>41940</v>
      </c>
    </row>
    <row r="8602" spans="1:7">
      <c r="A8602" s="294" t="s">
        <v>706</v>
      </c>
      <c r="B8602" s="1148" t="s">
        <v>876</v>
      </c>
      <c r="C8602" s="1148"/>
      <c r="D8602" s="1148"/>
      <c r="E8602" s="1147" t="s">
        <v>4030</v>
      </c>
      <c r="F8602" s="1147"/>
      <c r="G8602" s="255">
        <f>G8601*0.15</f>
        <v>6291</v>
      </c>
    </row>
    <row r="8603" spans="1:7">
      <c r="A8603" s="294" t="s">
        <v>708</v>
      </c>
      <c r="B8603" s="1147" t="s">
        <v>3911</v>
      </c>
      <c r="C8603" s="1147"/>
      <c r="D8603" s="1147"/>
      <c r="E8603" s="1147"/>
      <c r="F8603" s="1147"/>
      <c r="G8603" s="255">
        <f>ROUND(SUM(G8601:G8602),2)</f>
        <v>48231</v>
      </c>
    </row>
    <row r="8605" spans="1:7">
      <c r="A8605" s="286" t="s">
        <v>4480</v>
      </c>
      <c r="B8605" s="761" t="s">
        <v>4481</v>
      </c>
    </row>
    <row r="8606" spans="1:7" ht="24.95" customHeight="1">
      <c r="A8606" s="290" t="s">
        <v>1003</v>
      </c>
      <c r="B8606" s="290" t="s">
        <v>1004</v>
      </c>
      <c r="C8606" s="290" t="s">
        <v>1005</v>
      </c>
      <c r="D8606" s="290" t="s">
        <v>1006</v>
      </c>
      <c r="E8606" s="373" t="s">
        <v>1007</v>
      </c>
      <c r="F8606" s="363" t="s">
        <v>2637</v>
      </c>
      <c r="G8606" s="291" t="s">
        <v>2638</v>
      </c>
    </row>
    <row r="8607" spans="1:7">
      <c r="A8607" s="294" t="s">
        <v>671</v>
      </c>
      <c r="B8607" s="411" t="s">
        <v>672</v>
      </c>
      <c r="C8607" s="247"/>
      <c r="D8607" s="247"/>
      <c r="E8607" s="372"/>
      <c r="F8607" s="360"/>
      <c r="G8607" s="248"/>
    </row>
    <row r="8608" spans="1:7">
      <c r="A8608" s="247"/>
      <c r="B8608" s="410" t="s">
        <v>673</v>
      </c>
      <c r="C8608" s="247" t="s">
        <v>674</v>
      </c>
      <c r="D8608" s="247" t="s">
        <v>675</v>
      </c>
      <c r="E8608" s="372">
        <v>0.1</v>
      </c>
      <c r="F8608" s="360">
        <f>$F$2312</f>
        <v>110000</v>
      </c>
      <c r="G8608" s="248">
        <f>F8608*E8608</f>
        <v>11000</v>
      </c>
    </row>
    <row r="8609" spans="1:7">
      <c r="A8609" s="247"/>
      <c r="B8609" s="410" t="s">
        <v>4460</v>
      </c>
      <c r="C8609" s="247" t="s">
        <v>678</v>
      </c>
      <c r="D8609" s="247" t="s">
        <v>675</v>
      </c>
      <c r="E8609" s="372">
        <v>0.1</v>
      </c>
      <c r="F8609" s="360">
        <f>$F$2313</f>
        <v>140000</v>
      </c>
      <c r="G8609" s="248">
        <f t="shared" ref="G8609:G8611" si="80">F8609*E8609</f>
        <v>14000</v>
      </c>
    </row>
    <row r="8610" spans="1:7">
      <c r="A8610" s="247"/>
      <c r="B8610" s="410" t="s">
        <v>680</v>
      </c>
      <c r="C8610" s="247" t="s">
        <v>681</v>
      </c>
      <c r="D8610" s="247" t="s">
        <v>675</v>
      </c>
      <c r="E8610" s="372">
        <v>0.01</v>
      </c>
      <c r="F8610" s="360">
        <f>$F$2314</f>
        <v>150000</v>
      </c>
      <c r="G8610" s="248">
        <f t="shared" si="80"/>
        <v>1500</v>
      </c>
    </row>
    <row r="8611" spans="1:7">
      <c r="A8611" s="247"/>
      <c r="B8611" s="410" t="s">
        <v>683</v>
      </c>
      <c r="C8611" s="247" t="s">
        <v>684</v>
      </c>
      <c r="D8611" s="247" t="s">
        <v>675</v>
      </c>
      <c r="E8611" s="372">
        <v>1E-3</v>
      </c>
      <c r="F8611" s="360">
        <f>$F$2315</f>
        <v>140000</v>
      </c>
      <c r="G8611" s="248">
        <f t="shared" si="80"/>
        <v>140</v>
      </c>
    </row>
    <row r="8612" spans="1:7">
      <c r="A8612" s="247"/>
      <c r="B8612" s="410"/>
      <c r="C8612" s="247"/>
      <c r="D8612" s="247"/>
      <c r="E8612" s="1145" t="s">
        <v>685</v>
      </c>
      <c r="F8612" s="1145"/>
      <c r="G8612" s="248">
        <f>SUM(G8608:G8611)</f>
        <v>26640</v>
      </c>
    </row>
    <row r="8613" spans="1:7">
      <c r="A8613" s="294" t="s">
        <v>686</v>
      </c>
      <c r="B8613" s="411" t="s">
        <v>687</v>
      </c>
      <c r="C8613" s="247"/>
      <c r="D8613" s="247"/>
      <c r="E8613" s="372"/>
      <c r="F8613" s="360"/>
      <c r="G8613" s="248"/>
    </row>
    <row r="8614" spans="1:7">
      <c r="A8614" s="247"/>
      <c r="B8614" s="358" t="s">
        <v>3665</v>
      </c>
      <c r="C8614" s="247"/>
      <c r="D8614" s="247" t="s">
        <v>1423</v>
      </c>
      <c r="E8614" s="359">
        <v>1</v>
      </c>
      <c r="F8614" s="360">
        <f>'UPAD-BAHAN-ALAT'!$I$434</f>
        <v>18700</v>
      </c>
      <c r="G8614" s="248">
        <f>F8614*E8614</f>
        <v>18700</v>
      </c>
    </row>
    <row r="8615" spans="1:7">
      <c r="A8615" s="247"/>
      <c r="B8615" s="358" t="s">
        <v>3655</v>
      </c>
      <c r="C8615" s="247"/>
      <c r="D8615" s="247" t="s">
        <v>1011</v>
      </c>
      <c r="E8615" s="359">
        <v>1</v>
      </c>
      <c r="F8615" s="360">
        <v>1000</v>
      </c>
      <c r="G8615" s="248">
        <f t="shared" ref="G8615" si="81">F8615*E8615</f>
        <v>1000</v>
      </c>
    </row>
    <row r="8616" spans="1:7">
      <c r="A8616" s="247"/>
      <c r="B8616" s="295"/>
      <c r="C8616" s="296"/>
      <c r="D8616" s="296"/>
      <c r="E8616" s="1146" t="s">
        <v>702</v>
      </c>
      <c r="F8616" s="1146"/>
      <c r="G8616" s="248">
        <f>SUM(G8614:G8615)</f>
        <v>19700</v>
      </c>
    </row>
    <row r="8617" spans="1:7">
      <c r="A8617" s="294" t="s">
        <v>703</v>
      </c>
      <c r="B8617" s="1147" t="s">
        <v>3910</v>
      </c>
      <c r="C8617" s="1147"/>
      <c r="D8617" s="1147"/>
      <c r="E8617" s="1147"/>
      <c r="F8617" s="1147"/>
      <c r="G8617" s="255">
        <f>G8612+G8616</f>
        <v>46340</v>
      </c>
    </row>
    <row r="8618" spans="1:7">
      <c r="A8618" s="294" t="s">
        <v>706</v>
      </c>
      <c r="B8618" s="1148" t="s">
        <v>876</v>
      </c>
      <c r="C8618" s="1148"/>
      <c r="D8618" s="1148"/>
      <c r="E8618" s="1147" t="s">
        <v>4030</v>
      </c>
      <c r="F8618" s="1147"/>
      <c r="G8618" s="255">
        <f>G8617*0.15</f>
        <v>6951</v>
      </c>
    </row>
    <row r="8619" spans="1:7">
      <c r="A8619" s="294" t="s">
        <v>708</v>
      </c>
      <c r="B8619" s="1147" t="s">
        <v>3911</v>
      </c>
      <c r="C8619" s="1147"/>
      <c r="D8619" s="1147"/>
      <c r="E8619" s="1147"/>
      <c r="F8619" s="1147"/>
      <c r="G8619" s="255">
        <f>ROUND(SUM(G8617:G8618),2)</f>
        <v>53291</v>
      </c>
    </row>
    <row r="8621" spans="1:7">
      <c r="A8621" s="286" t="s">
        <v>4482</v>
      </c>
      <c r="B8621" s="761" t="s">
        <v>4483</v>
      </c>
    </row>
    <row r="8622" spans="1:7" ht="24.95" customHeight="1">
      <c r="A8622" s="290" t="s">
        <v>1003</v>
      </c>
      <c r="B8622" s="290" t="s">
        <v>1004</v>
      </c>
      <c r="C8622" s="290" t="s">
        <v>1005</v>
      </c>
      <c r="D8622" s="290" t="s">
        <v>1006</v>
      </c>
      <c r="E8622" s="373" t="s">
        <v>1007</v>
      </c>
      <c r="F8622" s="363" t="s">
        <v>2637</v>
      </c>
      <c r="G8622" s="291" t="s">
        <v>2638</v>
      </c>
    </row>
    <row r="8623" spans="1:7">
      <c r="A8623" s="294" t="s">
        <v>671</v>
      </c>
      <c r="B8623" s="411" t="s">
        <v>672</v>
      </c>
      <c r="C8623" s="247"/>
      <c r="D8623" s="247"/>
      <c r="E8623" s="372"/>
      <c r="F8623" s="360"/>
      <c r="G8623" s="248"/>
    </row>
    <row r="8624" spans="1:7">
      <c r="A8624" s="247"/>
      <c r="B8624" s="410" t="s">
        <v>673</v>
      </c>
      <c r="C8624" s="247" t="s">
        <v>674</v>
      </c>
      <c r="D8624" s="247" t="s">
        <v>675</v>
      </c>
      <c r="E8624" s="372">
        <v>0.1</v>
      </c>
      <c r="F8624" s="360">
        <f>$F$2312</f>
        <v>110000</v>
      </c>
      <c r="G8624" s="248">
        <f>F8624*E8624</f>
        <v>11000</v>
      </c>
    </row>
    <row r="8625" spans="1:7">
      <c r="A8625" s="247"/>
      <c r="B8625" s="410" t="s">
        <v>4460</v>
      </c>
      <c r="C8625" s="247" t="s">
        <v>678</v>
      </c>
      <c r="D8625" s="247" t="s">
        <v>675</v>
      </c>
      <c r="E8625" s="372">
        <v>0.1</v>
      </c>
      <c r="F8625" s="360">
        <f>$F$2313</f>
        <v>140000</v>
      </c>
      <c r="G8625" s="248">
        <f t="shared" ref="G8625:G8627" si="82">F8625*E8625</f>
        <v>14000</v>
      </c>
    </row>
    <row r="8626" spans="1:7">
      <c r="A8626" s="247"/>
      <c r="B8626" s="410" t="s">
        <v>680</v>
      </c>
      <c r="C8626" s="247" t="s">
        <v>681</v>
      </c>
      <c r="D8626" s="247" t="s">
        <v>675</v>
      </c>
      <c r="E8626" s="372">
        <v>0.01</v>
      </c>
      <c r="F8626" s="360">
        <f>$F$2314</f>
        <v>150000</v>
      </c>
      <c r="G8626" s="248">
        <f t="shared" si="82"/>
        <v>1500</v>
      </c>
    </row>
    <row r="8627" spans="1:7">
      <c r="A8627" s="247"/>
      <c r="B8627" s="410" t="s">
        <v>683</v>
      </c>
      <c r="C8627" s="247" t="s">
        <v>684</v>
      </c>
      <c r="D8627" s="247" t="s">
        <v>675</v>
      </c>
      <c r="E8627" s="372">
        <v>1E-3</v>
      </c>
      <c r="F8627" s="360">
        <f>$F$2315</f>
        <v>140000</v>
      </c>
      <c r="G8627" s="248">
        <f t="shared" si="82"/>
        <v>140</v>
      </c>
    </row>
    <row r="8628" spans="1:7">
      <c r="A8628" s="247"/>
      <c r="B8628" s="410"/>
      <c r="C8628" s="247"/>
      <c r="D8628" s="247"/>
      <c r="E8628" s="1145" t="s">
        <v>685</v>
      </c>
      <c r="F8628" s="1145"/>
      <c r="G8628" s="248">
        <f>SUM(G8624:G8627)</f>
        <v>26640</v>
      </c>
    </row>
    <row r="8629" spans="1:7">
      <c r="A8629" s="294" t="s">
        <v>686</v>
      </c>
      <c r="B8629" s="411" t="s">
        <v>687</v>
      </c>
      <c r="C8629" s="247"/>
      <c r="D8629" s="247"/>
      <c r="E8629" s="372"/>
      <c r="F8629" s="360"/>
      <c r="G8629" s="248"/>
    </row>
    <row r="8630" spans="1:7">
      <c r="A8630" s="247"/>
      <c r="B8630" s="358" t="s">
        <v>3666</v>
      </c>
      <c r="C8630" s="247"/>
      <c r="D8630" s="247" t="s">
        <v>1423</v>
      </c>
      <c r="E8630" s="359">
        <v>1</v>
      </c>
      <c r="F8630" s="360">
        <f>'UPAD-BAHAN-ALAT'!$I$435</f>
        <v>22000</v>
      </c>
      <c r="G8630" s="248">
        <f>F8630*E8630</f>
        <v>22000</v>
      </c>
    </row>
    <row r="8631" spans="1:7">
      <c r="A8631" s="247"/>
      <c r="B8631" s="358" t="s">
        <v>3655</v>
      </c>
      <c r="C8631" s="247"/>
      <c r="D8631" s="247" t="s">
        <v>1011</v>
      </c>
      <c r="E8631" s="359">
        <v>1</v>
      </c>
      <c r="F8631" s="360">
        <v>1000</v>
      </c>
      <c r="G8631" s="248">
        <f t="shared" ref="G8631" si="83">F8631*E8631</f>
        <v>1000</v>
      </c>
    </row>
    <row r="8632" spans="1:7">
      <c r="A8632" s="247"/>
      <c r="B8632" s="295"/>
      <c r="C8632" s="296"/>
      <c r="D8632" s="296"/>
      <c r="E8632" s="1146" t="s">
        <v>702</v>
      </c>
      <c r="F8632" s="1146"/>
      <c r="G8632" s="248">
        <f>SUM(G8630:G8631)</f>
        <v>23000</v>
      </c>
    </row>
    <row r="8633" spans="1:7">
      <c r="A8633" s="294" t="s">
        <v>703</v>
      </c>
      <c r="B8633" s="1147" t="s">
        <v>3910</v>
      </c>
      <c r="C8633" s="1147"/>
      <c r="D8633" s="1147"/>
      <c r="E8633" s="1147"/>
      <c r="F8633" s="1147"/>
      <c r="G8633" s="255">
        <f>G8628+G8632</f>
        <v>49640</v>
      </c>
    </row>
    <row r="8634" spans="1:7">
      <c r="A8634" s="294" t="s">
        <v>706</v>
      </c>
      <c r="B8634" s="1148" t="s">
        <v>876</v>
      </c>
      <c r="C8634" s="1148"/>
      <c r="D8634" s="1148"/>
      <c r="E8634" s="1147" t="s">
        <v>4030</v>
      </c>
      <c r="F8634" s="1147"/>
      <c r="G8634" s="255">
        <f>G8633*0.15</f>
        <v>7446</v>
      </c>
    </row>
    <row r="8635" spans="1:7">
      <c r="A8635" s="294" t="s">
        <v>708</v>
      </c>
      <c r="B8635" s="1147" t="s">
        <v>3911</v>
      </c>
      <c r="C8635" s="1147"/>
      <c r="D8635" s="1147"/>
      <c r="E8635" s="1147"/>
      <c r="F8635" s="1147"/>
      <c r="G8635" s="255">
        <f>ROUND(SUM(G8633:G8634),2)</f>
        <v>57086</v>
      </c>
    </row>
    <row r="8637" spans="1:7">
      <c r="A8637" s="286" t="s">
        <v>4484</v>
      </c>
      <c r="B8637" s="761" t="s">
        <v>4485</v>
      </c>
    </row>
    <row r="8638" spans="1:7" ht="24.95" customHeight="1">
      <c r="A8638" s="290" t="s">
        <v>1003</v>
      </c>
      <c r="B8638" s="290" t="s">
        <v>1004</v>
      </c>
      <c r="C8638" s="290" t="s">
        <v>1005</v>
      </c>
      <c r="D8638" s="290" t="s">
        <v>1006</v>
      </c>
      <c r="E8638" s="373" t="s">
        <v>1007</v>
      </c>
      <c r="F8638" s="363" t="s">
        <v>2637</v>
      </c>
      <c r="G8638" s="291" t="s">
        <v>2638</v>
      </c>
    </row>
    <row r="8639" spans="1:7">
      <c r="A8639" s="294" t="s">
        <v>671</v>
      </c>
      <c r="B8639" s="411" t="s">
        <v>672</v>
      </c>
      <c r="C8639" s="247"/>
      <c r="D8639" s="247"/>
      <c r="E8639" s="372"/>
      <c r="F8639" s="360"/>
      <c r="G8639" s="248"/>
    </row>
    <row r="8640" spans="1:7">
      <c r="A8640" s="247"/>
      <c r="B8640" s="410" t="s">
        <v>673</v>
      </c>
      <c r="C8640" s="247" t="s">
        <v>674</v>
      </c>
      <c r="D8640" s="247" t="s">
        <v>675</v>
      </c>
      <c r="E8640" s="372">
        <v>0.1</v>
      </c>
      <c r="F8640" s="360">
        <f>$F$2312</f>
        <v>110000</v>
      </c>
      <c r="G8640" s="248">
        <f>F8640*E8640</f>
        <v>11000</v>
      </c>
    </row>
    <row r="8641" spans="1:7">
      <c r="A8641" s="247"/>
      <c r="B8641" s="410" t="s">
        <v>4460</v>
      </c>
      <c r="C8641" s="247" t="s">
        <v>678</v>
      </c>
      <c r="D8641" s="247" t="s">
        <v>675</v>
      </c>
      <c r="E8641" s="372">
        <v>0.1</v>
      </c>
      <c r="F8641" s="360">
        <f>$F$2313</f>
        <v>140000</v>
      </c>
      <c r="G8641" s="248">
        <f t="shared" ref="G8641:G8643" si="84">F8641*E8641</f>
        <v>14000</v>
      </c>
    </row>
    <row r="8642" spans="1:7">
      <c r="A8642" s="247"/>
      <c r="B8642" s="410" t="s">
        <v>680</v>
      </c>
      <c r="C8642" s="247" t="s">
        <v>681</v>
      </c>
      <c r="D8642" s="247" t="s">
        <v>675</v>
      </c>
      <c r="E8642" s="372">
        <v>0.01</v>
      </c>
      <c r="F8642" s="360">
        <f>$F$2314</f>
        <v>150000</v>
      </c>
      <c r="G8642" s="248">
        <f t="shared" si="84"/>
        <v>1500</v>
      </c>
    </row>
    <row r="8643" spans="1:7">
      <c r="A8643" s="247"/>
      <c r="B8643" s="410" t="s">
        <v>683</v>
      </c>
      <c r="C8643" s="247" t="s">
        <v>684</v>
      </c>
      <c r="D8643" s="247" t="s">
        <v>675</v>
      </c>
      <c r="E8643" s="372">
        <v>1E-3</v>
      </c>
      <c r="F8643" s="360">
        <f>$F$2315</f>
        <v>140000</v>
      </c>
      <c r="G8643" s="248">
        <f t="shared" si="84"/>
        <v>140</v>
      </c>
    </row>
    <row r="8644" spans="1:7">
      <c r="A8644" s="247"/>
      <c r="B8644" s="410"/>
      <c r="C8644" s="247"/>
      <c r="D8644" s="247"/>
      <c r="E8644" s="1145" t="s">
        <v>685</v>
      </c>
      <c r="F8644" s="1145"/>
      <c r="G8644" s="248">
        <f>SUM(G8640:G8643)</f>
        <v>26640</v>
      </c>
    </row>
    <row r="8645" spans="1:7">
      <c r="A8645" s="294" t="s">
        <v>686</v>
      </c>
      <c r="B8645" s="411" t="s">
        <v>687</v>
      </c>
      <c r="C8645" s="247"/>
      <c r="D8645" s="247"/>
      <c r="E8645" s="372"/>
      <c r="F8645" s="360"/>
      <c r="G8645" s="248"/>
    </row>
    <row r="8646" spans="1:7">
      <c r="A8646" s="247"/>
      <c r="B8646" s="358" t="s">
        <v>4486</v>
      </c>
      <c r="C8646" s="247"/>
      <c r="D8646" s="247" t="s">
        <v>853</v>
      </c>
      <c r="E8646" s="359">
        <v>1</v>
      </c>
      <c r="F8646" s="360">
        <f>'UPAD-BAHAN-ALAT'!$I$454</f>
        <v>104500.00000000001</v>
      </c>
      <c r="G8646" s="248">
        <f>F8646*E8646</f>
        <v>104500.00000000001</v>
      </c>
    </row>
    <row r="8647" spans="1:7">
      <c r="A8647" s="247"/>
      <c r="B8647" s="358" t="s">
        <v>3655</v>
      </c>
      <c r="C8647" s="247"/>
      <c r="D8647" s="247" t="s">
        <v>1011</v>
      </c>
      <c r="E8647" s="359">
        <v>1</v>
      </c>
      <c r="F8647" s="360">
        <v>1000</v>
      </c>
      <c r="G8647" s="248">
        <f t="shared" ref="G8647" si="85">F8647*E8647</f>
        <v>1000</v>
      </c>
    </row>
    <row r="8648" spans="1:7">
      <c r="A8648" s="247"/>
      <c r="B8648" s="295"/>
      <c r="C8648" s="296"/>
      <c r="D8648" s="296"/>
      <c r="E8648" s="1146" t="s">
        <v>702</v>
      </c>
      <c r="F8648" s="1146"/>
      <c r="G8648" s="248">
        <f>SUM(G8646:G8647)</f>
        <v>105500.00000000001</v>
      </c>
    </row>
    <row r="8649" spans="1:7">
      <c r="A8649" s="294" t="s">
        <v>703</v>
      </c>
      <c r="B8649" s="1147" t="s">
        <v>3910</v>
      </c>
      <c r="C8649" s="1147"/>
      <c r="D8649" s="1147"/>
      <c r="E8649" s="1147"/>
      <c r="F8649" s="1147"/>
      <c r="G8649" s="255">
        <f>G8644+G8648</f>
        <v>132140</v>
      </c>
    </row>
    <row r="8650" spans="1:7">
      <c r="A8650" s="294" t="s">
        <v>706</v>
      </c>
      <c r="B8650" s="1148" t="s">
        <v>876</v>
      </c>
      <c r="C8650" s="1148"/>
      <c r="D8650" s="1148"/>
      <c r="E8650" s="1147" t="s">
        <v>4030</v>
      </c>
      <c r="F8650" s="1147"/>
      <c r="G8650" s="255">
        <f>G8649*0.15</f>
        <v>19821</v>
      </c>
    </row>
    <row r="8651" spans="1:7">
      <c r="A8651" s="294" t="s">
        <v>708</v>
      </c>
      <c r="B8651" s="1147" t="s">
        <v>3911</v>
      </c>
      <c r="C8651" s="1147"/>
      <c r="D8651" s="1147"/>
      <c r="E8651" s="1147"/>
      <c r="F8651" s="1147"/>
      <c r="G8651" s="255">
        <f>ROUND(SUM(G8649:G8650),2)</f>
        <v>151961</v>
      </c>
    </row>
    <row r="8653" spans="1:7">
      <c r="A8653" s="286" t="s">
        <v>4487</v>
      </c>
      <c r="B8653" s="761" t="s">
        <v>4488</v>
      </c>
    </row>
    <row r="8654" spans="1:7" ht="24.95" customHeight="1">
      <c r="A8654" s="290" t="s">
        <v>1003</v>
      </c>
      <c r="B8654" s="290" t="s">
        <v>1004</v>
      </c>
      <c r="C8654" s="290" t="s">
        <v>1005</v>
      </c>
      <c r="D8654" s="290" t="s">
        <v>1006</v>
      </c>
      <c r="E8654" s="373" t="s">
        <v>1007</v>
      </c>
      <c r="F8654" s="363" t="s">
        <v>2637</v>
      </c>
      <c r="G8654" s="291" t="s">
        <v>2638</v>
      </c>
    </row>
    <row r="8655" spans="1:7">
      <c r="A8655" s="294" t="s">
        <v>671</v>
      </c>
      <c r="B8655" s="411" t="s">
        <v>3806</v>
      </c>
      <c r="C8655" s="247"/>
      <c r="D8655" s="247"/>
      <c r="E8655" s="372"/>
      <c r="F8655" s="360"/>
      <c r="G8655" s="248"/>
    </row>
    <row r="8656" spans="1:7">
      <c r="A8656" s="247"/>
      <c r="B8656" s="410" t="s">
        <v>3807</v>
      </c>
      <c r="C8656" s="247"/>
      <c r="D8656" s="247" t="s">
        <v>2997</v>
      </c>
      <c r="E8656" s="372">
        <v>1</v>
      </c>
      <c r="F8656" s="360">
        <v>1218000</v>
      </c>
      <c r="G8656" s="248">
        <f>F8656*E8656</f>
        <v>1218000</v>
      </c>
    </row>
    <row r="8657" spans="1:7">
      <c r="A8657" s="247"/>
      <c r="B8657" s="410"/>
      <c r="C8657" s="247"/>
      <c r="D8657" s="247"/>
      <c r="E8657" s="1145" t="s">
        <v>4492</v>
      </c>
      <c r="F8657" s="1145"/>
      <c r="G8657" s="248">
        <f>SUM(G8656:G8656)</f>
        <v>1218000</v>
      </c>
    </row>
    <row r="8658" spans="1:7">
      <c r="A8658" s="294" t="s">
        <v>686</v>
      </c>
      <c r="B8658" s="1147" t="s">
        <v>4489</v>
      </c>
      <c r="C8658" s="1147"/>
      <c r="D8658" s="1147"/>
      <c r="E8658" s="1147"/>
      <c r="F8658" s="1147"/>
      <c r="G8658" s="255">
        <f>G8657</f>
        <v>1218000</v>
      </c>
    </row>
    <row r="8659" spans="1:7">
      <c r="A8659" s="294" t="s">
        <v>703</v>
      </c>
      <c r="B8659" s="1148" t="s">
        <v>876</v>
      </c>
      <c r="C8659" s="1148"/>
      <c r="D8659" s="1148"/>
      <c r="E8659" s="1147" t="s">
        <v>4490</v>
      </c>
      <c r="F8659" s="1147"/>
      <c r="G8659" s="255">
        <f>G8658*0.15</f>
        <v>182700</v>
      </c>
    </row>
    <row r="8660" spans="1:7">
      <c r="A8660" s="294" t="s">
        <v>706</v>
      </c>
      <c r="B8660" s="1147" t="s">
        <v>4491</v>
      </c>
      <c r="C8660" s="1147"/>
      <c r="D8660" s="1147"/>
      <c r="E8660" s="1147"/>
      <c r="F8660" s="1147"/>
      <c r="G8660" s="255">
        <f>ROUND(SUM(G8658:G8659),2)</f>
        <v>1400700</v>
      </c>
    </row>
    <row r="8662" spans="1:7">
      <c r="A8662" s="286" t="s">
        <v>4493</v>
      </c>
      <c r="B8662" s="761" t="s">
        <v>4494</v>
      </c>
    </row>
    <row r="8663" spans="1:7" ht="24.95" customHeight="1">
      <c r="A8663" s="290" t="s">
        <v>1003</v>
      </c>
      <c r="B8663" s="290" t="s">
        <v>1004</v>
      </c>
      <c r="C8663" s="290" t="s">
        <v>1005</v>
      </c>
      <c r="D8663" s="290" t="s">
        <v>1006</v>
      </c>
      <c r="E8663" s="373" t="s">
        <v>1007</v>
      </c>
      <c r="F8663" s="363" t="s">
        <v>2637</v>
      </c>
      <c r="G8663" s="291" t="s">
        <v>2638</v>
      </c>
    </row>
    <row r="8664" spans="1:7">
      <c r="A8664" s="294" t="s">
        <v>671</v>
      </c>
      <c r="B8664" s="411" t="s">
        <v>3806</v>
      </c>
      <c r="C8664" s="247"/>
      <c r="D8664" s="247"/>
      <c r="E8664" s="372"/>
      <c r="F8664" s="360"/>
      <c r="G8664" s="248"/>
    </row>
    <row r="8665" spans="1:7">
      <c r="A8665" s="247"/>
      <c r="B8665" s="410" t="s">
        <v>3807</v>
      </c>
      <c r="C8665" s="247"/>
      <c r="D8665" s="247" t="s">
        <v>2997</v>
      </c>
      <c r="E8665" s="372">
        <v>1</v>
      </c>
      <c r="F8665" s="360">
        <v>2062000</v>
      </c>
      <c r="G8665" s="248">
        <f>F8665*E8665</f>
        <v>2062000</v>
      </c>
    </row>
    <row r="8666" spans="1:7">
      <c r="A8666" s="247"/>
      <c r="B8666" s="410"/>
      <c r="C8666" s="247"/>
      <c r="D8666" s="247"/>
      <c r="E8666" s="1145" t="s">
        <v>4492</v>
      </c>
      <c r="F8666" s="1145"/>
      <c r="G8666" s="248">
        <f>SUM(G8665:G8665)</f>
        <v>2062000</v>
      </c>
    </row>
    <row r="8667" spans="1:7">
      <c r="A8667" s="294" t="s">
        <v>686</v>
      </c>
      <c r="B8667" s="1147" t="s">
        <v>4489</v>
      </c>
      <c r="C8667" s="1147"/>
      <c r="D8667" s="1147"/>
      <c r="E8667" s="1147"/>
      <c r="F8667" s="1147"/>
      <c r="G8667" s="255">
        <f>G8666</f>
        <v>2062000</v>
      </c>
    </row>
    <row r="8668" spans="1:7">
      <c r="A8668" s="294" t="s">
        <v>703</v>
      </c>
      <c r="B8668" s="1148" t="s">
        <v>876</v>
      </c>
      <c r="C8668" s="1148"/>
      <c r="D8668" s="1148"/>
      <c r="E8668" s="1147" t="s">
        <v>4490</v>
      </c>
      <c r="F8668" s="1147"/>
      <c r="G8668" s="255">
        <f>G8667*0.15</f>
        <v>309300</v>
      </c>
    </row>
    <row r="8669" spans="1:7">
      <c r="A8669" s="294" t="s">
        <v>706</v>
      </c>
      <c r="B8669" s="1147" t="s">
        <v>4491</v>
      </c>
      <c r="C8669" s="1147"/>
      <c r="D8669" s="1147"/>
      <c r="E8669" s="1147"/>
      <c r="F8669" s="1147"/>
      <c r="G8669" s="255">
        <f>ROUND(SUM(G8667:G8668),2)</f>
        <v>2371300</v>
      </c>
    </row>
    <row r="8671" spans="1:7">
      <c r="A8671" s="286" t="s">
        <v>4495</v>
      </c>
      <c r="B8671" s="761" t="s">
        <v>4496</v>
      </c>
    </row>
    <row r="8672" spans="1:7" ht="24.95" customHeight="1">
      <c r="A8672" s="290" t="s">
        <v>1003</v>
      </c>
      <c r="B8672" s="290" t="s">
        <v>1004</v>
      </c>
      <c r="C8672" s="290" t="s">
        <v>1005</v>
      </c>
      <c r="D8672" s="290" t="s">
        <v>1006</v>
      </c>
      <c r="E8672" s="373" t="s">
        <v>1007</v>
      </c>
      <c r="F8672" s="363" t="s">
        <v>2637</v>
      </c>
      <c r="G8672" s="291" t="s">
        <v>2638</v>
      </c>
    </row>
    <row r="8673" spans="1:7">
      <c r="A8673" s="294" t="s">
        <v>671</v>
      </c>
      <c r="B8673" s="411" t="s">
        <v>3806</v>
      </c>
      <c r="C8673" s="247"/>
      <c r="D8673" s="247"/>
      <c r="E8673" s="372"/>
      <c r="F8673" s="360"/>
      <c r="G8673" s="248"/>
    </row>
    <row r="8674" spans="1:7">
      <c r="A8674" s="247"/>
      <c r="B8674" s="410" t="s">
        <v>3807</v>
      </c>
      <c r="C8674" s="247"/>
      <c r="D8674" s="247" t="s">
        <v>3808</v>
      </c>
      <c r="E8674" s="372">
        <v>3500</v>
      </c>
      <c r="F8674" s="360">
        <v>969</v>
      </c>
      <c r="G8674" s="248">
        <f>F8674*E8674</f>
        <v>3391500</v>
      </c>
    </row>
    <row r="8675" spans="1:7">
      <c r="A8675" s="247"/>
      <c r="B8675" s="410" t="s">
        <v>3809</v>
      </c>
      <c r="C8675" s="247"/>
      <c r="D8675" s="247" t="s">
        <v>3808</v>
      </c>
      <c r="E8675" s="372">
        <v>3500</v>
      </c>
      <c r="F8675" s="360">
        <v>165</v>
      </c>
      <c r="G8675" s="248">
        <f t="shared" ref="G8675:G8677" si="86">F8675*E8675</f>
        <v>577500</v>
      </c>
    </row>
    <row r="8676" spans="1:7">
      <c r="A8676" s="247"/>
      <c r="B8676" s="410" t="s">
        <v>3810</v>
      </c>
      <c r="C8676" s="247"/>
      <c r="D8676" s="247" t="s">
        <v>3808</v>
      </c>
      <c r="E8676" s="372">
        <v>3500</v>
      </c>
      <c r="F8676" s="360">
        <v>30</v>
      </c>
      <c r="G8676" s="248">
        <f t="shared" si="86"/>
        <v>105000</v>
      </c>
    </row>
    <row r="8677" spans="1:7">
      <c r="A8677" s="247"/>
      <c r="B8677" s="410" t="s">
        <v>3811</v>
      </c>
      <c r="C8677" s="247"/>
      <c r="D8677" s="247" t="s">
        <v>3808</v>
      </c>
      <c r="E8677" s="372">
        <v>3500</v>
      </c>
      <c r="F8677" s="360">
        <v>50</v>
      </c>
      <c r="G8677" s="248">
        <f t="shared" si="86"/>
        <v>175000</v>
      </c>
    </row>
    <row r="8678" spans="1:7">
      <c r="A8678" s="247"/>
      <c r="B8678" s="410"/>
      <c r="C8678" s="247"/>
      <c r="D8678" s="247"/>
      <c r="E8678" s="1145" t="s">
        <v>4492</v>
      </c>
      <c r="F8678" s="1145"/>
      <c r="G8678" s="248">
        <f>SUM(G8674:G8677)</f>
        <v>4249000</v>
      </c>
    </row>
    <row r="8679" spans="1:7">
      <c r="A8679" s="294" t="s">
        <v>686</v>
      </c>
      <c r="B8679" s="1147" t="s">
        <v>4489</v>
      </c>
      <c r="C8679" s="1147"/>
      <c r="D8679" s="1147"/>
      <c r="E8679" s="1147"/>
      <c r="F8679" s="1147"/>
      <c r="G8679" s="255">
        <f>G8678</f>
        <v>4249000</v>
      </c>
    </row>
    <row r="8680" spans="1:7">
      <c r="A8680" s="294" t="s">
        <v>703</v>
      </c>
      <c r="B8680" s="1148" t="s">
        <v>876</v>
      </c>
      <c r="C8680" s="1148"/>
      <c r="D8680" s="1148"/>
      <c r="E8680" s="1147" t="s">
        <v>4490</v>
      </c>
      <c r="F8680" s="1147"/>
      <c r="G8680" s="255">
        <f>G8679*0.15</f>
        <v>637350</v>
      </c>
    </row>
    <row r="8681" spans="1:7">
      <c r="A8681" s="294" t="s">
        <v>706</v>
      </c>
      <c r="B8681" s="1147" t="s">
        <v>4491</v>
      </c>
      <c r="C8681" s="1147"/>
      <c r="D8681" s="1147"/>
      <c r="E8681" s="1147"/>
      <c r="F8681" s="1147"/>
      <c r="G8681" s="255">
        <f>ROUND(SUM(G8679:G8680),2)</f>
        <v>4886350</v>
      </c>
    </row>
    <row r="8683" spans="1:7">
      <c r="A8683" s="286" t="s">
        <v>4497</v>
      </c>
      <c r="B8683" s="761" t="s">
        <v>4498</v>
      </c>
    </row>
    <row r="8684" spans="1:7" ht="24.95" customHeight="1">
      <c r="A8684" s="290" t="s">
        <v>1003</v>
      </c>
      <c r="B8684" s="290" t="s">
        <v>1004</v>
      </c>
      <c r="C8684" s="290" t="s">
        <v>1005</v>
      </c>
      <c r="D8684" s="290" t="s">
        <v>1006</v>
      </c>
      <c r="E8684" s="373" t="s">
        <v>1007</v>
      </c>
      <c r="F8684" s="363" t="s">
        <v>2637</v>
      </c>
      <c r="G8684" s="291" t="s">
        <v>2638</v>
      </c>
    </row>
    <row r="8685" spans="1:7">
      <c r="A8685" s="290" t="s">
        <v>671</v>
      </c>
      <c r="B8685" s="411" t="s">
        <v>672</v>
      </c>
      <c r="C8685" s="290"/>
      <c r="D8685" s="290"/>
      <c r="E8685" s="373"/>
      <c r="F8685" s="363"/>
      <c r="G8685" s="291"/>
    </row>
    <row r="8686" spans="1:7">
      <c r="A8686" s="369"/>
      <c r="B8686" s="370" t="s">
        <v>4499</v>
      </c>
      <c r="C8686" s="369"/>
      <c r="D8686" s="369" t="s">
        <v>2997</v>
      </c>
      <c r="E8686" s="388">
        <v>1</v>
      </c>
      <c r="F8686" s="394">
        <v>8000000</v>
      </c>
      <c r="G8686" s="371">
        <f>F8686*E8686</f>
        <v>8000000</v>
      </c>
    </row>
    <row r="8687" spans="1:7">
      <c r="A8687" s="369"/>
      <c r="B8687" s="369"/>
      <c r="C8687" s="369"/>
      <c r="D8687" s="369"/>
      <c r="E8687" s="1145" t="s">
        <v>4500</v>
      </c>
      <c r="F8687" s="1145"/>
      <c r="G8687" s="371">
        <f>SUM(G8686)</f>
        <v>8000000</v>
      </c>
    </row>
    <row r="8688" spans="1:7">
      <c r="A8688" s="294" t="s">
        <v>686</v>
      </c>
      <c r="B8688" s="411" t="s">
        <v>3806</v>
      </c>
      <c r="C8688" s="247"/>
      <c r="D8688" s="247"/>
      <c r="E8688" s="372"/>
      <c r="F8688" s="360"/>
      <c r="G8688" s="248"/>
    </row>
    <row r="8689" spans="1:7">
      <c r="A8689" s="247"/>
      <c r="B8689" s="410" t="s">
        <v>3807</v>
      </c>
      <c r="C8689" s="247"/>
      <c r="D8689" s="247" t="s">
        <v>3808</v>
      </c>
      <c r="E8689" s="372">
        <v>13200</v>
      </c>
      <c r="F8689" s="360">
        <v>969</v>
      </c>
      <c r="G8689" s="248">
        <f>F8689*E8689</f>
        <v>12790800</v>
      </c>
    </row>
    <row r="8690" spans="1:7">
      <c r="A8690" s="247"/>
      <c r="B8690" s="410" t="s">
        <v>3809</v>
      </c>
      <c r="C8690" s="247"/>
      <c r="D8690" s="247" t="s">
        <v>3808</v>
      </c>
      <c r="E8690" s="372">
        <v>13200</v>
      </c>
      <c r="F8690" s="360">
        <v>165</v>
      </c>
      <c r="G8690" s="248">
        <f t="shared" ref="G8690:G8692" si="87">F8690*E8690</f>
        <v>2178000</v>
      </c>
    </row>
    <row r="8691" spans="1:7">
      <c r="A8691" s="247"/>
      <c r="B8691" s="410" t="s">
        <v>3810</v>
      </c>
      <c r="C8691" s="247"/>
      <c r="D8691" s="247" t="s">
        <v>3808</v>
      </c>
      <c r="E8691" s="372">
        <v>13200</v>
      </c>
      <c r="F8691" s="360">
        <v>30</v>
      </c>
      <c r="G8691" s="248">
        <f t="shared" si="87"/>
        <v>396000</v>
      </c>
    </row>
    <row r="8692" spans="1:7">
      <c r="A8692" s="247"/>
      <c r="B8692" s="410" t="s">
        <v>3811</v>
      </c>
      <c r="C8692" s="247"/>
      <c r="D8692" s="247" t="s">
        <v>3808</v>
      </c>
      <c r="E8692" s="372">
        <v>13200</v>
      </c>
      <c r="F8692" s="360">
        <v>50</v>
      </c>
      <c r="G8692" s="248">
        <f t="shared" si="87"/>
        <v>660000</v>
      </c>
    </row>
    <row r="8693" spans="1:7">
      <c r="A8693" s="247"/>
      <c r="B8693" s="410"/>
      <c r="C8693" s="247"/>
      <c r="D8693" s="247"/>
      <c r="E8693" s="1145" t="s">
        <v>4492</v>
      </c>
      <c r="F8693" s="1145"/>
      <c r="G8693" s="248">
        <f>SUM(G8689:G8692)</f>
        <v>16024800</v>
      </c>
    </row>
    <row r="8694" spans="1:7" s="265" customFormat="1">
      <c r="A8694" s="294" t="s">
        <v>703</v>
      </c>
      <c r="B8694" s="411" t="s">
        <v>3812</v>
      </c>
      <c r="C8694" s="294"/>
      <c r="D8694" s="294"/>
      <c r="E8694" s="713"/>
      <c r="F8694" s="714"/>
      <c r="G8694" s="255"/>
    </row>
    <row r="8695" spans="1:7">
      <c r="A8695" s="247"/>
      <c r="B8695" s="410" t="s">
        <v>3813</v>
      </c>
      <c r="C8695" s="247"/>
      <c r="D8695" s="247" t="s">
        <v>1346</v>
      </c>
      <c r="E8695" s="387">
        <v>1</v>
      </c>
      <c r="F8695" s="409">
        <f>'UPAD-BAHAN-ALAT'!$I$466</f>
        <v>1500000</v>
      </c>
      <c r="G8695" s="248">
        <f t="shared" ref="G8695:G8696" si="88">F8695*E8695</f>
        <v>1500000</v>
      </c>
    </row>
    <row r="8696" spans="1:7">
      <c r="A8696" s="247"/>
      <c r="B8696" s="410" t="s">
        <v>3814</v>
      </c>
      <c r="C8696" s="247"/>
      <c r="D8696" s="247" t="s">
        <v>2997</v>
      </c>
      <c r="E8696" s="387">
        <v>1</v>
      </c>
      <c r="F8696" s="409">
        <f>'UPAD-BAHAN-ALAT'!$I$467</f>
        <v>2000000</v>
      </c>
      <c r="G8696" s="248">
        <f t="shared" si="88"/>
        <v>2000000</v>
      </c>
    </row>
    <row r="8697" spans="1:7">
      <c r="A8697" s="247"/>
      <c r="B8697" s="410"/>
      <c r="C8697" s="247"/>
      <c r="D8697" s="247"/>
      <c r="E8697" s="387" t="str">
        <f>"JUMLAH " &amp;B8694</f>
        <v>JUMLAH KELOMPOK APP + ACC</v>
      </c>
      <c r="F8697" s="409"/>
      <c r="G8697" s="248">
        <f>SUM(G8695:G8696)</f>
        <v>3500000</v>
      </c>
    </row>
    <row r="8698" spans="1:7">
      <c r="A8698" s="294" t="s">
        <v>706</v>
      </c>
      <c r="B8698" s="411" t="s">
        <v>3815</v>
      </c>
      <c r="C8698" s="247"/>
      <c r="D8698" s="247"/>
      <c r="E8698" s="387"/>
      <c r="F8698" s="409"/>
      <c r="G8698" s="248"/>
    </row>
    <row r="8699" spans="1:7">
      <c r="A8699" s="247"/>
      <c r="B8699" s="410" t="s">
        <v>3816</v>
      </c>
      <c r="C8699" s="247"/>
      <c r="D8699" s="247" t="s">
        <v>853</v>
      </c>
      <c r="E8699" s="387">
        <v>270</v>
      </c>
      <c r="F8699" s="409">
        <f>'UPAD-BAHAN-ALAT'!$I$470</f>
        <v>22000</v>
      </c>
      <c r="G8699" s="248">
        <f t="shared" ref="G8699:G8707" si="89">F8699*E8699</f>
        <v>5940000</v>
      </c>
    </row>
    <row r="8700" spans="1:7">
      <c r="A8700" s="247"/>
      <c r="B8700" s="410" t="s">
        <v>3817</v>
      </c>
      <c r="C8700" s="247"/>
      <c r="D8700" s="247" t="s">
        <v>1346</v>
      </c>
      <c r="E8700" s="387">
        <v>6</v>
      </c>
      <c r="F8700" s="409">
        <f>'UPAD-BAHAN-ALAT'!$I$471</f>
        <v>65000</v>
      </c>
      <c r="G8700" s="248">
        <f t="shared" si="89"/>
        <v>390000</v>
      </c>
    </row>
    <row r="8701" spans="1:7">
      <c r="A8701" s="247"/>
      <c r="B8701" s="410" t="s">
        <v>3818</v>
      </c>
      <c r="C8701" s="247"/>
      <c r="D8701" s="247" t="s">
        <v>1423</v>
      </c>
      <c r="E8701" s="387">
        <v>4</v>
      </c>
      <c r="F8701" s="409">
        <f>'UPAD-BAHAN-ALAT'!$I$472</f>
        <v>12000</v>
      </c>
      <c r="G8701" s="248">
        <f t="shared" si="89"/>
        <v>48000</v>
      </c>
    </row>
    <row r="8702" spans="1:7">
      <c r="A8702" s="247"/>
      <c r="B8702" s="410" t="s">
        <v>3819</v>
      </c>
      <c r="C8702" s="247"/>
      <c r="D8702" s="247" t="s">
        <v>1423</v>
      </c>
      <c r="E8702" s="387">
        <v>3</v>
      </c>
      <c r="F8702" s="409">
        <f>'UPAD-BAHAN-ALAT'!$I$473</f>
        <v>2250000</v>
      </c>
      <c r="G8702" s="248">
        <f t="shared" si="89"/>
        <v>6750000</v>
      </c>
    </row>
    <row r="8703" spans="1:7">
      <c r="A8703" s="247"/>
      <c r="B8703" s="410" t="s">
        <v>3820</v>
      </c>
      <c r="C8703" s="247"/>
      <c r="D8703" s="247" t="s">
        <v>1346</v>
      </c>
      <c r="E8703" s="387">
        <v>3</v>
      </c>
      <c r="F8703" s="409">
        <f>'UPAD-BAHAN-ALAT'!$I$474</f>
        <v>85000</v>
      </c>
      <c r="G8703" s="248">
        <f t="shared" si="89"/>
        <v>255000</v>
      </c>
    </row>
    <row r="8704" spans="1:7">
      <c r="A8704" s="247"/>
      <c r="B8704" s="410" t="s">
        <v>3821</v>
      </c>
      <c r="C8704" s="247"/>
      <c r="D8704" s="247" t="s">
        <v>1346</v>
      </c>
      <c r="E8704" s="387">
        <v>1</v>
      </c>
      <c r="F8704" s="409">
        <f>'UPAD-BAHAN-ALAT'!$I$475</f>
        <v>7500000</v>
      </c>
      <c r="G8704" s="248">
        <f t="shared" si="89"/>
        <v>7500000</v>
      </c>
    </row>
    <row r="8705" spans="1:7">
      <c r="A8705" s="247"/>
      <c r="B8705" s="410" t="s">
        <v>3822</v>
      </c>
      <c r="C8705" s="247"/>
      <c r="D8705" s="247" t="s">
        <v>853</v>
      </c>
      <c r="E8705" s="387">
        <v>2</v>
      </c>
      <c r="F8705" s="409">
        <f>'UPAD-BAHAN-ALAT'!$I$476</f>
        <v>55000</v>
      </c>
      <c r="G8705" s="248">
        <f t="shared" si="89"/>
        <v>110000</v>
      </c>
    </row>
    <row r="8706" spans="1:7">
      <c r="A8706" s="247"/>
      <c r="B8706" s="410" t="s">
        <v>3823</v>
      </c>
      <c r="C8706" s="247"/>
      <c r="D8706" s="247" t="s">
        <v>3177</v>
      </c>
      <c r="E8706" s="387">
        <v>3</v>
      </c>
      <c r="F8706" s="409">
        <f>'UPAD-BAHAN-ALAT'!$I$477</f>
        <v>121000.00000000001</v>
      </c>
      <c r="G8706" s="248">
        <f t="shared" si="89"/>
        <v>363000.00000000006</v>
      </c>
    </row>
    <row r="8707" spans="1:7">
      <c r="A8707" s="247"/>
      <c r="B8707" s="410" t="s">
        <v>3980</v>
      </c>
      <c r="C8707" s="247"/>
      <c r="D8707" s="247" t="s">
        <v>2997</v>
      </c>
      <c r="E8707" s="387">
        <v>1</v>
      </c>
      <c r="F8707" s="409">
        <f>'UPAD-BAHAN-ALAT'!$I$478</f>
        <v>12000000</v>
      </c>
      <c r="G8707" s="248">
        <f t="shared" si="89"/>
        <v>12000000</v>
      </c>
    </row>
    <row r="8708" spans="1:7">
      <c r="A8708" s="247"/>
      <c r="B8708" s="410"/>
      <c r="C8708" s="247"/>
      <c r="D8708" s="247"/>
      <c r="E8708" s="387" t="str">
        <f>"JUMLAH " &amp;B8698</f>
        <v>JUMLAH KELOMPOK TRASFORMATOR/KABEL</v>
      </c>
      <c r="F8708" s="409"/>
      <c r="G8708" s="248">
        <f>SUM(G8699:G8707)</f>
        <v>33356000</v>
      </c>
    </row>
    <row r="8709" spans="1:7">
      <c r="A8709" s="294" t="s">
        <v>708</v>
      </c>
      <c r="B8709" s="1147" t="s">
        <v>4501</v>
      </c>
      <c r="C8709" s="1147"/>
      <c r="D8709" s="1147"/>
      <c r="E8709" s="1147"/>
      <c r="F8709" s="1147"/>
      <c r="G8709" s="255">
        <f>SUM(G8687,G8693,G8697,G8708)</f>
        <v>60880800</v>
      </c>
    </row>
    <row r="8710" spans="1:7">
      <c r="A8710" s="294" t="s">
        <v>711</v>
      </c>
      <c r="B8710" s="1148" t="s">
        <v>876</v>
      </c>
      <c r="C8710" s="1148"/>
      <c r="D8710" s="1148"/>
      <c r="E8710" s="1147" t="s">
        <v>4502</v>
      </c>
      <c r="F8710" s="1147"/>
      <c r="G8710" s="255">
        <f>G8709*0.15</f>
        <v>9132120</v>
      </c>
    </row>
    <row r="8711" spans="1:7">
      <c r="A8711" s="294" t="s">
        <v>3532</v>
      </c>
      <c r="B8711" s="1147" t="s">
        <v>4503</v>
      </c>
      <c r="C8711" s="1147"/>
      <c r="D8711" s="1147"/>
      <c r="E8711" s="1147"/>
      <c r="F8711" s="1147"/>
      <c r="G8711" s="255">
        <f>ROUND(SUM(G8709:G8710),2)</f>
        <v>70012920</v>
      </c>
    </row>
    <row r="8713" spans="1:7">
      <c r="A8713" s="286" t="s">
        <v>4504</v>
      </c>
      <c r="B8713" s="761" t="s">
        <v>4505</v>
      </c>
    </row>
    <row r="8714" spans="1:7" ht="24.95" customHeight="1">
      <c r="A8714" s="290" t="s">
        <v>1003</v>
      </c>
      <c r="B8714" s="290" t="s">
        <v>1004</v>
      </c>
      <c r="C8714" s="290" t="s">
        <v>1005</v>
      </c>
      <c r="D8714" s="290" t="s">
        <v>1006</v>
      </c>
      <c r="E8714" s="373" t="s">
        <v>1007</v>
      </c>
      <c r="F8714" s="363" t="s">
        <v>2637</v>
      </c>
      <c r="G8714" s="291" t="s">
        <v>2638</v>
      </c>
    </row>
    <row r="8715" spans="1:7">
      <c r="A8715" s="290" t="s">
        <v>671</v>
      </c>
      <c r="B8715" s="411" t="s">
        <v>672</v>
      </c>
      <c r="C8715" s="290"/>
      <c r="D8715" s="290"/>
      <c r="E8715" s="373"/>
      <c r="F8715" s="363"/>
      <c r="G8715" s="291"/>
    </row>
    <row r="8716" spans="1:7">
      <c r="A8716" s="369"/>
      <c r="B8716" s="370" t="s">
        <v>4499</v>
      </c>
      <c r="C8716" s="369"/>
      <c r="D8716" s="369" t="s">
        <v>2997</v>
      </c>
      <c r="E8716" s="388">
        <v>1</v>
      </c>
      <c r="F8716" s="394">
        <v>12000000</v>
      </c>
      <c r="G8716" s="371">
        <f>F8716*E8716</f>
        <v>12000000</v>
      </c>
    </row>
    <row r="8717" spans="1:7">
      <c r="A8717" s="369"/>
      <c r="B8717" s="369"/>
      <c r="C8717" s="369"/>
      <c r="D8717" s="369"/>
      <c r="E8717" s="1145" t="s">
        <v>4500</v>
      </c>
      <c r="F8717" s="1145"/>
      <c r="G8717" s="371">
        <f>SUM(G8716)</f>
        <v>12000000</v>
      </c>
    </row>
    <row r="8718" spans="1:7">
      <c r="A8718" s="294" t="s">
        <v>686</v>
      </c>
      <c r="B8718" s="411" t="s">
        <v>3806</v>
      </c>
      <c r="C8718" s="247"/>
      <c r="D8718" s="247"/>
      <c r="E8718" s="372"/>
      <c r="F8718" s="360"/>
      <c r="G8718" s="248"/>
    </row>
    <row r="8719" spans="1:7">
      <c r="A8719" s="247"/>
      <c r="B8719" s="410" t="s">
        <v>3807</v>
      </c>
      <c r="C8719" s="247"/>
      <c r="D8719" s="247" t="s">
        <v>3808</v>
      </c>
      <c r="E8719" s="372">
        <v>16500</v>
      </c>
      <c r="F8719" s="360">
        <v>969</v>
      </c>
      <c r="G8719" s="248">
        <f>F8719*E8719</f>
        <v>15988500</v>
      </c>
    </row>
    <row r="8720" spans="1:7">
      <c r="A8720" s="247"/>
      <c r="B8720" s="410" t="s">
        <v>3809</v>
      </c>
      <c r="C8720" s="247"/>
      <c r="D8720" s="247" t="s">
        <v>3808</v>
      </c>
      <c r="E8720" s="372">
        <v>16500</v>
      </c>
      <c r="F8720" s="360">
        <v>165</v>
      </c>
      <c r="G8720" s="248">
        <f t="shared" ref="G8720:G8722" si="90">F8720*E8720</f>
        <v>2722500</v>
      </c>
    </row>
    <row r="8721" spans="1:7">
      <c r="A8721" s="247"/>
      <c r="B8721" s="410" t="s">
        <v>3810</v>
      </c>
      <c r="C8721" s="247"/>
      <c r="D8721" s="247" t="s">
        <v>3808</v>
      </c>
      <c r="E8721" s="372">
        <v>16500</v>
      </c>
      <c r="F8721" s="360">
        <v>30</v>
      </c>
      <c r="G8721" s="248">
        <f t="shared" si="90"/>
        <v>495000</v>
      </c>
    </row>
    <row r="8722" spans="1:7">
      <c r="A8722" s="247"/>
      <c r="B8722" s="410" t="s">
        <v>3811</v>
      </c>
      <c r="C8722" s="247"/>
      <c r="D8722" s="247" t="s">
        <v>3808</v>
      </c>
      <c r="E8722" s="372">
        <v>16500</v>
      </c>
      <c r="F8722" s="360">
        <v>50</v>
      </c>
      <c r="G8722" s="248">
        <f t="shared" si="90"/>
        <v>825000</v>
      </c>
    </row>
    <row r="8723" spans="1:7">
      <c r="A8723" s="247"/>
      <c r="B8723" s="410"/>
      <c r="C8723" s="247"/>
      <c r="D8723" s="247"/>
      <c r="E8723" s="1145" t="s">
        <v>4492</v>
      </c>
      <c r="F8723" s="1145"/>
      <c r="G8723" s="248">
        <f>SUM(G8719:G8722)</f>
        <v>20031000</v>
      </c>
    </row>
    <row r="8724" spans="1:7">
      <c r="A8724" s="294" t="s">
        <v>703</v>
      </c>
      <c r="B8724" s="411" t="s">
        <v>3812</v>
      </c>
      <c r="C8724" s="294"/>
      <c r="D8724" s="294"/>
      <c r="E8724" s="713"/>
      <c r="F8724" s="714"/>
      <c r="G8724" s="255"/>
    </row>
    <row r="8725" spans="1:7">
      <c r="A8725" s="247"/>
      <c r="B8725" s="410" t="s">
        <v>3813</v>
      </c>
      <c r="C8725" s="247"/>
      <c r="D8725" s="247" t="s">
        <v>1346</v>
      </c>
      <c r="E8725" s="387">
        <v>1</v>
      </c>
      <c r="F8725" s="409">
        <f>'UPAD-BAHAN-ALAT'!$I$466</f>
        <v>1500000</v>
      </c>
      <c r="G8725" s="248">
        <f t="shared" ref="G8725:G8726" si="91">F8725*E8725</f>
        <v>1500000</v>
      </c>
    </row>
    <row r="8726" spans="1:7">
      <c r="A8726" s="247"/>
      <c r="B8726" s="410" t="s">
        <v>3814</v>
      </c>
      <c r="C8726" s="247"/>
      <c r="D8726" s="247" t="s">
        <v>2997</v>
      </c>
      <c r="E8726" s="387">
        <v>1</v>
      </c>
      <c r="F8726" s="409">
        <f>'UPAD-BAHAN-ALAT'!$I$467</f>
        <v>2000000</v>
      </c>
      <c r="G8726" s="248">
        <f t="shared" si="91"/>
        <v>2000000</v>
      </c>
    </row>
    <row r="8727" spans="1:7">
      <c r="A8727" s="247"/>
      <c r="B8727" s="410"/>
      <c r="C8727" s="247"/>
      <c r="D8727" s="247"/>
      <c r="E8727" s="387" t="str">
        <f>"JUMLAH " &amp;B8724</f>
        <v>JUMLAH KELOMPOK APP + ACC</v>
      </c>
      <c r="F8727" s="409"/>
      <c r="G8727" s="248">
        <f>SUM(G8725:G8726)</f>
        <v>3500000</v>
      </c>
    </row>
    <row r="8728" spans="1:7">
      <c r="A8728" s="294" t="s">
        <v>706</v>
      </c>
      <c r="B8728" s="411" t="s">
        <v>3815</v>
      </c>
      <c r="C8728" s="247"/>
      <c r="D8728" s="247"/>
      <c r="E8728" s="387"/>
      <c r="F8728" s="409"/>
      <c r="G8728" s="248"/>
    </row>
    <row r="8729" spans="1:7">
      <c r="A8729" s="247"/>
      <c r="B8729" s="410" t="s">
        <v>3816</v>
      </c>
      <c r="C8729" s="247"/>
      <c r="D8729" s="247" t="s">
        <v>853</v>
      </c>
      <c r="E8729" s="387">
        <v>270</v>
      </c>
      <c r="F8729" s="409">
        <f>'UPAD-BAHAN-ALAT'!$I$470</f>
        <v>22000</v>
      </c>
      <c r="G8729" s="248">
        <f t="shared" ref="G8729:G8737" si="92">F8729*E8729</f>
        <v>5940000</v>
      </c>
    </row>
    <row r="8730" spans="1:7">
      <c r="A8730" s="247"/>
      <c r="B8730" s="410" t="s">
        <v>3817</v>
      </c>
      <c r="C8730" s="247"/>
      <c r="D8730" s="247" t="s">
        <v>1346</v>
      </c>
      <c r="E8730" s="387">
        <v>6</v>
      </c>
      <c r="F8730" s="409">
        <f>'UPAD-BAHAN-ALAT'!$I$471</f>
        <v>65000</v>
      </c>
      <c r="G8730" s="248">
        <f t="shared" si="92"/>
        <v>390000</v>
      </c>
    </row>
    <row r="8731" spans="1:7">
      <c r="A8731" s="247"/>
      <c r="B8731" s="410" t="s">
        <v>3818</v>
      </c>
      <c r="C8731" s="247"/>
      <c r="D8731" s="247" t="s">
        <v>1423</v>
      </c>
      <c r="E8731" s="387">
        <v>4</v>
      </c>
      <c r="F8731" s="409">
        <f>'UPAD-BAHAN-ALAT'!$I$472</f>
        <v>12000</v>
      </c>
      <c r="G8731" s="248">
        <f t="shared" si="92"/>
        <v>48000</v>
      </c>
    </row>
    <row r="8732" spans="1:7">
      <c r="A8732" s="247"/>
      <c r="B8732" s="410" t="s">
        <v>3819</v>
      </c>
      <c r="C8732" s="247"/>
      <c r="D8732" s="247" t="s">
        <v>1423</v>
      </c>
      <c r="E8732" s="387">
        <v>5</v>
      </c>
      <c r="F8732" s="409">
        <f>'UPAD-BAHAN-ALAT'!$I$473</f>
        <v>2250000</v>
      </c>
      <c r="G8732" s="248">
        <f t="shared" si="92"/>
        <v>11250000</v>
      </c>
    </row>
    <row r="8733" spans="1:7">
      <c r="A8733" s="247"/>
      <c r="B8733" s="410" t="s">
        <v>3820</v>
      </c>
      <c r="C8733" s="247"/>
      <c r="D8733" s="247" t="s">
        <v>1346</v>
      </c>
      <c r="E8733" s="387">
        <v>3</v>
      </c>
      <c r="F8733" s="409">
        <f>'UPAD-BAHAN-ALAT'!$I$474</f>
        <v>85000</v>
      </c>
      <c r="G8733" s="248">
        <f t="shared" si="92"/>
        <v>255000</v>
      </c>
    </row>
    <row r="8734" spans="1:7">
      <c r="A8734" s="247"/>
      <c r="B8734" s="410" t="s">
        <v>3821</v>
      </c>
      <c r="C8734" s="247"/>
      <c r="D8734" s="247" t="s">
        <v>1346</v>
      </c>
      <c r="E8734" s="387">
        <v>1</v>
      </c>
      <c r="F8734" s="409">
        <f>'UPAD-BAHAN-ALAT'!$I$475</f>
        <v>7500000</v>
      </c>
      <c r="G8734" s="248">
        <f t="shared" si="92"/>
        <v>7500000</v>
      </c>
    </row>
    <row r="8735" spans="1:7">
      <c r="A8735" s="247"/>
      <c r="B8735" s="410" t="s">
        <v>3822</v>
      </c>
      <c r="C8735" s="247"/>
      <c r="D8735" s="247" t="s">
        <v>853</v>
      </c>
      <c r="E8735" s="387">
        <v>2</v>
      </c>
      <c r="F8735" s="409">
        <f>'UPAD-BAHAN-ALAT'!$I$476</f>
        <v>55000</v>
      </c>
      <c r="G8735" s="248">
        <f t="shared" si="92"/>
        <v>110000</v>
      </c>
    </row>
    <row r="8736" spans="1:7">
      <c r="A8736" s="247"/>
      <c r="B8736" s="410" t="s">
        <v>3823</v>
      </c>
      <c r="C8736" s="247"/>
      <c r="D8736" s="247" t="s">
        <v>3177</v>
      </c>
      <c r="E8736" s="387">
        <v>3</v>
      </c>
      <c r="F8736" s="409">
        <f>'UPAD-BAHAN-ALAT'!$I$477</f>
        <v>121000.00000000001</v>
      </c>
      <c r="G8736" s="248">
        <f t="shared" si="92"/>
        <v>363000.00000000006</v>
      </c>
    </row>
    <row r="8737" spans="1:7">
      <c r="A8737" s="247"/>
      <c r="B8737" s="410" t="s">
        <v>3980</v>
      </c>
      <c r="C8737" s="247"/>
      <c r="D8737" s="247" t="s">
        <v>2997</v>
      </c>
      <c r="E8737" s="387">
        <v>1</v>
      </c>
      <c r="F8737" s="409">
        <f>'UPAD-BAHAN-ALAT'!$I$478</f>
        <v>12000000</v>
      </c>
      <c r="G8737" s="248">
        <f t="shared" si="92"/>
        <v>12000000</v>
      </c>
    </row>
    <row r="8738" spans="1:7">
      <c r="A8738" s="247"/>
      <c r="B8738" s="410"/>
      <c r="C8738" s="247"/>
      <c r="D8738" s="247"/>
      <c r="E8738" s="387" t="str">
        <f>"JUMLAH " &amp;B8728</f>
        <v>JUMLAH KELOMPOK TRASFORMATOR/KABEL</v>
      </c>
      <c r="F8738" s="409"/>
      <c r="G8738" s="248">
        <f>SUM(G8729:G8737)</f>
        <v>37856000</v>
      </c>
    </row>
    <row r="8739" spans="1:7">
      <c r="A8739" s="294" t="s">
        <v>708</v>
      </c>
      <c r="B8739" s="1147" t="s">
        <v>4501</v>
      </c>
      <c r="C8739" s="1147"/>
      <c r="D8739" s="1147"/>
      <c r="E8739" s="1147"/>
      <c r="F8739" s="1147"/>
      <c r="G8739" s="255">
        <f>SUM(G8717,G8723,G8727,G8738)</f>
        <v>73387000</v>
      </c>
    </row>
    <row r="8740" spans="1:7">
      <c r="A8740" s="294" t="s">
        <v>711</v>
      </c>
      <c r="B8740" s="1148" t="s">
        <v>876</v>
      </c>
      <c r="C8740" s="1148"/>
      <c r="D8740" s="1148"/>
      <c r="E8740" s="1147" t="s">
        <v>4502</v>
      </c>
      <c r="F8740" s="1147"/>
      <c r="G8740" s="255">
        <f>G8739*0.15</f>
        <v>11008050</v>
      </c>
    </row>
    <row r="8741" spans="1:7">
      <c r="A8741" s="294" t="s">
        <v>3532</v>
      </c>
      <c r="B8741" s="1147" t="s">
        <v>4503</v>
      </c>
      <c r="C8741" s="1147"/>
      <c r="D8741" s="1147"/>
      <c r="E8741" s="1147"/>
      <c r="F8741" s="1147"/>
      <c r="G8741" s="255">
        <f>ROUND(SUM(G8739:G8740),2)</f>
        <v>84395050</v>
      </c>
    </row>
    <row r="8743" spans="1:7" hidden="1">
      <c r="B8743" s="1150" t="s">
        <v>2425</v>
      </c>
      <c r="C8743" s="1150"/>
      <c r="D8743" s="1150"/>
      <c r="E8743" s="1150"/>
      <c r="F8743" s="1150"/>
      <c r="G8743" s="1150"/>
    </row>
    <row r="8744" spans="1:7" ht="41.25" hidden="1" customHeight="1">
      <c r="B8744" s="1163" t="s">
        <v>2660</v>
      </c>
      <c r="C8744" s="1163"/>
      <c r="D8744" s="1163"/>
      <c r="E8744" s="1163"/>
      <c r="F8744" s="1163"/>
      <c r="G8744" s="1163"/>
    </row>
    <row r="8745" spans="1:7" hidden="1">
      <c r="B8745" s="762"/>
      <c r="C8745" s="763"/>
      <c r="D8745" s="762"/>
      <c r="E8745" s="764"/>
      <c r="F8745" s="765"/>
      <c r="G8745" s="766"/>
    </row>
    <row r="8746" spans="1:7" hidden="1">
      <c r="B8746" s="762"/>
      <c r="C8746" s="763"/>
      <c r="D8746" s="762"/>
      <c r="E8746" s="764"/>
      <c r="F8746" s="765"/>
      <c r="G8746" s="766"/>
    </row>
    <row r="8747" spans="1:7" ht="13.5" customHeight="1">
      <c r="B8747" s="762"/>
      <c r="C8747" s="763"/>
      <c r="D8747" s="762"/>
      <c r="E8747" s="1162" t="s">
        <v>4706</v>
      </c>
      <c r="F8747" s="1162"/>
      <c r="G8747" s="1162"/>
    </row>
    <row r="8748" spans="1:7" ht="18.75" customHeight="1">
      <c r="B8748" s="762"/>
      <c r="C8748" s="763"/>
      <c r="D8748" s="762"/>
      <c r="E8748" s="1162" t="s">
        <v>4011</v>
      </c>
      <c r="F8748" s="1162"/>
      <c r="G8748" s="1162"/>
    </row>
    <row r="8749" spans="1:7" ht="13.5" customHeight="1">
      <c r="B8749" s="762"/>
      <c r="C8749" s="763"/>
      <c r="D8749" s="762"/>
      <c r="E8749" s="1162" t="s">
        <v>4702</v>
      </c>
      <c r="F8749" s="1162"/>
      <c r="G8749" s="1162"/>
    </row>
    <row r="8750" spans="1:7" ht="15" customHeight="1">
      <c r="B8750" s="762"/>
      <c r="C8750" s="763"/>
      <c r="D8750" s="762"/>
      <c r="E8750" s="1140" t="s">
        <v>4701</v>
      </c>
      <c r="F8750" s="1140"/>
      <c r="G8750" s="1140"/>
    </row>
    <row r="8751" spans="1:7" ht="13.5" customHeight="1">
      <c r="B8751" s="762"/>
      <c r="C8751" s="763"/>
      <c r="D8751" s="762"/>
      <c r="E8751" s="1140"/>
      <c r="F8751" s="1140"/>
      <c r="G8751" s="1140"/>
    </row>
    <row r="8752" spans="1:7">
      <c r="B8752" s="762"/>
      <c r="C8752" s="763"/>
      <c r="D8752" s="762"/>
      <c r="E8752" s="767"/>
      <c r="F8752" s="768"/>
      <c r="G8752" s="606"/>
    </row>
    <row r="8753" spans="2:7">
      <c r="B8753" s="762"/>
      <c r="C8753" s="763"/>
      <c r="D8753" s="762"/>
      <c r="E8753" s="769"/>
      <c r="F8753" s="770"/>
      <c r="G8753" s="637"/>
    </row>
    <row r="8754" spans="2:7">
      <c r="B8754" s="762"/>
      <c r="C8754" s="763"/>
      <c r="D8754" s="762"/>
      <c r="E8754" s="769"/>
      <c r="F8754" s="770"/>
      <c r="G8754" s="637"/>
    </row>
    <row r="8755" spans="2:7">
      <c r="B8755" s="762"/>
      <c r="C8755" s="763"/>
      <c r="D8755" s="762"/>
      <c r="E8755" s="769"/>
      <c r="F8755" s="770"/>
      <c r="G8755" s="637"/>
    </row>
    <row r="8756" spans="2:7" ht="13.5" customHeight="1">
      <c r="B8756" s="762"/>
      <c r="C8756" s="763"/>
      <c r="D8756" s="762"/>
      <c r="E8756" s="1161" t="s">
        <v>4703</v>
      </c>
      <c r="F8756" s="1161"/>
      <c r="G8756" s="1161"/>
    </row>
    <row r="8757" spans="2:7">
      <c r="B8757" s="762"/>
      <c r="C8757" s="763"/>
      <c r="D8757" s="762"/>
      <c r="E8757" s="1161" t="s">
        <v>4704</v>
      </c>
      <c r="F8757" s="1161"/>
      <c r="G8757" s="1161"/>
    </row>
    <row r="8758" spans="2:7">
      <c r="B8758" s="762"/>
      <c r="C8758" s="763"/>
      <c r="D8758" s="762"/>
      <c r="E8758" s="1161" t="s">
        <v>4705</v>
      </c>
      <c r="F8758" s="1161"/>
      <c r="G8758" s="1161"/>
    </row>
  </sheetData>
  <mergeCells count="2735">
    <mergeCell ref="A1:G1"/>
    <mergeCell ref="E978:F978"/>
    <mergeCell ref="E983:F983"/>
    <mergeCell ref="B985:F985"/>
    <mergeCell ref="B986:D986"/>
    <mergeCell ref="E986:F986"/>
    <mergeCell ref="B987:F987"/>
    <mergeCell ref="E1013:F1013"/>
    <mergeCell ref="E1018:F1018"/>
    <mergeCell ref="B1020:F1020"/>
    <mergeCell ref="B1021:D1021"/>
    <mergeCell ref="E1021:F1021"/>
    <mergeCell ref="B1022:F1022"/>
    <mergeCell ref="E1051:F1051"/>
    <mergeCell ref="E1059:F1059"/>
    <mergeCell ref="B1061:F1061"/>
    <mergeCell ref="B1062:D1062"/>
    <mergeCell ref="E1062:F1062"/>
    <mergeCell ref="B1003:D1003"/>
    <mergeCell ref="E1003:F1003"/>
    <mergeCell ref="E1031:F1031"/>
    <mergeCell ref="E1001:F1001"/>
    <mergeCell ref="B1002:F1002"/>
    <mergeCell ref="B951:F951"/>
    <mergeCell ref="E1039:F1039"/>
    <mergeCell ref="B952:F952"/>
    <mergeCell ref="B950:D950"/>
    <mergeCell ref="E950:F950"/>
    <mergeCell ref="E927:F927"/>
    <mergeCell ref="B915:F915"/>
    <mergeCell ref="B916:D916"/>
    <mergeCell ref="E961:F961"/>
    <mergeCell ref="B3746:D3746"/>
    <mergeCell ref="E3746:F3746"/>
    <mergeCell ref="B3747:F3747"/>
    <mergeCell ref="B3892:F3892"/>
    <mergeCell ref="B3893:D3893"/>
    <mergeCell ref="E3893:F3893"/>
    <mergeCell ref="B3894:F3894"/>
    <mergeCell ref="B4057:F4057"/>
    <mergeCell ref="E4066:F4066"/>
    <mergeCell ref="E4070:F4070"/>
    <mergeCell ref="B4071:F4071"/>
    <mergeCell ref="B4072:D4072"/>
    <mergeCell ref="E4072:F4072"/>
    <mergeCell ref="B4073:F4073"/>
    <mergeCell ref="B4009:F4009"/>
    <mergeCell ref="E4018:F4018"/>
    <mergeCell ref="E4022:F4022"/>
    <mergeCell ref="B4023:F4023"/>
    <mergeCell ref="B4024:D4024"/>
    <mergeCell ref="E4024:F4024"/>
    <mergeCell ref="B4025:F4025"/>
    <mergeCell ref="E4034:F4034"/>
    <mergeCell ref="E4038:F4038"/>
    <mergeCell ref="B4039:F4039"/>
    <mergeCell ref="B4040:D4040"/>
    <mergeCell ref="E4040:F4040"/>
    <mergeCell ref="B4041:F4041"/>
    <mergeCell ref="E4050:F4050"/>
    <mergeCell ref="E4054:F4054"/>
    <mergeCell ref="B4055:F4055"/>
    <mergeCell ref="B4056:D4056"/>
    <mergeCell ref="B3975:F3975"/>
    <mergeCell ref="B8741:F8741"/>
    <mergeCell ref="E8717:F8717"/>
    <mergeCell ref="E8723:F8723"/>
    <mergeCell ref="B8739:F8739"/>
    <mergeCell ref="B8740:D8740"/>
    <mergeCell ref="E8740:F8740"/>
    <mergeCell ref="E2127:F2127"/>
    <mergeCell ref="E2132:F2132"/>
    <mergeCell ref="B2133:F2133"/>
    <mergeCell ref="B2134:D2134"/>
    <mergeCell ref="E2134:F2134"/>
    <mergeCell ref="B2135:F2135"/>
    <mergeCell ref="E2144:F2144"/>
    <mergeCell ref="E2149:F2149"/>
    <mergeCell ref="B2150:F2150"/>
    <mergeCell ref="B2151:D2151"/>
    <mergeCell ref="E2151:F2151"/>
    <mergeCell ref="B2152:F2152"/>
    <mergeCell ref="B2168:D2168"/>
    <mergeCell ref="E2168:F2168"/>
    <mergeCell ref="B2169:F2169"/>
    <mergeCell ref="B8669:F8669"/>
    <mergeCell ref="E8678:F8678"/>
    <mergeCell ref="B8679:F8679"/>
    <mergeCell ref="B8680:D8680"/>
    <mergeCell ref="E8680:F8680"/>
    <mergeCell ref="B8681:F8681"/>
    <mergeCell ref="E8693:F8693"/>
    <mergeCell ref="B8709:F8709"/>
    <mergeCell ref="B8710:D8710"/>
    <mergeCell ref="E8710:F8710"/>
    <mergeCell ref="B8711:F8711"/>
    <mergeCell ref="E8687:F8687"/>
    <mergeCell ref="B8635:F8635"/>
    <mergeCell ref="E8644:F8644"/>
    <mergeCell ref="E8648:F8648"/>
    <mergeCell ref="B8649:F8649"/>
    <mergeCell ref="B8650:D8650"/>
    <mergeCell ref="E8650:F8650"/>
    <mergeCell ref="B8651:F8651"/>
    <mergeCell ref="E8657:F8657"/>
    <mergeCell ref="B8658:F8658"/>
    <mergeCell ref="B8659:D8659"/>
    <mergeCell ref="E8659:F8659"/>
    <mergeCell ref="B8660:F8660"/>
    <mergeCell ref="E8666:F8666"/>
    <mergeCell ref="B8667:F8667"/>
    <mergeCell ref="B8668:D8668"/>
    <mergeCell ref="E8668:F8668"/>
    <mergeCell ref="B8587:F8587"/>
    <mergeCell ref="E8596:F8596"/>
    <mergeCell ref="E8600:F8600"/>
    <mergeCell ref="B8601:F8601"/>
    <mergeCell ref="B8602:D8602"/>
    <mergeCell ref="E8602:F8602"/>
    <mergeCell ref="B8603:F8603"/>
    <mergeCell ref="E8612:F8612"/>
    <mergeCell ref="E8616:F8616"/>
    <mergeCell ref="B8617:F8617"/>
    <mergeCell ref="B8618:D8618"/>
    <mergeCell ref="E8618:F8618"/>
    <mergeCell ref="B8619:F8619"/>
    <mergeCell ref="E8628:F8628"/>
    <mergeCell ref="E8632:F8632"/>
    <mergeCell ref="B8633:F8633"/>
    <mergeCell ref="B8634:D8634"/>
    <mergeCell ref="E8634:F8634"/>
    <mergeCell ref="B8539:F8539"/>
    <mergeCell ref="E8548:F8548"/>
    <mergeCell ref="E8552:F8552"/>
    <mergeCell ref="B8553:F8553"/>
    <mergeCell ref="B8554:D8554"/>
    <mergeCell ref="E8554:F8554"/>
    <mergeCell ref="B8555:F8555"/>
    <mergeCell ref="E8564:F8564"/>
    <mergeCell ref="E8568:F8568"/>
    <mergeCell ref="B8569:F8569"/>
    <mergeCell ref="B8570:D8570"/>
    <mergeCell ref="E8570:F8570"/>
    <mergeCell ref="B8571:F8571"/>
    <mergeCell ref="E8580:F8580"/>
    <mergeCell ref="E8584:F8584"/>
    <mergeCell ref="B8585:F8585"/>
    <mergeCell ref="B8586:D8586"/>
    <mergeCell ref="E8586:F8586"/>
    <mergeCell ref="B8422:F8422"/>
    <mergeCell ref="E8431:F8431"/>
    <mergeCell ref="E8436:F8436"/>
    <mergeCell ref="B8437:F8437"/>
    <mergeCell ref="B8438:D8438"/>
    <mergeCell ref="E8438:F8438"/>
    <mergeCell ref="B8439:F8439"/>
    <mergeCell ref="E8516:F8516"/>
    <mergeCell ref="E8520:F8520"/>
    <mergeCell ref="B8521:F8521"/>
    <mergeCell ref="B8522:D8522"/>
    <mergeCell ref="E8522:F8522"/>
    <mergeCell ref="B8523:F8523"/>
    <mergeCell ref="E8532:F8532"/>
    <mergeCell ref="E8536:F8536"/>
    <mergeCell ref="B8537:F8537"/>
    <mergeCell ref="B8538:D8538"/>
    <mergeCell ref="E8538:F8538"/>
    <mergeCell ref="B8489:D8489"/>
    <mergeCell ref="E8489:F8489"/>
    <mergeCell ref="B8490:F8490"/>
    <mergeCell ref="E8499:F8499"/>
    <mergeCell ref="E8504:F8504"/>
    <mergeCell ref="B8505:F8505"/>
    <mergeCell ref="B8506:D8506"/>
    <mergeCell ref="E8506:F8506"/>
    <mergeCell ref="B8507:F8507"/>
    <mergeCell ref="E8357:F8357"/>
    <mergeCell ref="E8367:F8367"/>
    <mergeCell ref="B8368:F8368"/>
    <mergeCell ref="B8369:D8369"/>
    <mergeCell ref="E8369:F8369"/>
    <mergeCell ref="B8370:F8370"/>
    <mergeCell ref="E8380:F8380"/>
    <mergeCell ref="E8385:F8385"/>
    <mergeCell ref="B8386:F8386"/>
    <mergeCell ref="B8387:D8387"/>
    <mergeCell ref="E8387:F8387"/>
    <mergeCell ref="B8388:F8388"/>
    <mergeCell ref="E8414:F8414"/>
    <mergeCell ref="E8419:F8419"/>
    <mergeCell ref="B8420:F8420"/>
    <mergeCell ref="B8421:D8421"/>
    <mergeCell ref="E8421:F8421"/>
    <mergeCell ref="B8405:F8405"/>
    <mergeCell ref="E8397:F8397"/>
    <mergeCell ref="E8402:F8402"/>
    <mergeCell ref="B8403:F8403"/>
    <mergeCell ref="B8404:D8404"/>
    <mergeCell ref="E8404:F8404"/>
    <mergeCell ref="B1920:D1920"/>
    <mergeCell ref="E1920:F1920"/>
    <mergeCell ref="B3152:F3152"/>
    <mergeCell ref="B3417:F3417"/>
    <mergeCell ref="B3418:D3418"/>
    <mergeCell ref="E4333:F4333"/>
    <mergeCell ref="B4334:F4334"/>
    <mergeCell ref="E4345:F4345"/>
    <mergeCell ref="B4286:D4286"/>
    <mergeCell ref="E4235:F4235"/>
    <mergeCell ref="B4236:F4236"/>
    <mergeCell ref="E4312:F4312"/>
    <mergeCell ref="E4316:F4316"/>
    <mergeCell ref="E3701:F3701"/>
    <mergeCell ref="E3708:F3708"/>
    <mergeCell ref="E3723:F3723"/>
    <mergeCell ref="B4234:F4234"/>
    <mergeCell ref="B4235:D4235"/>
    <mergeCell ref="B3677:F3677"/>
    <mergeCell ref="E4229:F4229"/>
    <mergeCell ref="E4233:F4233"/>
    <mergeCell ref="B4186:F4186"/>
    <mergeCell ref="B4218:F4218"/>
    <mergeCell ref="B4219:D4219"/>
    <mergeCell ref="B4204:F4204"/>
    <mergeCell ref="E4163:F4163"/>
    <mergeCell ref="E4167:F4167"/>
    <mergeCell ref="B4168:F4168"/>
    <mergeCell ref="B4169:D4169"/>
    <mergeCell ref="B4170:F4170"/>
    <mergeCell ref="E4147:F4147"/>
    <mergeCell ref="E4151:F4151"/>
    <mergeCell ref="B8350:F8350"/>
    <mergeCell ref="B8348:F8348"/>
    <mergeCell ref="B8349:D8349"/>
    <mergeCell ref="E8349:F8349"/>
    <mergeCell ref="B8230:F8230"/>
    <mergeCell ref="B5012:F5012"/>
    <mergeCell ref="B5010:F5010"/>
    <mergeCell ref="E3446:F3446"/>
    <mergeCell ref="E3452:F3452"/>
    <mergeCell ref="E5004:F5004"/>
    <mergeCell ref="E5009:F5009"/>
    <mergeCell ref="B4962:F4962"/>
    <mergeCell ref="E4959:F4959"/>
    <mergeCell ref="B4960:F4960"/>
    <mergeCell ref="B4961:D4961"/>
    <mergeCell ref="B4849:D4849"/>
    <mergeCell ref="E4875:F4875"/>
    <mergeCell ref="E4669:F4669"/>
    <mergeCell ref="B4670:F4670"/>
    <mergeCell ref="B3455:F3455"/>
    <mergeCell ref="B8192:F8192"/>
    <mergeCell ref="B8265:F8265"/>
    <mergeCell ref="B8193:D8193"/>
    <mergeCell ref="E8193:F8193"/>
    <mergeCell ref="B8231:D8231"/>
    <mergeCell ref="E8231:F8231"/>
    <mergeCell ref="B8232:F8232"/>
    <mergeCell ref="B8194:F8194"/>
    <mergeCell ref="E3727:F3727"/>
    <mergeCell ref="B8080:F8080"/>
    <mergeCell ref="B8081:D8081"/>
    <mergeCell ref="E8081:F8081"/>
    <mergeCell ref="B8061:F8061"/>
    <mergeCell ref="E8076:F8076"/>
    <mergeCell ref="E8079:F8079"/>
    <mergeCell ref="B8300:F8300"/>
    <mergeCell ref="B8301:D8301"/>
    <mergeCell ref="E8301:F8301"/>
    <mergeCell ref="B8324:F8324"/>
    <mergeCell ref="B8082:F8082"/>
    <mergeCell ref="E8094:F8094"/>
    <mergeCell ref="E8097:F8097"/>
    <mergeCell ref="B8098:F8098"/>
    <mergeCell ref="B8099:D8099"/>
    <mergeCell ref="E8099:F8099"/>
    <mergeCell ref="B8100:F8100"/>
    <mergeCell ref="E8115:F8115"/>
    <mergeCell ref="B8116:F8116"/>
    <mergeCell ref="B8117:D8117"/>
    <mergeCell ref="E8117:F8117"/>
    <mergeCell ref="B8118:F8118"/>
    <mergeCell ref="B8154:F8154"/>
    <mergeCell ref="E8130:F8130"/>
    <mergeCell ref="E8133:F8133"/>
    <mergeCell ref="B8134:F8134"/>
    <mergeCell ref="B8135:D8135"/>
    <mergeCell ref="E8135:F8135"/>
    <mergeCell ref="B8136:F8136"/>
    <mergeCell ref="E8151:F8151"/>
    <mergeCell ref="B8152:F8152"/>
    <mergeCell ref="B8153:D8153"/>
    <mergeCell ref="E8153:F8153"/>
    <mergeCell ref="B8325:D8325"/>
    <mergeCell ref="B8266:D8266"/>
    <mergeCell ref="B8326:F8326"/>
    <mergeCell ref="E8325:F8325"/>
    <mergeCell ref="E8266:F8266"/>
    <mergeCell ref="B8267:F8267"/>
    <mergeCell ref="B8302:F8302"/>
    <mergeCell ref="B7984:D7984"/>
    <mergeCell ref="E7984:F7984"/>
    <mergeCell ref="B7985:F7985"/>
    <mergeCell ref="E8000:F8000"/>
    <mergeCell ref="E8003:F8003"/>
    <mergeCell ref="B8004:F8004"/>
    <mergeCell ref="B8005:D8005"/>
    <mergeCell ref="E8005:F8005"/>
    <mergeCell ref="B8006:F8006"/>
    <mergeCell ref="E8021:F8021"/>
    <mergeCell ref="E8024:F8024"/>
    <mergeCell ref="B8025:F8025"/>
    <mergeCell ref="B8026:D8026"/>
    <mergeCell ref="E8026:F8026"/>
    <mergeCell ref="B8027:F8027"/>
    <mergeCell ref="E8037:F8037"/>
    <mergeCell ref="B8038:F8038"/>
    <mergeCell ref="B8039:D8039"/>
    <mergeCell ref="E8039:F8039"/>
    <mergeCell ref="B8040:F8040"/>
    <mergeCell ref="E8055:F8055"/>
    <mergeCell ref="E8058:F8058"/>
    <mergeCell ref="B8059:F8059"/>
    <mergeCell ref="B8060:D8060"/>
    <mergeCell ref="E8060:F8060"/>
    <mergeCell ref="E7962:F7962"/>
    <mergeCell ref="E7968:F7968"/>
    <mergeCell ref="B7969:F7969"/>
    <mergeCell ref="B7970:D7970"/>
    <mergeCell ref="E7970:F7970"/>
    <mergeCell ref="B7971:F7971"/>
    <mergeCell ref="E7982:F7982"/>
    <mergeCell ref="B7983:F7983"/>
    <mergeCell ref="B7890:D7890"/>
    <mergeCell ref="E7890:F7890"/>
    <mergeCell ref="B7891:F7891"/>
    <mergeCell ref="E7902:F7902"/>
    <mergeCell ref="E7908:F7908"/>
    <mergeCell ref="B7909:F7909"/>
    <mergeCell ref="B7910:D7910"/>
    <mergeCell ref="E7910:F7910"/>
    <mergeCell ref="B7911:F7911"/>
    <mergeCell ref="E7922:F7922"/>
    <mergeCell ref="E7928:F7928"/>
    <mergeCell ref="B7929:F7929"/>
    <mergeCell ref="B7930:D7930"/>
    <mergeCell ref="E7930:F7930"/>
    <mergeCell ref="B7931:F7931"/>
    <mergeCell ref="B7889:F7889"/>
    <mergeCell ref="E7803:F7803"/>
    <mergeCell ref="B7804:F7804"/>
    <mergeCell ref="B7805:D7805"/>
    <mergeCell ref="E7805:F7805"/>
    <mergeCell ref="B7806:F7806"/>
    <mergeCell ref="E7825:F7825"/>
    <mergeCell ref="B7826:F7826"/>
    <mergeCell ref="B7827:D7827"/>
    <mergeCell ref="E7827:F7827"/>
    <mergeCell ref="B7828:F7828"/>
    <mergeCell ref="E7942:F7942"/>
    <mergeCell ref="E7948:F7948"/>
    <mergeCell ref="B7949:F7949"/>
    <mergeCell ref="B7950:D7950"/>
    <mergeCell ref="E7950:F7950"/>
    <mergeCell ref="B7951:F7951"/>
    <mergeCell ref="B7705:F7705"/>
    <mergeCell ref="B7706:D7706"/>
    <mergeCell ref="E7706:F7706"/>
    <mergeCell ref="B7707:F7707"/>
    <mergeCell ref="E7847:F7847"/>
    <mergeCell ref="B7848:F7848"/>
    <mergeCell ref="B7849:D7849"/>
    <mergeCell ref="E7849:F7849"/>
    <mergeCell ref="B7850:F7850"/>
    <mergeCell ref="E7862:F7862"/>
    <mergeCell ref="E7868:F7868"/>
    <mergeCell ref="B7869:F7869"/>
    <mergeCell ref="B7870:D7870"/>
    <mergeCell ref="E7870:F7870"/>
    <mergeCell ref="B7871:F7871"/>
    <mergeCell ref="E7882:F7882"/>
    <mergeCell ref="E7888:F7888"/>
    <mergeCell ref="E7566:F7566"/>
    <mergeCell ref="E7569:F7569"/>
    <mergeCell ref="B7570:F7570"/>
    <mergeCell ref="B7571:D7571"/>
    <mergeCell ref="B7758:F7758"/>
    <mergeCell ref="B7759:D7759"/>
    <mergeCell ref="E7759:F7759"/>
    <mergeCell ref="B7760:F7760"/>
    <mergeCell ref="B7782:F7782"/>
    <mergeCell ref="B7783:D7783"/>
    <mergeCell ref="E7783:F7783"/>
    <mergeCell ref="B7784:F7784"/>
    <mergeCell ref="B7590:D7590"/>
    <mergeCell ref="E7590:F7590"/>
    <mergeCell ref="B7591:F7591"/>
    <mergeCell ref="B7683:F7683"/>
    <mergeCell ref="E7682:F7682"/>
    <mergeCell ref="B7682:D7682"/>
    <mergeCell ref="B7681:F7681"/>
    <mergeCell ref="E7680:F7680"/>
    <mergeCell ref="E7677:F7677"/>
    <mergeCell ref="B7639:F7639"/>
    <mergeCell ref="B7640:D7640"/>
    <mergeCell ref="E7640:F7640"/>
    <mergeCell ref="B7641:F7641"/>
    <mergeCell ref="B7664:F7664"/>
    <mergeCell ref="B7665:D7665"/>
    <mergeCell ref="E7665:F7665"/>
    <mergeCell ref="B7614:F7614"/>
    <mergeCell ref="B7615:D7615"/>
    <mergeCell ref="E7615:F7615"/>
    <mergeCell ref="B7616:F7616"/>
    <mergeCell ref="B7550:F7550"/>
    <mergeCell ref="B7551:D7551"/>
    <mergeCell ref="E7551:F7551"/>
    <mergeCell ref="B7552:F7552"/>
    <mergeCell ref="B7729:F7729"/>
    <mergeCell ref="B7730:D7730"/>
    <mergeCell ref="E7730:F7730"/>
    <mergeCell ref="B7731:F7731"/>
    <mergeCell ref="B7589:F7589"/>
    <mergeCell ref="B7398:F7398"/>
    <mergeCell ref="E7410:F7410"/>
    <mergeCell ref="E7413:F7413"/>
    <mergeCell ref="B7414:F7414"/>
    <mergeCell ref="B7415:D7415"/>
    <mergeCell ref="E7415:F7415"/>
    <mergeCell ref="B7416:F7416"/>
    <mergeCell ref="E7444:F7444"/>
    <mergeCell ref="E7447:F7447"/>
    <mergeCell ref="B7448:F7448"/>
    <mergeCell ref="B7449:D7449"/>
    <mergeCell ref="E7449:F7449"/>
    <mergeCell ref="B7517:D7517"/>
    <mergeCell ref="E7517:F7517"/>
    <mergeCell ref="B7450:F7450"/>
    <mergeCell ref="E7478:F7478"/>
    <mergeCell ref="E7481:F7481"/>
    <mergeCell ref="B7482:F7482"/>
    <mergeCell ref="B7483:D7483"/>
    <mergeCell ref="E7483:F7483"/>
    <mergeCell ref="B7572:F7572"/>
    <mergeCell ref="E7585:F7585"/>
    <mergeCell ref="E7588:F7588"/>
    <mergeCell ref="E7571:F7571"/>
    <mergeCell ref="B7326:F7326"/>
    <mergeCell ref="E7338:F7338"/>
    <mergeCell ref="E7341:F7341"/>
    <mergeCell ref="B7342:F7342"/>
    <mergeCell ref="B7343:D7343"/>
    <mergeCell ref="E7343:F7343"/>
    <mergeCell ref="B7344:F7344"/>
    <mergeCell ref="E7356:F7356"/>
    <mergeCell ref="E7359:F7359"/>
    <mergeCell ref="B7360:F7360"/>
    <mergeCell ref="B7361:D7361"/>
    <mergeCell ref="E7361:F7361"/>
    <mergeCell ref="B7362:F7362"/>
    <mergeCell ref="E7374:F7374"/>
    <mergeCell ref="E7377:F7377"/>
    <mergeCell ref="B7378:F7378"/>
    <mergeCell ref="B7379:D7379"/>
    <mergeCell ref="E7379:F7379"/>
    <mergeCell ref="B7380:F7380"/>
    <mergeCell ref="E7392:F7392"/>
    <mergeCell ref="E7395:F7395"/>
    <mergeCell ref="B7396:F7396"/>
    <mergeCell ref="B7397:D7397"/>
    <mergeCell ref="E7397:F7397"/>
    <mergeCell ref="B7484:F7484"/>
    <mergeCell ref="E7512:F7512"/>
    <mergeCell ref="E7515:F7515"/>
    <mergeCell ref="B7516:F7516"/>
    <mergeCell ref="B7518:F7518"/>
    <mergeCell ref="E7546:F7546"/>
    <mergeCell ref="E7549:F7549"/>
    <mergeCell ref="B7272:F7272"/>
    <mergeCell ref="E7284:F7284"/>
    <mergeCell ref="E7287:F7287"/>
    <mergeCell ref="B7288:F7288"/>
    <mergeCell ref="B7289:D7289"/>
    <mergeCell ref="E7289:F7289"/>
    <mergeCell ref="B7290:F7290"/>
    <mergeCell ref="E7302:F7302"/>
    <mergeCell ref="E7305:F7305"/>
    <mergeCell ref="B7306:F7306"/>
    <mergeCell ref="B7307:D7307"/>
    <mergeCell ref="E7307:F7307"/>
    <mergeCell ref="B7308:F7308"/>
    <mergeCell ref="E7320:F7320"/>
    <mergeCell ref="E7323:F7323"/>
    <mergeCell ref="B7324:F7324"/>
    <mergeCell ref="B7325:D7325"/>
    <mergeCell ref="E7325:F7325"/>
    <mergeCell ref="B7218:F7218"/>
    <mergeCell ref="E7230:F7230"/>
    <mergeCell ref="E7233:F7233"/>
    <mergeCell ref="B7234:F7234"/>
    <mergeCell ref="B7235:D7235"/>
    <mergeCell ref="E7235:F7235"/>
    <mergeCell ref="B7236:F7236"/>
    <mergeCell ref="E7248:F7248"/>
    <mergeCell ref="E7251:F7251"/>
    <mergeCell ref="B7252:F7252"/>
    <mergeCell ref="B7253:D7253"/>
    <mergeCell ref="E7253:F7253"/>
    <mergeCell ref="B7254:F7254"/>
    <mergeCell ref="E7266:F7266"/>
    <mergeCell ref="E7269:F7269"/>
    <mergeCell ref="B7270:F7270"/>
    <mergeCell ref="B7271:D7271"/>
    <mergeCell ref="E7271:F7271"/>
    <mergeCell ref="B7164:F7164"/>
    <mergeCell ref="E7176:F7176"/>
    <mergeCell ref="E7179:F7179"/>
    <mergeCell ref="B7180:F7180"/>
    <mergeCell ref="B7181:D7181"/>
    <mergeCell ref="E7181:F7181"/>
    <mergeCell ref="B7182:F7182"/>
    <mergeCell ref="E7194:F7194"/>
    <mergeCell ref="E7197:F7197"/>
    <mergeCell ref="B7198:F7198"/>
    <mergeCell ref="B7199:D7199"/>
    <mergeCell ref="E7199:F7199"/>
    <mergeCell ref="B7200:F7200"/>
    <mergeCell ref="E7212:F7212"/>
    <mergeCell ref="E7215:F7215"/>
    <mergeCell ref="B7216:F7216"/>
    <mergeCell ref="B7217:D7217"/>
    <mergeCell ref="E7217:F7217"/>
    <mergeCell ref="E7122:F7122"/>
    <mergeCell ref="E7125:F7125"/>
    <mergeCell ref="B7126:F7126"/>
    <mergeCell ref="B7127:D7127"/>
    <mergeCell ref="E7127:F7127"/>
    <mergeCell ref="B7128:F7128"/>
    <mergeCell ref="E7140:F7140"/>
    <mergeCell ref="E7143:F7143"/>
    <mergeCell ref="B7144:F7144"/>
    <mergeCell ref="B7145:D7145"/>
    <mergeCell ref="E7145:F7145"/>
    <mergeCell ref="B7146:F7146"/>
    <mergeCell ref="E7158:F7158"/>
    <mergeCell ref="E7161:F7161"/>
    <mergeCell ref="B7162:F7162"/>
    <mergeCell ref="B7163:D7163"/>
    <mergeCell ref="E7163:F7163"/>
    <mergeCell ref="E7068:F7068"/>
    <mergeCell ref="B7069:F7069"/>
    <mergeCell ref="B7070:D7070"/>
    <mergeCell ref="E7070:F7070"/>
    <mergeCell ref="B7071:F7071"/>
    <mergeCell ref="E7084:F7084"/>
    <mergeCell ref="E7087:F7087"/>
    <mergeCell ref="B7088:F7088"/>
    <mergeCell ref="B7089:D7089"/>
    <mergeCell ref="E7089:F7089"/>
    <mergeCell ref="B7090:F7090"/>
    <mergeCell ref="E7103:F7103"/>
    <mergeCell ref="E7106:F7106"/>
    <mergeCell ref="B7107:F7107"/>
    <mergeCell ref="B7108:D7108"/>
    <mergeCell ref="E7108:F7108"/>
    <mergeCell ref="B7109:F7109"/>
    <mergeCell ref="B7011:F7011"/>
    <mergeCell ref="B7012:D7012"/>
    <mergeCell ref="E7012:F7012"/>
    <mergeCell ref="B7013:F7013"/>
    <mergeCell ref="E7027:F7027"/>
    <mergeCell ref="E7030:F7030"/>
    <mergeCell ref="B7031:F7031"/>
    <mergeCell ref="B7032:D7032"/>
    <mergeCell ref="E7032:F7032"/>
    <mergeCell ref="B7033:F7033"/>
    <mergeCell ref="E7046:F7046"/>
    <mergeCell ref="E7049:F7049"/>
    <mergeCell ref="B7050:F7050"/>
    <mergeCell ref="B7051:D7051"/>
    <mergeCell ref="E7051:F7051"/>
    <mergeCell ref="B7052:F7052"/>
    <mergeCell ref="E7065:F7065"/>
    <mergeCell ref="E6968:F6968"/>
    <mergeCell ref="E6971:F6971"/>
    <mergeCell ref="E6974:F6974"/>
    <mergeCell ref="B6975:F6975"/>
    <mergeCell ref="B6976:D6976"/>
    <mergeCell ref="E6976:F6976"/>
    <mergeCell ref="B6977:F6977"/>
    <mergeCell ref="E6986:F6986"/>
    <mergeCell ref="E6989:F6989"/>
    <mergeCell ref="E6992:F6992"/>
    <mergeCell ref="B6993:F6993"/>
    <mergeCell ref="B6994:D6994"/>
    <mergeCell ref="E6994:F6994"/>
    <mergeCell ref="B6995:F6995"/>
    <mergeCell ref="E7004:F7004"/>
    <mergeCell ref="E7007:F7007"/>
    <mergeCell ref="E7010:F7010"/>
    <mergeCell ref="B6921:D6921"/>
    <mergeCell ref="E6921:F6921"/>
    <mergeCell ref="B6922:F6922"/>
    <mergeCell ref="E6931:F6931"/>
    <mergeCell ref="E6935:F6935"/>
    <mergeCell ref="E6938:F6938"/>
    <mergeCell ref="B6939:F6939"/>
    <mergeCell ref="B6940:D6940"/>
    <mergeCell ref="E6940:F6940"/>
    <mergeCell ref="B6941:F6941"/>
    <mergeCell ref="E6950:F6950"/>
    <mergeCell ref="E6953:F6953"/>
    <mergeCell ref="E6956:F6956"/>
    <mergeCell ref="B6957:F6957"/>
    <mergeCell ref="B6958:D6958"/>
    <mergeCell ref="E6958:F6958"/>
    <mergeCell ref="B6959:F6959"/>
    <mergeCell ref="B6903:F6903"/>
    <mergeCell ref="E6912:F6912"/>
    <mergeCell ref="E6916:F6916"/>
    <mergeCell ref="E6919:F6919"/>
    <mergeCell ref="B6920:F6920"/>
    <mergeCell ref="B6048:F6048"/>
    <mergeCell ref="B6049:D6049"/>
    <mergeCell ref="E6049:F6049"/>
    <mergeCell ref="B6050:F6050"/>
    <mergeCell ref="E6043:F6043"/>
    <mergeCell ref="E6047:F6047"/>
    <mergeCell ref="B5998:F5998"/>
    <mergeCell ref="E6007:F6007"/>
    <mergeCell ref="E6094:F6094"/>
    <mergeCell ref="E6098:F6098"/>
    <mergeCell ref="B6099:F6099"/>
    <mergeCell ref="B6100:D6100"/>
    <mergeCell ref="E6100:F6100"/>
    <mergeCell ref="B6064:F6064"/>
    <mergeCell ref="B6065:D6065"/>
    <mergeCell ref="B6136:F6136"/>
    <mergeCell ref="E6258:F6258"/>
    <mergeCell ref="E6262:F6262"/>
    <mergeCell ref="E6194:F6194"/>
    <mergeCell ref="E6198:F6198"/>
    <mergeCell ref="B6199:F6199"/>
    <mergeCell ref="E6178:F6178"/>
    <mergeCell ref="E6182:F6182"/>
    <mergeCell ref="B6183:F6183"/>
    <mergeCell ref="B6184:D6184"/>
    <mergeCell ref="E6184:F6184"/>
    <mergeCell ref="B6185:F6185"/>
    <mergeCell ref="B5963:F5963"/>
    <mergeCell ref="B5961:F5961"/>
    <mergeCell ref="B5962:D5962"/>
    <mergeCell ref="E5928:F5928"/>
    <mergeCell ref="B5929:F5929"/>
    <mergeCell ref="E5955:F5955"/>
    <mergeCell ref="E5989:F5989"/>
    <mergeCell ref="E5995:F5995"/>
    <mergeCell ref="B6882:F6882"/>
    <mergeCell ref="B6883:D6883"/>
    <mergeCell ref="E6883:F6883"/>
    <mergeCell ref="B6884:F6884"/>
    <mergeCell ref="E6893:F6893"/>
    <mergeCell ref="E6897:F6897"/>
    <mergeCell ref="E6900:F6900"/>
    <mergeCell ref="B6901:F6901"/>
    <mergeCell ref="B6902:D6902"/>
    <mergeCell ref="E6902:F6902"/>
    <mergeCell ref="E5997:F5997"/>
    <mergeCell ref="E5979:F5979"/>
    <mergeCell ref="B5980:F5980"/>
    <mergeCell ref="B5978:F5978"/>
    <mergeCell ref="E6145:F6145"/>
    <mergeCell ref="E6025:F6025"/>
    <mergeCell ref="E6031:F6031"/>
    <mergeCell ref="E6013:F6013"/>
    <mergeCell ref="B6015:D6015"/>
    <mergeCell ref="E6015:F6015"/>
    <mergeCell ref="B6016:F6016"/>
    <mergeCell ref="B5944:F5944"/>
    <mergeCell ref="E5972:F5972"/>
    <mergeCell ref="E5977:F5977"/>
    <mergeCell ref="E5960:F5960"/>
    <mergeCell ref="B5945:D5945"/>
    <mergeCell ref="E5945:F5945"/>
    <mergeCell ref="B5946:F5946"/>
    <mergeCell ref="E5943:F5943"/>
    <mergeCell ref="E5962:F5962"/>
    <mergeCell ref="E5926:F5926"/>
    <mergeCell ref="B5927:F5927"/>
    <mergeCell ref="B5928:D5928"/>
    <mergeCell ref="E5889:F5889"/>
    <mergeCell ref="E5893:F5893"/>
    <mergeCell ref="B5844:F5844"/>
    <mergeCell ref="E5843:F5843"/>
    <mergeCell ref="B5861:F5861"/>
    <mergeCell ref="E5870:F5870"/>
    <mergeCell ref="B5894:F5894"/>
    <mergeCell ref="B5895:D5895"/>
    <mergeCell ref="E5895:F5895"/>
    <mergeCell ref="B5896:F5896"/>
    <mergeCell ref="E5906:F5906"/>
    <mergeCell ref="E5910:F5910"/>
    <mergeCell ref="E5143:F5143"/>
    <mergeCell ref="B5146:F5146"/>
    <mergeCell ref="E5011:F5011"/>
    <mergeCell ref="E4987:F4987"/>
    <mergeCell ref="E6836:F6836"/>
    <mergeCell ref="E6840:F6840"/>
    <mergeCell ref="E5215:F5215"/>
    <mergeCell ref="E5218:F5218"/>
    <mergeCell ref="B5219:F5219"/>
    <mergeCell ref="B5220:D5220"/>
    <mergeCell ref="E5220:F5220"/>
    <mergeCell ref="B5221:F5221"/>
    <mergeCell ref="E5799:F5799"/>
    <mergeCell ref="B5029:D5029"/>
    <mergeCell ref="E5029:F5029"/>
    <mergeCell ref="B5204:F5204"/>
    <mergeCell ref="B5385:F5385"/>
    <mergeCell ref="B5386:D5386"/>
    <mergeCell ref="E5386:F5386"/>
    <mergeCell ref="B5418:D5418"/>
    <mergeCell ref="E5418:F5418"/>
    <mergeCell ref="B5756:F5756"/>
    <mergeCell ref="B5264:F5264"/>
    <mergeCell ref="B5265:D5265"/>
    <mergeCell ref="E5265:F5265"/>
    <mergeCell ref="B5206:F5206"/>
    <mergeCell ref="E5245:F5245"/>
    <mergeCell ref="E5248:F5248"/>
    <mergeCell ref="B5249:F5249"/>
    <mergeCell ref="B5250:D5250"/>
    <mergeCell ref="E5250:F5250"/>
    <mergeCell ref="B5251:F5251"/>
    <mergeCell ref="E4479:F4479"/>
    <mergeCell ref="E4799:F4799"/>
    <mergeCell ref="B4850:F4850"/>
    <mergeCell ref="E4859:F4859"/>
    <mergeCell ref="B4848:F4848"/>
    <mergeCell ref="E4847:F4847"/>
    <mergeCell ref="E4763:F4763"/>
    <mergeCell ref="E4767:F4767"/>
    <mergeCell ref="B4768:F4768"/>
    <mergeCell ref="B4833:D4833"/>
    <mergeCell ref="E4833:F4833"/>
    <mergeCell ref="B4367:D4367"/>
    <mergeCell ref="E4397:F4397"/>
    <mergeCell ref="B4368:F4368"/>
    <mergeCell ref="E4377:F4377"/>
    <mergeCell ref="E4381:F4381"/>
    <mergeCell ref="B4754:F4754"/>
    <mergeCell ref="E4684:F4684"/>
    <mergeCell ref="B4703:D4703"/>
    <mergeCell ref="E4703:F4703"/>
    <mergeCell ref="E4367:F4367"/>
    <mergeCell ref="B4686:D4686"/>
    <mergeCell ref="E4686:F4686"/>
    <mergeCell ref="B4651:F4651"/>
    <mergeCell ref="E4696:F4696"/>
    <mergeCell ref="B4702:F4702"/>
    <mergeCell ref="B4498:F4498"/>
    <mergeCell ref="E4753:F4753"/>
    <mergeCell ref="B4685:F4685"/>
    <mergeCell ref="B4687:F4687"/>
    <mergeCell ref="B4399:D4399"/>
    <mergeCell ref="E4399:F4399"/>
    <mergeCell ref="E4491:F4491"/>
    <mergeCell ref="B4480:F4480"/>
    <mergeCell ref="E4849:F4849"/>
    <mergeCell ref="B4816:F4816"/>
    <mergeCell ref="B4817:D4817"/>
    <mergeCell ref="E4817:F4817"/>
    <mergeCell ref="B4832:F4832"/>
    <mergeCell ref="E4795:F4795"/>
    <mergeCell ref="E4863:F4863"/>
    <mergeCell ref="B4864:F4864"/>
    <mergeCell ref="B4770:F4770"/>
    <mergeCell ref="B4653:F4653"/>
    <mergeCell ref="B4668:F4668"/>
    <mergeCell ref="B4336:F4336"/>
    <mergeCell ref="E4701:F4701"/>
    <mergeCell ref="B4481:D4481"/>
    <mergeCell ref="E4481:F4481"/>
    <mergeCell ref="B4482:F4482"/>
    <mergeCell ref="E4811:F4811"/>
    <mergeCell ref="E4815:F4815"/>
    <mergeCell ref="B4784:F4784"/>
    <mergeCell ref="B4785:D4785"/>
    <mergeCell ref="E4785:F4785"/>
    <mergeCell ref="B4786:F4786"/>
    <mergeCell ref="B4752:F4752"/>
    <mergeCell ref="B4636:F4636"/>
    <mergeCell ref="E4679:F4679"/>
    <mergeCell ref="E4349:F4349"/>
    <mergeCell ref="B4383:D4383"/>
    <mergeCell ref="E4383:F4383"/>
    <mergeCell ref="E4779:F4779"/>
    <mergeCell ref="E4783:F4783"/>
    <mergeCell ref="B4496:F4496"/>
    <mergeCell ref="B4753:D4753"/>
    <mergeCell ref="E4747:F4747"/>
    <mergeCell ref="E4751:F4751"/>
    <mergeCell ref="B4669:D4669"/>
    <mergeCell ref="E4827:F4827"/>
    <mergeCell ref="E4831:F4831"/>
    <mergeCell ref="B4529:D4529"/>
    <mergeCell ref="E4529:F4529"/>
    <mergeCell ref="B4530:F4530"/>
    <mergeCell ref="B4514:F4514"/>
    <mergeCell ref="E4523:F4523"/>
    <mergeCell ref="E4527:F4527"/>
    <mergeCell ref="B4528:F4528"/>
    <mergeCell ref="E4495:F4495"/>
    <mergeCell ref="E4507:F4507"/>
    <mergeCell ref="E4513:F4513"/>
    <mergeCell ref="B4802:F4802"/>
    <mergeCell ref="B4800:F4800"/>
    <mergeCell ref="B4801:D4801"/>
    <mergeCell ref="E4801:F4801"/>
    <mergeCell ref="B4704:F4704"/>
    <mergeCell ref="B4652:D4652"/>
    <mergeCell ref="E4652:F4652"/>
    <mergeCell ref="E4511:F4511"/>
    <mergeCell ref="B4512:F4512"/>
    <mergeCell ref="B4513:D4513"/>
    <mergeCell ref="B4834:F4834"/>
    <mergeCell ref="B4944:F4944"/>
    <mergeCell ref="B4769:D4769"/>
    <mergeCell ref="E4769:F4769"/>
    <mergeCell ref="E4245:F4245"/>
    <mergeCell ref="E4249:F4249"/>
    <mergeCell ref="B4250:F4250"/>
    <mergeCell ref="B4319:F4319"/>
    <mergeCell ref="B4301:F4301"/>
    <mergeCell ref="B4302:D4302"/>
    <mergeCell ref="E4302:F4302"/>
    <mergeCell ref="B4317:F4317"/>
    <mergeCell ref="E4296:F4296"/>
    <mergeCell ref="E4300:F4300"/>
    <mergeCell ref="B4350:F4350"/>
    <mergeCell ref="B4351:D4351"/>
    <mergeCell ref="E4351:F4351"/>
    <mergeCell ref="B4352:F4352"/>
    <mergeCell ref="E4335:F4335"/>
    <mergeCell ref="B4318:D4318"/>
    <mergeCell ref="E4318:F4318"/>
    <mergeCell ref="B4335:D4335"/>
    <mergeCell ref="B4497:D4497"/>
    <mergeCell ref="E4497:F4497"/>
    <mergeCell ref="B4269:F4269"/>
    <mergeCell ref="E4286:F4286"/>
    <mergeCell ref="B4287:F4287"/>
    <mergeCell ref="B4270:D4270"/>
    <mergeCell ref="B4382:F4382"/>
    <mergeCell ref="B4303:F4303"/>
    <mergeCell ref="E4328:F4328"/>
    <mergeCell ref="B4818:F4818"/>
    <mergeCell ref="E4393:F4393"/>
    <mergeCell ref="E4361:F4361"/>
    <mergeCell ref="E4365:F4365"/>
    <mergeCell ref="B4366:F4366"/>
    <mergeCell ref="B4251:D4251"/>
    <mergeCell ref="E4251:F4251"/>
    <mergeCell ref="B4252:F4252"/>
    <mergeCell ref="E4261:F4261"/>
    <mergeCell ref="E4270:F4270"/>
    <mergeCell ref="B4271:F4271"/>
    <mergeCell ref="E4280:F4280"/>
    <mergeCell ref="E4284:F4284"/>
    <mergeCell ref="B4285:F4285"/>
    <mergeCell ref="E4268:F4268"/>
    <mergeCell ref="E4475:F4475"/>
    <mergeCell ref="B4398:F4398"/>
    <mergeCell ref="B4384:F4384"/>
    <mergeCell ref="B4400:F4400"/>
    <mergeCell ref="B4433:F4433"/>
    <mergeCell ref="B4138:F4138"/>
    <mergeCell ref="B4120:F4120"/>
    <mergeCell ref="B4121:D4121"/>
    <mergeCell ref="E4121:F4121"/>
    <mergeCell ref="E4115:F4115"/>
    <mergeCell ref="E4119:F4119"/>
    <mergeCell ref="B4105:D4105"/>
    <mergeCell ref="E4105:F4105"/>
    <mergeCell ref="B4106:F4106"/>
    <mergeCell ref="E4099:F4099"/>
    <mergeCell ref="E4103:F4103"/>
    <mergeCell ref="B4104:F4104"/>
    <mergeCell ref="E4219:F4219"/>
    <mergeCell ref="B4220:F4220"/>
    <mergeCell ref="B4187:D4187"/>
    <mergeCell ref="E4187:F4187"/>
    <mergeCell ref="B4188:F4188"/>
    <mergeCell ref="E4213:F4213"/>
    <mergeCell ref="E4217:F4217"/>
    <mergeCell ref="E4197:F4197"/>
    <mergeCell ref="E4201:F4201"/>
    <mergeCell ref="B4154:F4154"/>
    <mergeCell ref="E4179:F4179"/>
    <mergeCell ref="E4185:F4185"/>
    <mergeCell ref="B4152:F4152"/>
    <mergeCell ref="B4153:D4153"/>
    <mergeCell ref="E4153:F4153"/>
    <mergeCell ref="B4202:F4202"/>
    <mergeCell ref="B4203:D4203"/>
    <mergeCell ref="E4203:F4203"/>
    <mergeCell ref="E4169:F4169"/>
    <mergeCell ref="B4089:D4089"/>
    <mergeCell ref="E4089:F4089"/>
    <mergeCell ref="B4090:F4090"/>
    <mergeCell ref="B4136:F4136"/>
    <mergeCell ref="B4137:D4137"/>
    <mergeCell ref="E4137:F4137"/>
    <mergeCell ref="E4083:F4083"/>
    <mergeCell ref="E4087:F4087"/>
    <mergeCell ref="B4088:F4088"/>
    <mergeCell ref="B3993:F3993"/>
    <mergeCell ref="B3958:F3958"/>
    <mergeCell ref="B3959:D3959"/>
    <mergeCell ref="E3959:F3959"/>
    <mergeCell ref="E3986:F3986"/>
    <mergeCell ref="E3990:F3990"/>
    <mergeCell ref="B3991:F3991"/>
    <mergeCell ref="B3992:D3992"/>
    <mergeCell ref="E3992:F3992"/>
    <mergeCell ref="B3960:F3960"/>
    <mergeCell ref="E4056:F4056"/>
    <mergeCell ref="B4122:F4122"/>
    <mergeCell ref="E4135:F4135"/>
    <mergeCell ref="E4131:F4131"/>
    <mergeCell ref="B3976:D3976"/>
    <mergeCell ref="E3976:F3976"/>
    <mergeCell ref="B3977:F3977"/>
    <mergeCell ref="E3903:F3903"/>
    <mergeCell ref="E3907:F3907"/>
    <mergeCell ref="B3908:F3908"/>
    <mergeCell ref="B3909:D3909"/>
    <mergeCell ref="E3909:F3909"/>
    <mergeCell ref="B3910:F3910"/>
    <mergeCell ref="E4002:F4002"/>
    <mergeCell ref="E4006:F4006"/>
    <mergeCell ref="B4007:F4007"/>
    <mergeCell ref="B4008:D4008"/>
    <mergeCell ref="E4008:F4008"/>
    <mergeCell ref="E3919:F3919"/>
    <mergeCell ref="E3923:F3923"/>
    <mergeCell ref="B3924:F3924"/>
    <mergeCell ref="B3925:D3925"/>
    <mergeCell ref="B3812:F3812"/>
    <mergeCell ref="B3813:D3813"/>
    <mergeCell ref="E3813:F3813"/>
    <mergeCell ref="B3814:F3814"/>
    <mergeCell ref="E3925:F3925"/>
    <mergeCell ref="B3926:F3926"/>
    <mergeCell ref="E3935:F3935"/>
    <mergeCell ref="E3939:F3939"/>
    <mergeCell ref="B3940:F3940"/>
    <mergeCell ref="B3941:D3941"/>
    <mergeCell ref="E3941:F3941"/>
    <mergeCell ref="B3942:F3942"/>
    <mergeCell ref="B3877:D3877"/>
    <mergeCell ref="E3877:F3877"/>
    <mergeCell ref="B3878:F3878"/>
    <mergeCell ref="E3887:F3887"/>
    <mergeCell ref="E3891:F3891"/>
    <mergeCell ref="E3807:F3807"/>
    <mergeCell ref="E3811:F3811"/>
    <mergeCell ref="B3647:F3647"/>
    <mergeCell ref="E3656:F3656"/>
    <mergeCell ref="E3660:F3660"/>
    <mergeCell ref="B3661:F3661"/>
    <mergeCell ref="E3711:F3711"/>
    <mergeCell ref="B3712:F3712"/>
    <mergeCell ref="B3713:D3713"/>
    <mergeCell ref="E3713:F3713"/>
    <mergeCell ref="B3714:F3714"/>
    <mergeCell ref="B3728:F3728"/>
    <mergeCell ref="B3729:D3729"/>
    <mergeCell ref="E3729:F3729"/>
    <mergeCell ref="B3730:F3730"/>
    <mergeCell ref="E3672:F3672"/>
    <mergeCell ref="E3676:F3676"/>
    <mergeCell ref="B3678:D3678"/>
    <mergeCell ref="E3678:F3678"/>
    <mergeCell ref="B3679:F3679"/>
    <mergeCell ref="E3688:F3688"/>
    <mergeCell ref="E3692:F3692"/>
    <mergeCell ref="B3693:F3693"/>
    <mergeCell ref="B3694:D3694"/>
    <mergeCell ref="E3694:F3694"/>
    <mergeCell ref="B3695:F3695"/>
    <mergeCell ref="B3662:D3662"/>
    <mergeCell ref="E3662:F3662"/>
    <mergeCell ref="B3663:F3663"/>
    <mergeCell ref="E3739:F3739"/>
    <mergeCell ref="E3744:F3744"/>
    <mergeCell ref="B3745:F3745"/>
    <mergeCell ref="E3640:F3640"/>
    <mergeCell ref="E3644:F3644"/>
    <mergeCell ref="B3645:F3645"/>
    <mergeCell ref="B3646:D3646"/>
    <mergeCell ref="E3646:F3646"/>
    <mergeCell ref="B3629:F3629"/>
    <mergeCell ref="B3630:D3630"/>
    <mergeCell ref="E3630:F3630"/>
    <mergeCell ref="B3631:F3631"/>
    <mergeCell ref="B3596:D3596"/>
    <mergeCell ref="E3596:F3596"/>
    <mergeCell ref="B3597:F3597"/>
    <mergeCell ref="E3622:F3622"/>
    <mergeCell ref="E3628:F3628"/>
    <mergeCell ref="B3581:F3581"/>
    <mergeCell ref="E3590:F3590"/>
    <mergeCell ref="E3594:F3594"/>
    <mergeCell ref="B3595:F3595"/>
    <mergeCell ref="B3612:D3612"/>
    <mergeCell ref="E3612:F3612"/>
    <mergeCell ref="B3613:F3613"/>
    <mergeCell ref="B3400:D3400"/>
    <mergeCell ref="E3400:F3400"/>
    <mergeCell ref="B3401:F3401"/>
    <mergeCell ref="E3500:F3500"/>
    <mergeCell ref="E3528:F3528"/>
    <mergeCell ref="B3529:F3529"/>
    <mergeCell ref="B3530:D3530"/>
    <mergeCell ref="E3530:F3530"/>
    <mergeCell ref="B3511:F3511"/>
    <mergeCell ref="B3512:D3512"/>
    <mergeCell ref="E3512:F3512"/>
    <mergeCell ref="B3513:F3513"/>
    <mergeCell ref="E3507:F3507"/>
    <mergeCell ref="E3392:F3392"/>
    <mergeCell ref="E3398:F3398"/>
    <mergeCell ref="B3399:F3399"/>
    <mergeCell ref="E3428:F3428"/>
    <mergeCell ref="E3434:F3434"/>
    <mergeCell ref="B3435:F3435"/>
    <mergeCell ref="B3436:D3436"/>
    <mergeCell ref="E3436:F3436"/>
    <mergeCell ref="B3437:F3437"/>
    <mergeCell ref="E3410:F3410"/>
    <mergeCell ref="E3416:F3416"/>
    <mergeCell ref="E3418:F3418"/>
    <mergeCell ref="B3419:F3419"/>
    <mergeCell ref="B3453:F3453"/>
    <mergeCell ref="B3454:D3454"/>
    <mergeCell ref="E3454:F3454"/>
    <mergeCell ref="E3510:F3510"/>
    <mergeCell ref="E3464:F3464"/>
    <mergeCell ref="E3470:F3470"/>
    <mergeCell ref="B3383:F3383"/>
    <mergeCell ref="E3376:F3376"/>
    <mergeCell ref="E3380:F3380"/>
    <mergeCell ref="B3381:F3381"/>
    <mergeCell ref="B3382:D3382"/>
    <mergeCell ref="E3382:F3382"/>
    <mergeCell ref="B3365:F3365"/>
    <mergeCell ref="B3366:D3366"/>
    <mergeCell ref="E3366:F3366"/>
    <mergeCell ref="B3367:F3367"/>
    <mergeCell ref="B3350:D3350"/>
    <mergeCell ref="E3350:F3350"/>
    <mergeCell ref="B3351:F3351"/>
    <mergeCell ref="E3360:F3360"/>
    <mergeCell ref="E3364:F3364"/>
    <mergeCell ref="B3335:F3335"/>
    <mergeCell ref="E3344:F3344"/>
    <mergeCell ref="E3348:F3348"/>
    <mergeCell ref="B3349:F3349"/>
    <mergeCell ref="B3334:D3334"/>
    <mergeCell ref="E3334:F3334"/>
    <mergeCell ref="B3317:F3317"/>
    <mergeCell ref="B3318:D3318"/>
    <mergeCell ref="E3318:F3318"/>
    <mergeCell ref="B3319:F3319"/>
    <mergeCell ref="E3328:F3328"/>
    <mergeCell ref="E3235:F3235"/>
    <mergeCell ref="E3241:F3241"/>
    <mergeCell ref="B3242:F3242"/>
    <mergeCell ref="B3243:D3243"/>
    <mergeCell ref="E3243:F3243"/>
    <mergeCell ref="B3244:F3244"/>
    <mergeCell ref="E3253:F3253"/>
    <mergeCell ref="E3259:F3259"/>
    <mergeCell ref="B3260:F3260"/>
    <mergeCell ref="B3278:F3278"/>
    <mergeCell ref="B3279:D3279"/>
    <mergeCell ref="E3279:F3279"/>
    <mergeCell ref="B3280:F3280"/>
    <mergeCell ref="E3289:F3289"/>
    <mergeCell ref="E3295:F3295"/>
    <mergeCell ref="B3296:F3296"/>
    <mergeCell ref="B3297:D3297"/>
    <mergeCell ref="E3297:F3297"/>
    <mergeCell ref="B3298:F3298"/>
    <mergeCell ref="E3316:F3316"/>
    <mergeCell ref="B3225:D3225"/>
    <mergeCell ref="E3225:F3225"/>
    <mergeCell ref="B3226:F3226"/>
    <mergeCell ref="B3190:F3190"/>
    <mergeCell ref="E3217:F3217"/>
    <mergeCell ref="E3223:F3223"/>
    <mergeCell ref="B3224:F3224"/>
    <mergeCell ref="E3199:F3199"/>
    <mergeCell ref="E3205:F3205"/>
    <mergeCell ref="B3206:F3206"/>
    <mergeCell ref="B3207:D3207"/>
    <mergeCell ref="E3207:F3207"/>
    <mergeCell ref="B3208:F3208"/>
    <mergeCell ref="E3307:F3307"/>
    <mergeCell ref="E3332:F3332"/>
    <mergeCell ref="E3313:F3313"/>
    <mergeCell ref="B3333:F3333"/>
    <mergeCell ref="B3189:D3189"/>
    <mergeCell ref="E3189:F3189"/>
    <mergeCell ref="E3181:F3181"/>
    <mergeCell ref="B3062:F3062"/>
    <mergeCell ref="E3109:F3109"/>
    <mergeCell ref="E3073:F3073"/>
    <mergeCell ref="E3079:F3079"/>
    <mergeCell ref="B3080:F3080"/>
    <mergeCell ref="B3081:D3081"/>
    <mergeCell ref="E3081:F3081"/>
    <mergeCell ref="B3082:F3082"/>
    <mergeCell ref="E3127:F3127"/>
    <mergeCell ref="E3133:F3133"/>
    <mergeCell ref="B3134:F3134"/>
    <mergeCell ref="B3135:D3135"/>
    <mergeCell ref="E3135:F3135"/>
    <mergeCell ref="B3136:F3136"/>
    <mergeCell ref="B3063:D3063"/>
    <mergeCell ref="E3063:F3063"/>
    <mergeCell ref="B3172:F3172"/>
    <mergeCell ref="B3046:F3046"/>
    <mergeCell ref="E3055:F3055"/>
    <mergeCell ref="E3061:F3061"/>
    <mergeCell ref="B3064:F3064"/>
    <mergeCell ref="E3187:F3187"/>
    <mergeCell ref="E3115:F3115"/>
    <mergeCell ref="B3116:F3116"/>
    <mergeCell ref="B3117:D3117"/>
    <mergeCell ref="E3117:F3117"/>
    <mergeCell ref="B3118:F3118"/>
    <mergeCell ref="B3188:F3188"/>
    <mergeCell ref="E3145:F3145"/>
    <mergeCell ref="E3151:F3151"/>
    <mergeCell ref="B3153:D3153"/>
    <mergeCell ref="E3153:F3153"/>
    <mergeCell ref="B3154:F3154"/>
    <mergeCell ref="E3163:F3163"/>
    <mergeCell ref="E3169:F3169"/>
    <mergeCell ref="B3170:F3170"/>
    <mergeCell ref="B3171:D3171"/>
    <mergeCell ref="E3171:F3171"/>
    <mergeCell ref="E3091:F3091"/>
    <mergeCell ref="E3097:F3097"/>
    <mergeCell ref="B3098:F3098"/>
    <mergeCell ref="B3099:D3099"/>
    <mergeCell ref="E3099:F3099"/>
    <mergeCell ref="B3100:F3100"/>
    <mergeCell ref="B3009:D3009"/>
    <mergeCell ref="E3009:F3009"/>
    <mergeCell ref="B3010:F3010"/>
    <mergeCell ref="E3019:F3019"/>
    <mergeCell ref="E3043:F3043"/>
    <mergeCell ref="E3025:F3025"/>
    <mergeCell ref="B3044:F3044"/>
    <mergeCell ref="B3045:D3045"/>
    <mergeCell ref="E3045:F3045"/>
    <mergeCell ref="B3026:F3026"/>
    <mergeCell ref="B3027:D3027"/>
    <mergeCell ref="E3027:F3027"/>
    <mergeCell ref="B3028:F3028"/>
    <mergeCell ref="E3037:F3037"/>
    <mergeCell ref="B2992:F2992"/>
    <mergeCell ref="E3001:F3001"/>
    <mergeCell ref="E3007:F3007"/>
    <mergeCell ref="B3008:F3008"/>
    <mergeCell ref="E2989:F2989"/>
    <mergeCell ref="B2990:F2990"/>
    <mergeCell ref="B2991:D2991"/>
    <mergeCell ref="E2991:F2991"/>
    <mergeCell ref="E2983:F2983"/>
    <mergeCell ref="B2955:D2955"/>
    <mergeCell ref="E2955:F2955"/>
    <mergeCell ref="B2956:F2956"/>
    <mergeCell ref="E2965:F2965"/>
    <mergeCell ref="E2971:F2971"/>
    <mergeCell ref="B2972:F2972"/>
    <mergeCell ref="B2973:D2973"/>
    <mergeCell ref="E2973:F2973"/>
    <mergeCell ref="B2974:F2974"/>
    <mergeCell ref="B2938:F2938"/>
    <mergeCell ref="E2947:F2947"/>
    <mergeCell ref="E2953:F2953"/>
    <mergeCell ref="B2954:F2954"/>
    <mergeCell ref="B2901:D2901"/>
    <mergeCell ref="E2901:F2901"/>
    <mergeCell ref="B2902:F2902"/>
    <mergeCell ref="E2881:F2881"/>
    <mergeCell ref="B2882:F2882"/>
    <mergeCell ref="B2883:D2883"/>
    <mergeCell ref="E2935:F2935"/>
    <mergeCell ref="E2917:F2917"/>
    <mergeCell ref="B2936:F2936"/>
    <mergeCell ref="B2937:D2937"/>
    <mergeCell ref="E2937:F2937"/>
    <mergeCell ref="B2918:F2918"/>
    <mergeCell ref="B2919:D2919"/>
    <mergeCell ref="E2919:F2919"/>
    <mergeCell ref="B2920:F2920"/>
    <mergeCell ref="E2929:F2929"/>
    <mergeCell ref="B2884:F2884"/>
    <mergeCell ref="E2893:F2893"/>
    <mergeCell ref="E2899:F2899"/>
    <mergeCell ref="B2900:F2900"/>
    <mergeCell ref="E2911:F2911"/>
    <mergeCell ref="E2876:F2876"/>
    <mergeCell ref="B2800:D2800"/>
    <mergeCell ref="E2800:F2800"/>
    <mergeCell ref="B2801:F2801"/>
    <mergeCell ref="E2859:F2859"/>
    <mergeCell ref="E2864:F2864"/>
    <mergeCell ref="B2785:F2785"/>
    <mergeCell ref="E2794:F2794"/>
    <mergeCell ref="E2883:F2883"/>
    <mergeCell ref="B2865:F2865"/>
    <mergeCell ref="B2866:D2866"/>
    <mergeCell ref="E2866:F2866"/>
    <mergeCell ref="B2867:F2867"/>
    <mergeCell ref="E2798:F2798"/>
    <mergeCell ref="B2799:F2799"/>
    <mergeCell ref="B2754:D2754"/>
    <mergeCell ref="E2754:F2754"/>
    <mergeCell ref="E2748:F2748"/>
    <mergeCell ref="E2752:F2752"/>
    <mergeCell ref="B2755:F2755"/>
    <mergeCell ref="E2764:F2764"/>
    <mergeCell ref="E2782:F2782"/>
    <mergeCell ref="E2767:F2767"/>
    <mergeCell ref="B2783:F2783"/>
    <mergeCell ref="B2784:D2784"/>
    <mergeCell ref="E2784:F2784"/>
    <mergeCell ref="B2768:F2768"/>
    <mergeCell ref="B2769:D2769"/>
    <mergeCell ref="E2769:F2769"/>
    <mergeCell ref="B2770:F2770"/>
    <mergeCell ref="E2779:F2779"/>
    <mergeCell ref="B2753:F2753"/>
    <mergeCell ref="B2738:D2738"/>
    <mergeCell ref="E2738:F2738"/>
    <mergeCell ref="B2739:F2739"/>
    <mergeCell ref="B2723:F2723"/>
    <mergeCell ref="E2732:F2732"/>
    <mergeCell ref="E2736:F2736"/>
    <mergeCell ref="B2737:F2737"/>
    <mergeCell ref="B2721:F2721"/>
    <mergeCell ref="E2688:F2688"/>
    <mergeCell ref="B2722:D2722"/>
    <mergeCell ref="E2722:F2722"/>
    <mergeCell ref="E2716:F2716"/>
    <mergeCell ref="B2689:F2689"/>
    <mergeCell ref="B2690:D2690"/>
    <mergeCell ref="E2690:F2690"/>
    <mergeCell ref="B2691:F2691"/>
    <mergeCell ref="E2720:F2720"/>
    <mergeCell ref="B2659:F2659"/>
    <mergeCell ref="E2668:F2668"/>
    <mergeCell ref="E2672:F2672"/>
    <mergeCell ref="B2673:F2673"/>
    <mergeCell ref="B2675:F2675"/>
    <mergeCell ref="E2684:F2684"/>
    <mergeCell ref="E2636:F2636"/>
    <mergeCell ref="E2656:F2656"/>
    <mergeCell ref="E2640:F2640"/>
    <mergeCell ref="E2658:F2658"/>
    <mergeCell ref="B2641:F2641"/>
    <mergeCell ref="B2642:D2642"/>
    <mergeCell ref="E2642:F2642"/>
    <mergeCell ref="B2643:F2643"/>
    <mergeCell ref="E2652:F2652"/>
    <mergeCell ref="B2674:D2674"/>
    <mergeCell ref="E2674:F2674"/>
    <mergeCell ref="B2657:F2657"/>
    <mergeCell ref="B2658:D2658"/>
    <mergeCell ref="B2627:F2627"/>
    <mergeCell ref="E2626:F2626"/>
    <mergeCell ref="B2609:F2609"/>
    <mergeCell ref="B2610:D2610"/>
    <mergeCell ref="E2610:F2610"/>
    <mergeCell ref="B2611:F2611"/>
    <mergeCell ref="E2592:F2592"/>
    <mergeCell ref="B2593:F2593"/>
    <mergeCell ref="E2624:F2624"/>
    <mergeCell ref="B2625:F2625"/>
    <mergeCell ref="B2626:D2626"/>
    <mergeCell ref="B2577:F2577"/>
    <mergeCell ref="B2578:D2578"/>
    <mergeCell ref="E2578:F2578"/>
    <mergeCell ref="B2561:F2561"/>
    <mergeCell ref="B2562:D2562"/>
    <mergeCell ref="E2562:F2562"/>
    <mergeCell ref="B2563:F2563"/>
    <mergeCell ref="E2572:F2572"/>
    <mergeCell ref="E2576:F2576"/>
    <mergeCell ref="B2545:F2545"/>
    <mergeCell ref="E2620:F2620"/>
    <mergeCell ref="B2594:D2594"/>
    <mergeCell ref="E2594:F2594"/>
    <mergeCell ref="B2595:F2595"/>
    <mergeCell ref="E2604:F2604"/>
    <mergeCell ref="E2608:F2608"/>
    <mergeCell ref="B2579:F2579"/>
    <mergeCell ref="E2588:F2588"/>
    <mergeCell ref="B2482:F2482"/>
    <mergeCell ref="B2546:D2546"/>
    <mergeCell ref="E2546:F2546"/>
    <mergeCell ref="B2547:F2547"/>
    <mergeCell ref="E2556:F2556"/>
    <mergeCell ref="E2560:F2560"/>
    <mergeCell ref="B2531:F2531"/>
    <mergeCell ref="E2540:F2540"/>
    <mergeCell ref="E2544:F2544"/>
    <mergeCell ref="E2508:F2508"/>
    <mergeCell ref="E2528:F2528"/>
    <mergeCell ref="E2512:F2512"/>
    <mergeCell ref="E2495:F2495"/>
    <mergeCell ref="B2496:F2496"/>
    <mergeCell ref="B2497:D2497"/>
    <mergeCell ref="E2497:F2497"/>
    <mergeCell ref="B2498:F2498"/>
    <mergeCell ref="B2529:F2529"/>
    <mergeCell ref="B2530:D2530"/>
    <mergeCell ref="E2530:F2530"/>
    <mergeCell ref="B2513:F2513"/>
    <mergeCell ref="B2514:D2514"/>
    <mergeCell ref="E2514:F2514"/>
    <mergeCell ref="B2515:F2515"/>
    <mergeCell ref="E2524:F2524"/>
    <mergeCell ref="E2491:F2491"/>
    <mergeCell ref="B2431:F2431"/>
    <mergeCell ref="E2440:F2440"/>
    <mergeCell ref="E2463:F2463"/>
    <mergeCell ref="B2464:F2464"/>
    <mergeCell ref="B2465:D2465"/>
    <mergeCell ref="E2465:F2465"/>
    <mergeCell ref="E2446:F2446"/>
    <mergeCell ref="B2447:F2447"/>
    <mergeCell ref="B2481:D2481"/>
    <mergeCell ref="E2481:F2481"/>
    <mergeCell ref="B2466:F2466"/>
    <mergeCell ref="E2475:F2475"/>
    <mergeCell ref="E2479:F2479"/>
    <mergeCell ref="B2480:F2480"/>
    <mergeCell ref="E2458:F2458"/>
    <mergeCell ref="B2448:D2448"/>
    <mergeCell ref="E2448:F2448"/>
    <mergeCell ref="B2449:F2449"/>
    <mergeCell ref="B2394:D2394"/>
    <mergeCell ref="E2394:F2394"/>
    <mergeCell ref="B2377:F2377"/>
    <mergeCell ref="E2386:F2386"/>
    <mergeCell ref="E2392:F2392"/>
    <mergeCell ref="B2395:F2395"/>
    <mergeCell ref="E2404:F2404"/>
    <mergeCell ref="E2428:F2428"/>
    <mergeCell ref="E2410:F2410"/>
    <mergeCell ref="B2429:F2429"/>
    <mergeCell ref="B2430:D2430"/>
    <mergeCell ref="E2430:F2430"/>
    <mergeCell ref="B2411:F2411"/>
    <mergeCell ref="B2412:D2412"/>
    <mergeCell ref="E2412:F2412"/>
    <mergeCell ref="B2413:F2413"/>
    <mergeCell ref="E2422:F2422"/>
    <mergeCell ref="B2393:F2393"/>
    <mergeCell ref="E2350:F2350"/>
    <mergeCell ref="E2374:F2374"/>
    <mergeCell ref="E2356:F2356"/>
    <mergeCell ref="B2375:F2375"/>
    <mergeCell ref="B2376:D2376"/>
    <mergeCell ref="E2376:F2376"/>
    <mergeCell ref="B2357:F2357"/>
    <mergeCell ref="B2358:D2358"/>
    <mergeCell ref="E2358:F2358"/>
    <mergeCell ref="B2359:F2359"/>
    <mergeCell ref="E2368:F2368"/>
    <mergeCell ref="B2341:F2341"/>
    <mergeCell ref="E2340:F2340"/>
    <mergeCell ref="B2322:F2322"/>
    <mergeCell ref="B2323:D2323"/>
    <mergeCell ref="E2323:F2323"/>
    <mergeCell ref="B2324:F2324"/>
    <mergeCell ref="B2305:F2305"/>
    <mergeCell ref="E2338:F2338"/>
    <mergeCell ref="B2339:F2339"/>
    <mergeCell ref="B2340:D2340"/>
    <mergeCell ref="B2288:F2288"/>
    <mergeCell ref="B2289:D2289"/>
    <mergeCell ref="E2289:F2289"/>
    <mergeCell ref="B2271:F2271"/>
    <mergeCell ref="B2272:D2272"/>
    <mergeCell ref="E2272:F2272"/>
    <mergeCell ref="B2273:F2273"/>
    <mergeCell ref="E2282:F2282"/>
    <mergeCell ref="E2333:F2333"/>
    <mergeCell ref="B2306:D2306"/>
    <mergeCell ref="E2306:F2306"/>
    <mergeCell ref="B2307:F2307"/>
    <mergeCell ref="E2316:F2316"/>
    <mergeCell ref="E2321:F2321"/>
    <mergeCell ref="B2290:F2290"/>
    <mergeCell ref="E2299:F2299"/>
    <mergeCell ref="E2304:F2304"/>
    <mergeCell ref="B2236:F2236"/>
    <mergeCell ref="B2237:D2237"/>
    <mergeCell ref="E2237:F2237"/>
    <mergeCell ref="B2238:F2238"/>
    <mergeCell ref="E2213:F2213"/>
    <mergeCell ref="E2218:F2218"/>
    <mergeCell ref="B2219:F2219"/>
    <mergeCell ref="B2256:F2256"/>
    <mergeCell ref="E2265:F2265"/>
    <mergeCell ref="E2287:F2287"/>
    <mergeCell ref="E2270:F2270"/>
    <mergeCell ref="B2100:D2100"/>
    <mergeCell ref="E2100:F2100"/>
    <mergeCell ref="B2101:F2101"/>
    <mergeCell ref="E2179:F2179"/>
    <mergeCell ref="B2203:D2203"/>
    <mergeCell ref="E2203:F2203"/>
    <mergeCell ref="B2185:F2185"/>
    <mergeCell ref="B2186:D2186"/>
    <mergeCell ref="E2186:F2186"/>
    <mergeCell ref="B2187:F2187"/>
    <mergeCell ref="E2184:F2184"/>
    <mergeCell ref="B2255:D2255"/>
    <mergeCell ref="E2255:F2255"/>
    <mergeCell ref="B2084:F2084"/>
    <mergeCell ref="E2093:F2093"/>
    <mergeCell ref="E2098:F2098"/>
    <mergeCell ref="B2099:F2099"/>
    <mergeCell ref="E2110:F2110"/>
    <mergeCell ref="E2115:F2115"/>
    <mergeCell ref="B2116:F2116"/>
    <mergeCell ref="B2117:D2117"/>
    <mergeCell ref="E2117:F2117"/>
    <mergeCell ref="B2118:F2118"/>
    <mergeCell ref="E2161:F2161"/>
    <mergeCell ref="B2167:F2167"/>
    <mergeCell ref="E2201:F2201"/>
    <mergeCell ref="B2050:D2050"/>
    <mergeCell ref="E2050:F2050"/>
    <mergeCell ref="B2051:F2051"/>
    <mergeCell ref="E2060:F2060"/>
    <mergeCell ref="E2065:F2065"/>
    <mergeCell ref="B2082:F2082"/>
    <mergeCell ref="B2083:D2083"/>
    <mergeCell ref="E2083:F2083"/>
    <mergeCell ref="B2066:F2066"/>
    <mergeCell ref="B2067:D2067"/>
    <mergeCell ref="E2067:F2067"/>
    <mergeCell ref="B2068:F2068"/>
    <mergeCell ref="E2077:F2077"/>
    <mergeCell ref="E2081:F2081"/>
    <mergeCell ref="B2034:F2034"/>
    <mergeCell ref="E2043:F2043"/>
    <mergeCell ref="E2048:F2048"/>
    <mergeCell ref="B2049:F2049"/>
    <mergeCell ref="E1997:F1997"/>
    <mergeCell ref="B1937:F1937"/>
    <mergeCell ref="E1963:F1963"/>
    <mergeCell ref="B1983:D1983"/>
    <mergeCell ref="E1983:F1983"/>
    <mergeCell ref="B1984:F1984"/>
    <mergeCell ref="B2032:F2032"/>
    <mergeCell ref="B2033:D2033"/>
    <mergeCell ref="E2033:F2033"/>
    <mergeCell ref="B1999:D1999"/>
    <mergeCell ref="E1999:F1999"/>
    <mergeCell ref="B2000:F2000"/>
    <mergeCell ref="B2017:F2017"/>
    <mergeCell ref="E2026:F2026"/>
    <mergeCell ref="E2031:F2031"/>
    <mergeCell ref="B1998:F1998"/>
    <mergeCell ref="E1966:F1966"/>
    <mergeCell ref="B1967:F1967"/>
    <mergeCell ref="B1968:D1968"/>
    <mergeCell ref="E1968:F1968"/>
    <mergeCell ref="E1978:F1978"/>
    <mergeCell ref="E1981:F1981"/>
    <mergeCell ref="B1982:F1982"/>
    <mergeCell ref="B1868:F1868"/>
    <mergeCell ref="B1869:D1869"/>
    <mergeCell ref="E1869:F1869"/>
    <mergeCell ref="B1887:F1887"/>
    <mergeCell ref="E1896:F1896"/>
    <mergeCell ref="E1847:F1847"/>
    <mergeCell ref="E1850:F1850"/>
    <mergeCell ref="B1870:F1870"/>
    <mergeCell ref="B1851:F1851"/>
    <mergeCell ref="B1969:F1969"/>
    <mergeCell ref="E1993:F1993"/>
    <mergeCell ref="E1879:F1879"/>
    <mergeCell ref="E1884:F1884"/>
    <mergeCell ref="B1821:F1821"/>
    <mergeCell ref="B1822:D1822"/>
    <mergeCell ref="E1822:F1822"/>
    <mergeCell ref="B1823:F1823"/>
    <mergeCell ref="B1885:F1885"/>
    <mergeCell ref="B1886:D1886"/>
    <mergeCell ref="E1886:F1886"/>
    <mergeCell ref="B1853:F1853"/>
    <mergeCell ref="E1862:F1862"/>
    <mergeCell ref="E1867:F1867"/>
    <mergeCell ref="B1904:F1904"/>
    <mergeCell ref="E1901:F1901"/>
    <mergeCell ref="B1902:F1902"/>
    <mergeCell ref="B1903:D1903"/>
    <mergeCell ref="E1903:F1903"/>
    <mergeCell ref="B1921:F1921"/>
    <mergeCell ref="E1913:F1913"/>
    <mergeCell ref="E1918:F1918"/>
    <mergeCell ref="B1919:F1919"/>
    <mergeCell ref="B1807:D1807"/>
    <mergeCell ref="E1807:F1807"/>
    <mergeCell ref="E1785:F1785"/>
    <mergeCell ref="E1790:F1790"/>
    <mergeCell ref="B1808:F1808"/>
    <mergeCell ref="E1817:F1817"/>
    <mergeCell ref="E1820:F1820"/>
    <mergeCell ref="B1793:F1793"/>
    <mergeCell ref="E1802:F1802"/>
    <mergeCell ref="E1805:F1805"/>
    <mergeCell ref="B1806:F1806"/>
    <mergeCell ref="B1852:D1852"/>
    <mergeCell ref="E1852:F1852"/>
    <mergeCell ref="B1791:F1791"/>
    <mergeCell ref="B1792:D1792"/>
    <mergeCell ref="E1792:F1792"/>
    <mergeCell ref="B1754:F1754"/>
    <mergeCell ref="B1773:F1773"/>
    <mergeCell ref="B1774:D1774"/>
    <mergeCell ref="E1774:F1774"/>
    <mergeCell ref="B1775:F1775"/>
    <mergeCell ref="E1654:F1654"/>
    <mergeCell ref="E1656:F1656"/>
    <mergeCell ref="B1676:F1676"/>
    <mergeCell ref="B1657:F1657"/>
    <mergeCell ref="B1658:D1658"/>
    <mergeCell ref="E1658:F1658"/>
    <mergeCell ref="B1706:F1706"/>
    <mergeCell ref="B1737:F1737"/>
    <mergeCell ref="B1659:F1659"/>
    <mergeCell ref="E1668:F1668"/>
    <mergeCell ref="E1673:F1673"/>
    <mergeCell ref="B1674:F1674"/>
    <mergeCell ref="B1675:C1675"/>
    <mergeCell ref="E1675:F1675"/>
    <mergeCell ref="B1644:F1644"/>
    <mergeCell ref="B1645:D1645"/>
    <mergeCell ref="E1645:F1645"/>
    <mergeCell ref="B1646:F1646"/>
    <mergeCell ref="B1633:D1633"/>
    <mergeCell ref="E1633:F1633"/>
    <mergeCell ref="E1611:F1611"/>
    <mergeCell ref="E1614:F1614"/>
    <mergeCell ref="E1617:F1617"/>
    <mergeCell ref="B1634:F1634"/>
    <mergeCell ref="E1639:F1639"/>
    <mergeCell ref="E1643:F1643"/>
    <mergeCell ref="B1621:F1621"/>
    <mergeCell ref="E1626:F1626"/>
    <mergeCell ref="E1631:F1631"/>
    <mergeCell ref="B1632:F1632"/>
    <mergeCell ref="B1619:F1619"/>
    <mergeCell ref="B1620:D1620"/>
    <mergeCell ref="E1620:F1620"/>
    <mergeCell ref="E1598:F1598"/>
    <mergeCell ref="B1600:F1600"/>
    <mergeCell ref="B1601:D1601"/>
    <mergeCell ref="E1601:F1601"/>
    <mergeCell ref="B1602:F1602"/>
    <mergeCell ref="D1509:E1509"/>
    <mergeCell ref="D1515:E1515"/>
    <mergeCell ref="D1516:E1516"/>
    <mergeCell ref="D1517:E1517"/>
    <mergeCell ref="D1518:E1518"/>
    <mergeCell ref="B1582:D1582"/>
    <mergeCell ref="E1582:F1582"/>
    <mergeCell ref="B1583:F1583"/>
    <mergeCell ref="E1553:F1553"/>
    <mergeCell ref="E1556:F1556"/>
    <mergeCell ref="E1560:F1560"/>
    <mergeCell ref="B1562:F1562"/>
    <mergeCell ref="B1563:D1563"/>
    <mergeCell ref="E1563:F1563"/>
    <mergeCell ref="E1592:F1592"/>
    <mergeCell ref="E1595:F1595"/>
    <mergeCell ref="B1564:F1564"/>
    <mergeCell ref="E1573:F1573"/>
    <mergeCell ref="E1576:F1576"/>
    <mergeCell ref="E1579:F1579"/>
    <mergeCell ref="B1581:F1581"/>
    <mergeCell ref="E1537:F1537"/>
    <mergeCell ref="B1539:F1539"/>
    <mergeCell ref="B1540:D1540"/>
    <mergeCell ref="E1540:F1540"/>
    <mergeCell ref="B1541:F1541"/>
    <mergeCell ref="B1503:F1503"/>
    <mergeCell ref="B1480:F1480"/>
    <mergeCell ref="B1481:D1481"/>
    <mergeCell ref="E1481:F1481"/>
    <mergeCell ref="B1435:F1435"/>
    <mergeCell ref="B1436:D1436"/>
    <mergeCell ref="E1436:F1436"/>
    <mergeCell ref="E1462:F1462"/>
    <mergeCell ref="E1464:F1464"/>
    <mergeCell ref="E1530:F1530"/>
    <mergeCell ref="E1533:F1533"/>
    <mergeCell ref="B1482:F1482"/>
    <mergeCell ref="E1492:F1492"/>
    <mergeCell ref="E1495:F1495"/>
    <mergeCell ref="E1499:F1499"/>
    <mergeCell ref="B1501:F1501"/>
    <mergeCell ref="D1506:E1506"/>
    <mergeCell ref="D1507:E1507"/>
    <mergeCell ref="B1465:F1465"/>
    <mergeCell ref="B1466:D1466"/>
    <mergeCell ref="E1466:F1466"/>
    <mergeCell ref="B1467:F1467"/>
    <mergeCell ref="D1508:E1508"/>
    <mergeCell ref="B1502:D1502"/>
    <mergeCell ref="E1502:F1502"/>
    <mergeCell ref="E1477:F1477"/>
    <mergeCell ref="E1479:F1479"/>
    <mergeCell ref="D1510:E1510"/>
    <mergeCell ref="D1511:E1511"/>
    <mergeCell ref="D1512:E1512"/>
    <mergeCell ref="D1513:E1513"/>
    <mergeCell ref="D1514:E1514"/>
    <mergeCell ref="E1419:F1419"/>
    <mergeCell ref="E1421:F1421"/>
    <mergeCell ref="B1450:F1450"/>
    <mergeCell ref="B1422:F1422"/>
    <mergeCell ref="B1423:D1423"/>
    <mergeCell ref="E1423:F1423"/>
    <mergeCell ref="B1424:F1424"/>
    <mergeCell ref="E1432:F1432"/>
    <mergeCell ref="B1377:F1377"/>
    <mergeCell ref="B1378:D1378"/>
    <mergeCell ref="E1378:F1378"/>
    <mergeCell ref="B1379:F1379"/>
    <mergeCell ref="B1398:F1398"/>
    <mergeCell ref="B1452:F1452"/>
    <mergeCell ref="B1437:F1437"/>
    <mergeCell ref="E1447:F1447"/>
    <mergeCell ref="E1449:F1449"/>
    <mergeCell ref="B1451:D1451"/>
    <mergeCell ref="E1451:F1451"/>
    <mergeCell ref="E1434:F1434"/>
    <mergeCell ref="B1360:D1360"/>
    <mergeCell ref="E1360:F1360"/>
    <mergeCell ref="E1332:F1332"/>
    <mergeCell ref="E1338:F1338"/>
    <mergeCell ref="B1321:F1321"/>
    <mergeCell ref="B1322:D1322"/>
    <mergeCell ref="E1322:F1322"/>
    <mergeCell ref="B1323:F1323"/>
    <mergeCell ref="B1361:F1361"/>
    <mergeCell ref="B1341:F1341"/>
    <mergeCell ref="E1350:F1350"/>
    <mergeCell ref="E1358:F1358"/>
    <mergeCell ref="B1411:F1411"/>
    <mergeCell ref="B1396:F1396"/>
    <mergeCell ref="B1397:D1397"/>
    <mergeCell ref="E1397:F1397"/>
    <mergeCell ref="B1339:F1339"/>
    <mergeCell ref="B1340:D1340"/>
    <mergeCell ref="E1340:F1340"/>
    <mergeCell ref="E1370:F1370"/>
    <mergeCell ref="E1376:F1376"/>
    <mergeCell ref="B1359:F1359"/>
    <mergeCell ref="B1409:F1409"/>
    <mergeCell ref="B1410:D1410"/>
    <mergeCell ref="E1410:F1410"/>
    <mergeCell ref="E1388:F1388"/>
    <mergeCell ref="E1395:F1395"/>
    <mergeCell ref="E1406:F1406"/>
    <mergeCell ref="E1408:F1408"/>
    <mergeCell ref="B1221:D1221"/>
    <mergeCell ref="E1221:F1221"/>
    <mergeCell ref="B1124:F1124"/>
    <mergeCell ref="B1205:F1205"/>
    <mergeCell ref="E1214:F1214"/>
    <mergeCell ref="B1123:D1123"/>
    <mergeCell ref="E1123:F1123"/>
    <mergeCell ref="B1222:F1222"/>
    <mergeCell ref="E1219:F1219"/>
    <mergeCell ref="B1243:F1243"/>
    <mergeCell ref="B1244:D1244"/>
    <mergeCell ref="B1305:F1305"/>
    <mergeCell ref="E1244:F1244"/>
    <mergeCell ref="B1245:F1245"/>
    <mergeCell ref="E1314:F1314"/>
    <mergeCell ref="E1320:F1320"/>
    <mergeCell ref="E1256:F1256"/>
    <mergeCell ref="E1296:F1296"/>
    <mergeCell ref="E1302:F1302"/>
    <mergeCell ref="B1303:F1303"/>
    <mergeCell ref="B1304:D1304"/>
    <mergeCell ref="E1304:F1304"/>
    <mergeCell ref="E1233:F1233"/>
    <mergeCell ref="E1242:F1242"/>
    <mergeCell ref="E1164:F1164"/>
    <mergeCell ref="B1165:F1165"/>
    <mergeCell ref="B1220:F1220"/>
    <mergeCell ref="E1154:F1154"/>
    <mergeCell ref="E1162:F1162"/>
    <mergeCell ref="B1163:F1163"/>
    <mergeCell ref="B1164:D1164"/>
    <mergeCell ref="E1133:F1133"/>
    <mergeCell ref="E1113:F1113"/>
    <mergeCell ref="E1121:F1121"/>
    <mergeCell ref="B1122:F1122"/>
    <mergeCell ref="E1080:F1080"/>
    <mergeCell ref="B1083:F1083"/>
    <mergeCell ref="B967:F967"/>
    <mergeCell ref="B968:D968"/>
    <mergeCell ref="E968:F968"/>
    <mergeCell ref="B969:F969"/>
    <mergeCell ref="B1004:F1004"/>
    <mergeCell ref="E996:F996"/>
    <mergeCell ref="B1081:F1081"/>
    <mergeCell ref="B1082:D1082"/>
    <mergeCell ref="E1082:F1082"/>
    <mergeCell ref="B1040:F1040"/>
    <mergeCell ref="B1041:D1041"/>
    <mergeCell ref="E1041:F1041"/>
    <mergeCell ref="B1042:F1042"/>
    <mergeCell ref="E1072:F1072"/>
    <mergeCell ref="B1063:F1063"/>
    <mergeCell ref="E1092:F1092"/>
    <mergeCell ref="E1100:F1100"/>
    <mergeCell ref="B1102:F1102"/>
    <mergeCell ref="B1103:D1103"/>
    <mergeCell ref="E1103:F1103"/>
    <mergeCell ref="B1104:F1104"/>
    <mergeCell ref="E966:F966"/>
    <mergeCell ref="E944:F944"/>
    <mergeCell ref="E948:F948"/>
    <mergeCell ref="B949:F949"/>
    <mergeCell ref="E916:F916"/>
    <mergeCell ref="B917:F917"/>
    <mergeCell ref="B918:F918"/>
    <mergeCell ref="B933:D933"/>
    <mergeCell ref="E933:F933"/>
    <mergeCell ref="B934:F934"/>
    <mergeCell ref="B935:F935"/>
    <mergeCell ref="E931:F931"/>
    <mergeCell ref="B932:F932"/>
    <mergeCell ref="E883:F883"/>
    <mergeCell ref="B869:F869"/>
    <mergeCell ref="B870:D870"/>
    <mergeCell ref="E870:F870"/>
    <mergeCell ref="B871:F871"/>
    <mergeCell ref="B884:F884"/>
    <mergeCell ref="B901:F901"/>
    <mergeCell ref="B885:D885"/>
    <mergeCell ref="E885:F885"/>
    <mergeCell ref="E910:F910"/>
    <mergeCell ref="E914:F914"/>
    <mergeCell ref="B886:F886"/>
    <mergeCell ref="E895:F895"/>
    <mergeCell ref="E898:F898"/>
    <mergeCell ref="B899:F899"/>
    <mergeCell ref="B900:D900"/>
    <mergeCell ref="E900:F900"/>
    <mergeCell ref="E880:F880"/>
    <mergeCell ref="B818:F818"/>
    <mergeCell ref="B819:D819"/>
    <mergeCell ref="E819:F819"/>
    <mergeCell ref="B856:F856"/>
    <mergeCell ref="B820:F820"/>
    <mergeCell ref="E865:F865"/>
    <mergeCell ref="E868:F868"/>
    <mergeCell ref="E829:F829"/>
    <mergeCell ref="E835:F835"/>
    <mergeCell ref="B836:F836"/>
    <mergeCell ref="B837:D837"/>
    <mergeCell ref="E837:F837"/>
    <mergeCell ref="B838:F838"/>
    <mergeCell ref="B801:D801"/>
    <mergeCell ref="E801:F801"/>
    <mergeCell ref="B802:F802"/>
    <mergeCell ref="E811:F811"/>
    <mergeCell ref="E817:F817"/>
    <mergeCell ref="B764:F764"/>
    <mergeCell ref="B765:D765"/>
    <mergeCell ref="E765:F765"/>
    <mergeCell ref="E739:F739"/>
    <mergeCell ref="E745:F745"/>
    <mergeCell ref="B746:F746"/>
    <mergeCell ref="E793:F793"/>
    <mergeCell ref="B766:F766"/>
    <mergeCell ref="E799:F799"/>
    <mergeCell ref="B800:F800"/>
    <mergeCell ref="E775:F775"/>
    <mergeCell ref="E781:F781"/>
    <mergeCell ref="B782:F782"/>
    <mergeCell ref="B783:D783"/>
    <mergeCell ref="E783:F783"/>
    <mergeCell ref="B784:F784"/>
    <mergeCell ref="B747:D747"/>
    <mergeCell ref="E747:F747"/>
    <mergeCell ref="B748:F748"/>
    <mergeCell ref="E757:F757"/>
    <mergeCell ref="E763:F763"/>
    <mergeCell ref="B730:F730"/>
    <mergeCell ref="B710:F710"/>
    <mergeCell ref="B711:D711"/>
    <mergeCell ref="E711:F711"/>
    <mergeCell ref="B712:F712"/>
    <mergeCell ref="B693:D693"/>
    <mergeCell ref="E693:F693"/>
    <mergeCell ref="B694:F694"/>
    <mergeCell ref="E721:F721"/>
    <mergeCell ref="E727:F727"/>
    <mergeCell ref="B728:F728"/>
    <mergeCell ref="B729:D729"/>
    <mergeCell ref="E729:F729"/>
    <mergeCell ref="E703:F703"/>
    <mergeCell ref="E709:F709"/>
    <mergeCell ref="B637:D637"/>
    <mergeCell ref="E637:F637"/>
    <mergeCell ref="B638:F638"/>
    <mergeCell ref="E647:F647"/>
    <mergeCell ref="B654:F654"/>
    <mergeCell ref="B655:D655"/>
    <mergeCell ref="E655:F655"/>
    <mergeCell ref="E685:F685"/>
    <mergeCell ref="B656:F656"/>
    <mergeCell ref="E691:F691"/>
    <mergeCell ref="B692:F692"/>
    <mergeCell ref="E665:F665"/>
    <mergeCell ref="E671:F671"/>
    <mergeCell ref="B672:F672"/>
    <mergeCell ref="B673:D673"/>
    <mergeCell ref="E673:F673"/>
    <mergeCell ref="B674:F674"/>
    <mergeCell ref="E653:F653"/>
    <mergeCell ref="B599:F599"/>
    <mergeCell ref="B600:D600"/>
    <mergeCell ref="E600:F600"/>
    <mergeCell ref="E629:F629"/>
    <mergeCell ref="B601:F601"/>
    <mergeCell ref="E635:F635"/>
    <mergeCell ref="B636:F636"/>
    <mergeCell ref="E610:F610"/>
    <mergeCell ref="E616:F616"/>
    <mergeCell ref="B617:F617"/>
    <mergeCell ref="B618:D618"/>
    <mergeCell ref="E618:F618"/>
    <mergeCell ref="B619:F619"/>
    <mergeCell ref="B580:D580"/>
    <mergeCell ref="E580:F580"/>
    <mergeCell ref="B581:F581"/>
    <mergeCell ref="E590:F590"/>
    <mergeCell ref="E598:F598"/>
    <mergeCell ref="E574:F574"/>
    <mergeCell ref="E578:F578"/>
    <mergeCell ref="B579:F579"/>
    <mergeCell ref="B565:F565"/>
    <mergeCell ref="B546:F546"/>
    <mergeCell ref="B547:D547"/>
    <mergeCell ref="E547:F547"/>
    <mergeCell ref="B548:F548"/>
    <mergeCell ref="B530:D530"/>
    <mergeCell ref="E530:F530"/>
    <mergeCell ref="B531:F531"/>
    <mergeCell ref="E557:F557"/>
    <mergeCell ref="E562:F562"/>
    <mergeCell ref="B563:F563"/>
    <mergeCell ref="B564:D564"/>
    <mergeCell ref="E564:F564"/>
    <mergeCell ref="E540:F540"/>
    <mergeCell ref="E545:F545"/>
    <mergeCell ref="B479:F479"/>
    <mergeCell ref="E489:F489"/>
    <mergeCell ref="B495:F495"/>
    <mergeCell ref="B496:D496"/>
    <mergeCell ref="E496:F496"/>
    <mergeCell ref="E523:F523"/>
    <mergeCell ref="B497:F497"/>
    <mergeCell ref="E528:F528"/>
    <mergeCell ref="B529:F529"/>
    <mergeCell ref="E506:F506"/>
    <mergeCell ref="E511:F511"/>
    <mergeCell ref="B512:F512"/>
    <mergeCell ref="B513:D513"/>
    <mergeCell ref="E513:F513"/>
    <mergeCell ref="B514:F514"/>
    <mergeCell ref="E494:F494"/>
    <mergeCell ref="B435:D435"/>
    <mergeCell ref="E435:F435"/>
    <mergeCell ref="B436:F436"/>
    <mergeCell ref="B478:D478"/>
    <mergeCell ref="E478:F478"/>
    <mergeCell ref="B408:F408"/>
    <mergeCell ref="E397:F397"/>
    <mergeCell ref="B477:F477"/>
    <mergeCell ref="B385:D385"/>
    <mergeCell ref="B466:F466"/>
    <mergeCell ref="E473:F473"/>
    <mergeCell ref="E476:F476"/>
    <mergeCell ref="B421:F421"/>
    <mergeCell ref="B422:D422"/>
    <mergeCell ref="E422:F422"/>
    <mergeCell ref="E460:F460"/>
    <mergeCell ref="E463:F463"/>
    <mergeCell ref="B464:F464"/>
    <mergeCell ref="B465:C465"/>
    <mergeCell ref="E465:F465"/>
    <mergeCell ref="B423:F423"/>
    <mergeCell ref="E430:F430"/>
    <mergeCell ref="E433:F433"/>
    <mergeCell ref="B434:F434"/>
    <mergeCell ref="B409:D409"/>
    <mergeCell ref="E409:F409"/>
    <mergeCell ref="B410:F410"/>
    <mergeCell ref="E417:F417"/>
    <mergeCell ref="E420:F420"/>
    <mergeCell ref="B374:F374"/>
    <mergeCell ref="B384:F384"/>
    <mergeCell ref="B398:F398"/>
    <mergeCell ref="E405:F405"/>
    <mergeCell ref="E407:F407"/>
    <mergeCell ref="E395:F395"/>
    <mergeCell ref="B396:F396"/>
    <mergeCell ref="B397:D397"/>
    <mergeCell ref="E369:F369"/>
    <mergeCell ref="E371:F371"/>
    <mergeCell ref="B372:F372"/>
    <mergeCell ref="B373:D373"/>
    <mergeCell ref="E373:F373"/>
    <mergeCell ref="E337:F337"/>
    <mergeCell ref="C335:D335"/>
    <mergeCell ref="E335:F335"/>
    <mergeCell ref="B338:F338"/>
    <mergeCell ref="E345:F345"/>
    <mergeCell ref="E347:F347"/>
    <mergeCell ref="B386:F386"/>
    <mergeCell ref="E393:F393"/>
    <mergeCell ref="C333:D333"/>
    <mergeCell ref="E333:F333"/>
    <mergeCell ref="C334:D334"/>
    <mergeCell ref="B362:F362"/>
    <mergeCell ref="B349:D349"/>
    <mergeCell ref="E349:F349"/>
    <mergeCell ref="B350:F350"/>
    <mergeCell ref="E357:F357"/>
    <mergeCell ref="E359:F359"/>
    <mergeCell ref="B360:F360"/>
    <mergeCell ref="B361:D361"/>
    <mergeCell ref="E361:F361"/>
    <mergeCell ref="B348:F348"/>
    <mergeCell ref="B336:F336"/>
    <mergeCell ref="B337:D337"/>
    <mergeCell ref="B326:F326"/>
    <mergeCell ref="B231:F231"/>
    <mergeCell ref="E238:F238"/>
    <mergeCell ref="E240:F240"/>
    <mergeCell ref="B241:F241"/>
    <mergeCell ref="B324:F324"/>
    <mergeCell ref="B325:D325"/>
    <mergeCell ref="E325:F325"/>
    <mergeCell ref="B300:F300"/>
    <mergeCell ref="B301:D301"/>
    <mergeCell ref="B302:F302"/>
    <mergeCell ref="E301:F301"/>
    <mergeCell ref="C323:D323"/>
    <mergeCell ref="E323:F323"/>
    <mergeCell ref="E299:F299"/>
    <mergeCell ref="E297:F297"/>
    <mergeCell ref="E279:F279"/>
    <mergeCell ref="E286:F286"/>
    <mergeCell ref="B287:F287"/>
    <mergeCell ref="B288:D288"/>
    <mergeCell ref="E288:F288"/>
    <mergeCell ref="B289:F289"/>
    <mergeCell ref="C321:D321"/>
    <mergeCell ref="E321:F321"/>
    <mergeCell ref="C322:D322"/>
    <mergeCell ref="B270:F270"/>
    <mergeCell ref="E264:F264"/>
    <mergeCell ref="E267:F267"/>
    <mergeCell ref="B268:F268"/>
    <mergeCell ref="B269:D269"/>
    <mergeCell ref="E269:F269"/>
    <mergeCell ref="B253:F253"/>
    <mergeCell ref="B254:D254"/>
    <mergeCell ref="E254:F254"/>
    <mergeCell ref="B255:F255"/>
    <mergeCell ref="B242:D242"/>
    <mergeCell ref="E242:F242"/>
    <mergeCell ref="B243:F243"/>
    <mergeCell ref="E250:F250"/>
    <mergeCell ref="E252:F252"/>
    <mergeCell ref="B23:F23"/>
    <mergeCell ref="E11:F11"/>
    <mergeCell ref="E20:F20"/>
    <mergeCell ref="B21:F21"/>
    <mergeCell ref="B22:D22"/>
    <mergeCell ref="E22:F22"/>
    <mergeCell ref="B81:D81"/>
    <mergeCell ref="B64:D64"/>
    <mergeCell ref="E64:F64"/>
    <mergeCell ref="B65:F65"/>
    <mergeCell ref="B45:F45"/>
    <mergeCell ref="E54:F54"/>
    <mergeCell ref="E62:F62"/>
    <mergeCell ref="B63:F63"/>
    <mergeCell ref="B200:D200"/>
    <mergeCell ref="E200:F200"/>
    <mergeCell ref="B183:F183"/>
    <mergeCell ref="B184:D184"/>
    <mergeCell ref="E184:F184"/>
    <mergeCell ref="B173:F173"/>
    <mergeCell ref="B150:D150"/>
    <mergeCell ref="E150:F150"/>
    <mergeCell ref="B151:F151"/>
    <mergeCell ref="E160:F160"/>
    <mergeCell ref="E223:F223"/>
    <mergeCell ref="E228:F228"/>
    <mergeCell ref="B229:F229"/>
    <mergeCell ref="E230:F230"/>
    <mergeCell ref="B216:F216"/>
    <mergeCell ref="E32:F32"/>
    <mergeCell ref="E42:F42"/>
    <mergeCell ref="B43:F43"/>
    <mergeCell ref="B44:D44"/>
    <mergeCell ref="E44:F44"/>
    <mergeCell ref="B201:F201"/>
    <mergeCell ref="E208:F208"/>
    <mergeCell ref="E213:F213"/>
    <mergeCell ref="E108:F108"/>
    <mergeCell ref="E92:F92"/>
    <mergeCell ref="B82:F82"/>
    <mergeCell ref="B185:F185"/>
    <mergeCell ref="E194:F194"/>
    <mergeCell ref="B171:F171"/>
    <mergeCell ref="B172:D172"/>
    <mergeCell ref="E172:F172"/>
    <mergeCell ref="E198:F198"/>
    <mergeCell ref="E170:F170"/>
    <mergeCell ref="E148:F148"/>
    <mergeCell ref="B214:F214"/>
    <mergeCell ref="B215:D215"/>
    <mergeCell ref="E215:F215"/>
    <mergeCell ref="B149:F149"/>
    <mergeCell ref="E120:F120"/>
    <mergeCell ref="E126:F126"/>
    <mergeCell ref="B127:F127"/>
    <mergeCell ref="B128:D128"/>
    <mergeCell ref="E128:F128"/>
    <mergeCell ref="B129:F129"/>
    <mergeCell ref="E138:F138"/>
    <mergeCell ref="B199:F199"/>
    <mergeCell ref="E180:F180"/>
    <mergeCell ref="E182:F182"/>
    <mergeCell ref="E4575:F4575"/>
    <mergeCell ref="E4579:F4579"/>
    <mergeCell ref="B4580:F4580"/>
    <mergeCell ref="B4581:D4581"/>
    <mergeCell ref="E4581:F4581"/>
    <mergeCell ref="B4582:F4582"/>
    <mergeCell ref="B4634:F4634"/>
    <mergeCell ref="B4635:D4635"/>
    <mergeCell ref="E4635:F4635"/>
    <mergeCell ref="E2166:F2166"/>
    <mergeCell ref="B3261:D3261"/>
    <mergeCell ref="E3261:F3261"/>
    <mergeCell ref="B3262:F3262"/>
    <mergeCell ref="E3271:F3271"/>
    <mergeCell ref="E3277:F3277"/>
    <mergeCell ref="B2202:F2202"/>
    <mergeCell ref="E2196:F2196"/>
    <mergeCell ref="E2247:F2247"/>
    <mergeCell ref="E2252:F2252"/>
    <mergeCell ref="B2220:D2220"/>
    <mergeCell ref="E2220:F2220"/>
    <mergeCell ref="B2221:F2221"/>
    <mergeCell ref="E2230:F2230"/>
    <mergeCell ref="E2235:F2235"/>
    <mergeCell ref="B2204:F2204"/>
    <mergeCell ref="B2254:F2254"/>
    <mergeCell ref="B230:D230"/>
    <mergeCell ref="B3565:F3565"/>
    <mergeCell ref="E3562:F3562"/>
    <mergeCell ref="B4866:F4866"/>
    <mergeCell ref="B4865:D4865"/>
    <mergeCell ref="E4843:F4843"/>
    <mergeCell ref="E4945:F4945"/>
    <mergeCell ref="E5158:F5158"/>
    <mergeCell ref="B5114:D5114"/>
    <mergeCell ref="E5114:F5114"/>
    <mergeCell ref="B5115:F5115"/>
    <mergeCell ref="B5144:F5144"/>
    <mergeCell ref="B5145:D5145"/>
    <mergeCell ref="E5145:F5145"/>
    <mergeCell ref="B5030:F5030"/>
    <mergeCell ref="E5021:F5021"/>
    <mergeCell ref="E5027:F5027"/>
    <mergeCell ref="B5028:F5028"/>
    <mergeCell ref="E4992:F4992"/>
    <mergeCell ref="B4993:F4993"/>
    <mergeCell ref="B4994:D4994"/>
    <mergeCell ref="E4994:F4994"/>
    <mergeCell ref="E4971:F4971"/>
    <mergeCell ref="E4975:F4975"/>
    <mergeCell ref="B4946:F4946"/>
    <mergeCell ref="E4955:F4955"/>
    <mergeCell ref="B4945:D4945"/>
    <mergeCell ref="B4995:F4995"/>
    <mergeCell ref="B4978:F4978"/>
    <mergeCell ref="E5155:F5155"/>
    <mergeCell ref="B5098:D5098"/>
    <mergeCell ref="E5098:F5098"/>
    <mergeCell ref="B4928:F4928"/>
    <mergeCell ref="E4865:F4865"/>
    <mergeCell ref="B4976:F4976"/>
    <mergeCell ref="E4939:F4939"/>
    <mergeCell ref="E4879:F4879"/>
    <mergeCell ref="B4880:F4880"/>
    <mergeCell ref="E4961:F4961"/>
    <mergeCell ref="B4882:F4882"/>
    <mergeCell ref="B5159:F5159"/>
    <mergeCell ref="B5160:D5160"/>
    <mergeCell ref="E5160:F5160"/>
    <mergeCell ref="B5205:D5205"/>
    <mergeCell ref="E5205:F5205"/>
    <mergeCell ref="B5174:F5174"/>
    <mergeCell ref="B5175:D5175"/>
    <mergeCell ref="E5175:F5175"/>
    <mergeCell ref="B5176:F5176"/>
    <mergeCell ref="B4929:D4929"/>
    <mergeCell ref="E4929:F4929"/>
    <mergeCell ref="E4943:F4943"/>
    <mergeCell ref="E4923:F4923"/>
    <mergeCell ref="E4927:F4927"/>
    <mergeCell ref="B5161:F5161"/>
    <mergeCell ref="E5170:F5170"/>
    <mergeCell ref="E5173:F5173"/>
    <mergeCell ref="E5185:F5185"/>
    <mergeCell ref="E5188:F5188"/>
    <mergeCell ref="B4881:D4881"/>
    <mergeCell ref="E4881:F4881"/>
    <mergeCell ref="B4930:F4930"/>
    <mergeCell ref="B4977:D4977"/>
    <mergeCell ref="E4977:F4977"/>
    <mergeCell ref="B5011:D5011"/>
    <mergeCell ref="B5099:F5099"/>
    <mergeCell ref="E5140:F5140"/>
    <mergeCell ref="E5260:F5260"/>
    <mergeCell ref="E5263:F5263"/>
    <mergeCell ref="B5189:F5189"/>
    <mergeCell ref="B5190:D5190"/>
    <mergeCell ref="E5190:F5190"/>
    <mergeCell ref="B5191:F5191"/>
    <mergeCell ref="E5200:F5200"/>
    <mergeCell ref="E5203:F5203"/>
    <mergeCell ref="E5230:F5230"/>
    <mergeCell ref="E5233:F5233"/>
    <mergeCell ref="B5234:F5234"/>
    <mergeCell ref="B5235:D5235"/>
    <mergeCell ref="E5235:F5235"/>
    <mergeCell ref="B5236:F5236"/>
    <mergeCell ref="B5309:F5309"/>
    <mergeCell ref="B5310:D5310"/>
    <mergeCell ref="E5310:F5310"/>
    <mergeCell ref="B5339:F5339"/>
    <mergeCell ref="B5340:D5340"/>
    <mergeCell ref="E5340:F5340"/>
    <mergeCell ref="B5311:F5311"/>
    <mergeCell ref="E5320:F5320"/>
    <mergeCell ref="E5323:F5323"/>
    <mergeCell ref="B5324:F5324"/>
    <mergeCell ref="B5325:D5325"/>
    <mergeCell ref="E5325:F5325"/>
    <mergeCell ref="B5326:F5326"/>
    <mergeCell ref="E5335:F5335"/>
    <mergeCell ref="E5338:F5338"/>
    <mergeCell ref="B5266:F5266"/>
    <mergeCell ref="E5275:F5275"/>
    <mergeCell ref="E5278:F5278"/>
    <mergeCell ref="B5281:F5281"/>
    <mergeCell ref="E5290:F5290"/>
    <mergeCell ref="E5293:F5293"/>
    <mergeCell ref="B5294:F5294"/>
    <mergeCell ref="B5295:D5295"/>
    <mergeCell ref="E5295:F5295"/>
    <mergeCell ref="B5296:F5296"/>
    <mergeCell ref="E5305:F5305"/>
    <mergeCell ref="E5308:F5308"/>
    <mergeCell ref="B5279:F5279"/>
    <mergeCell ref="B5280:D5280"/>
    <mergeCell ref="E5280:F5280"/>
    <mergeCell ref="B5387:F5387"/>
    <mergeCell ref="E5396:F5396"/>
    <mergeCell ref="E5400:F5400"/>
    <mergeCell ref="B5401:F5401"/>
    <mergeCell ref="B5402:D5402"/>
    <mergeCell ref="E5402:F5402"/>
    <mergeCell ref="B5403:F5403"/>
    <mergeCell ref="E5412:F5412"/>
    <mergeCell ref="E5416:F5416"/>
    <mergeCell ref="B5417:F5417"/>
    <mergeCell ref="B5341:F5341"/>
    <mergeCell ref="E5350:F5350"/>
    <mergeCell ref="E5353:F5353"/>
    <mergeCell ref="E5355:F5355"/>
    <mergeCell ref="B5356:F5356"/>
    <mergeCell ref="E5365:F5365"/>
    <mergeCell ref="E5368:F5368"/>
    <mergeCell ref="B5369:F5369"/>
    <mergeCell ref="B5370:D5370"/>
    <mergeCell ref="E5370:F5370"/>
    <mergeCell ref="B5371:F5371"/>
    <mergeCell ref="E5380:F5380"/>
    <mergeCell ref="E5384:F5384"/>
    <mergeCell ref="B5354:F5354"/>
    <mergeCell ref="B5355:D5355"/>
    <mergeCell ref="E5476:F5476"/>
    <mergeCell ref="B5477:F5477"/>
    <mergeCell ref="B5478:D5478"/>
    <mergeCell ref="E5478:F5478"/>
    <mergeCell ref="B5479:F5479"/>
    <mergeCell ref="E5486:F5486"/>
    <mergeCell ref="E5489:F5489"/>
    <mergeCell ref="B5490:F5490"/>
    <mergeCell ref="B5491:D5491"/>
    <mergeCell ref="E5491:F5491"/>
    <mergeCell ref="B5492:F5492"/>
    <mergeCell ref="E5473:F5473"/>
    <mergeCell ref="B5463:F5463"/>
    <mergeCell ref="B5464:D5464"/>
    <mergeCell ref="E5464:F5464"/>
    <mergeCell ref="B5465:F5465"/>
    <mergeCell ref="B5419:F5419"/>
    <mergeCell ref="E5428:F5428"/>
    <mergeCell ref="E5432:F5432"/>
    <mergeCell ref="B5434:D5434"/>
    <mergeCell ref="E5434:F5434"/>
    <mergeCell ref="B5435:F5435"/>
    <mergeCell ref="E5444:F5444"/>
    <mergeCell ref="E5447:F5447"/>
    <mergeCell ref="B5448:F5448"/>
    <mergeCell ref="B5449:D5449"/>
    <mergeCell ref="E5449:F5449"/>
    <mergeCell ref="B5450:F5450"/>
    <mergeCell ref="E5459:F5459"/>
    <mergeCell ref="E5462:F5462"/>
    <mergeCell ref="B5433:F5433"/>
    <mergeCell ref="E5705:F5705"/>
    <mergeCell ref="B5706:F5706"/>
    <mergeCell ref="E5736:F5736"/>
    <mergeCell ref="B5724:F5724"/>
    <mergeCell ref="E5733:F5733"/>
    <mergeCell ref="B5707:D5707"/>
    <mergeCell ref="E5707:F5707"/>
    <mergeCell ref="E5571:F5571"/>
    <mergeCell ref="E5576:F5576"/>
    <mergeCell ref="B5607:F5607"/>
    <mergeCell ref="B5577:F5577"/>
    <mergeCell ref="B5578:D5578"/>
    <mergeCell ref="E5578:F5578"/>
    <mergeCell ref="B5579:F5579"/>
    <mergeCell ref="E5586:F5586"/>
    <mergeCell ref="E5589:F5589"/>
    <mergeCell ref="B5590:F5590"/>
    <mergeCell ref="B5591:D5591"/>
    <mergeCell ref="E5591:F5591"/>
    <mergeCell ref="B5592:F5592"/>
    <mergeCell ref="E5601:F5601"/>
    <mergeCell ref="E5606:F5606"/>
    <mergeCell ref="B5642:D5642"/>
    <mergeCell ref="E5642:F5642"/>
    <mergeCell ref="B5608:D5608"/>
    <mergeCell ref="E5608:F5608"/>
    <mergeCell ref="E5635:F5635"/>
    <mergeCell ref="E5640:F5640"/>
    <mergeCell ref="B5641:F5641"/>
    <mergeCell ref="E5669:F5669"/>
    <mergeCell ref="E5673:F5673"/>
    <mergeCell ref="B5674:F5674"/>
    <mergeCell ref="B5675:D5675"/>
    <mergeCell ref="E5675:F5675"/>
    <mergeCell ref="B5676:F5676"/>
    <mergeCell ref="B5609:F5609"/>
    <mergeCell ref="E5618:F5618"/>
    <mergeCell ref="E5623:F5623"/>
    <mergeCell ref="B5624:F5624"/>
    <mergeCell ref="B5625:D5625"/>
    <mergeCell ref="E5625:F5625"/>
    <mergeCell ref="B5626:F5626"/>
    <mergeCell ref="E5659:F5659"/>
    <mergeCell ref="B5660:F5660"/>
    <mergeCell ref="B5658:F5658"/>
    <mergeCell ref="B5659:D5659"/>
    <mergeCell ref="B5643:F5643"/>
    <mergeCell ref="E5657:F5657"/>
    <mergeCell ref="E5652:F5652"/>
    <mergeCell ref="E5753:F5753"/>
    <mergeCell ref="E5816:F5816"/>
    <mergeCell ref="B5806:D5806"/>
    <mergeCell ref="E5787:F5787"/>
    <mergeCell ref="B5790:F5790"/>
    <mergeCell ref="E5804:F5804"/>
    <mergeCell ref="B5789:D5789"/>
    <mergeCell ref="E5789:F5789"/>
    <mergeCell ref="E5824:F5824"/>
    <mergeCell ref="E5755:F5755"/>
    <mergeCell ref="E5782:F5782"/>
    <mergeCell ref="E5822:F5822"/>
    <mergeCell ref="B5805:F5805"/>
    <mergeCell ref="E5806:F5806"/>
    <mergeCell ref="E5685:F5685"/>
    <mergeCell ref="E5717:F5717"/>
    <mergeCell ref="E5721:F5721"/>
    <mergeCell ref="B5739:F5739"/>
    <mergeCell ref="E5690:F5690"/>
    <mergeCell ref="B5691:F5691"/>
    <mergeCell ref="E5700:F5700"/>
    <mergeCell ref="B5708:F5708"/>
    <mergeCell ref="E5723:F5723"/>
    <mergeCell ref="B5722:F5722"/>
    <mergeCell ref="B5723:D5723"/>
    <mergeCell ref="E5688:F5688"/>
    <mergeCell ref="B5689:F5689"/>
    <mergeCell ref="B5690:D5690"/>
    <mergeCell ref="B5737:F5737"/>
    <mergeCell ref="B5738:D5738"/>
    <mergeCell ref="E5738:F5738"/>
    <mergeCell ref="E5748:F5748"/>
    <mergeCell ref="B6032:F6032"/>
    <mergeCell ref="B6066:F6066"/>
    <mergeCell ref="B6014:F6014"/>
    <mergeCell ref="E6075:F6075"/>
    <mergeCell ref="E6082:F6082"/>
    <mergeCell ref="B6083:F6083"/>
    <mergeCell ref="B6084:D6084"/>
    <mergeCell ref="E6084:F6084"/>
    <mergeCell ref="B6085:F6085"/>
    <mergeCell ref="B5788:F5788"/>
    <mergeCell ref="B5771:F5771"/>
    <mergeCell ref="B5807:F5807"/>
    <mergeCell ref="B5773:F5773"/>
    <mergeCell ref="B5754:F5754"/>
    <mergeCell ref="B5755:D5755"/>
    <mergeCell ref="B5823:F5823"/>
    <mergeCell ref="B5824:D5824"/>
    <mergeCell ref="E5766:F5766"/>
    <mergeCell ref="E5770:F5770"/>
    <mergeCell ref="B5772:D5772"/>
    <mergeCell ref="E5772:F5772"/>
    <mergeCell ref="E5853:F5853"/>
    <mergeCell ref="E5858:F5858"/>
    <mergeCell ref="B5825:F5825"/>
    <mergeCell ref="B5859:F5859"/>
    <mergeCell ref="B5860:D5860"/>
    <mergeCell ref="E5860:F5860"/>
    <mergeCell ref="E5834:F5834"/>
    <mergeCell ref="E5841:F5841"/>
    <mergeCell ref="B5842:F5842"/>
    <mergeCell ref="B5843:D5843"/>
    <mergeCell ref="B5880:F5880"/>
    <mergeCell ref="E6151:F6151"/>
    <mergeCell ref="B6152:F6152"/>
    <mergeCell ref="B6153:D6153"/>
    <mergeCell ref="E6153:F6153"/>
    <mergeCell ref="B6154:F6154"/>
    <mergeCell ref="E6163:F6163"/>
    <mergeCell ref="B6281:F6281"/>
    <mergeCell ref="E6290:F6290"/>
    <mergeCell ref="E6294:F6294"/>
    <mergeCell ref="B6265:F6265"/>
    <mergeCell ref="E6274:F6274"/>
    <mergeCell ref="E6278:F6278"/>
    <mergeCell ref="E5877:F5877"/>
    <mergeCell ref="B5878:F5878"/>
    <mergeCell ref="B5879:D5879"/>
    <mergeCell ref="E5879:F5879"/>
    <mergeCell ref="B5911:F5911"/>
    <mergeCell ref="B5912:D5912"/>
    <mergeCell ref="E5912:F5912"/>
    <mergeCell ref="B5913:F5913"/>
    <mergeCell ref="E5938:F5938"/>
    <mergeCell ref="E5922:F5922"/>
    <mergeCell ref="B5979:D5979"/>
    <mergeCell ref="B5996:F5996"/>
    <mergeCell ref="B5997:D5997"/>
    <mergeCell ref="E6117:F6117"/>
    <mergeCell ref="E6065:F6065"/>
    <mergeCell ref="E6059:F6059"/>
    <mergeCell ref="E6063:F6063"/>
    <mergeCell ref="B6033:D6033"/>
    <mergeCell ref="E6033:F6033"/>
    <mergeCell ref="B6034:F6034"/>
    <mergeCell ref="B6279:F6279"/>
    <mergeCell ref="B6280:D6280"/>
    <mergeCell ref="E6280:F6280"/>
    <mergeCell ref="B6439:F6439"/>
    <mergeCell ref="B6360:D6360"/>
    <mergeCell ref="E6360:F6360"/>
    <mergeCell ref="B6295:F6295"/>
    <mergeCell ref="B6296:D6296"/>
    <mergeCell ref="E6296:F6296"/>
    <mergeCell ref="B6297:F6297"/>
    <mergeCell ref="E6306:F6306"/>
    <mergeCell ref="E6310:F6310"/>
    <mergeCell ref="B6311:F6311"/>
    <mergeCell ref="E6328:F6328"/>
    <mergeCell ref="E6166:F6166"/>
    <mergeCell ref="B6167:F6167"/>
    <mergeCell ref="B6168:D6168"/>
    <mergeCell ref="E6168:F6168"/>
    <mergeCell ref="B6169:F6169"/>
    <mergeCell ref="E6482:F6482"/>
    <mergeCell ref="E6486:F6486"/>
    <mergeCell ref="B6487:F6487"/>
    <mergeCell ref="B6488:D6488"/>
    <mergeCell ref="E6488:F6488"/>
    <mergeCell ref="E6344:F6344"/>
    <mergeCell ref="B6345:F6345"/>
    <mergeCell ref="E6354:F6354"/>
    <mergeCell ref="E6358:F6358"/>
    <mergeCell ref="B6456:D6456"/>
    <mergeCell ref="E6456:F6456"/>
    <mergeCell ref="B6457:F6457"/>
    <mergeCell ref="E6450:F6450"/>
    <mergeCell ref="E6454:F6454"/>
    <mergeCell ref="B6393:F6393"/>
    <mergeCell ref="B6376:D6376"/>
    <mergeCell ref="E6376:F6376"/>
    <mergeCell ref="B6377:F6377"/>
    <mergeCell ref="E6386:F6386"/>
    <mergeCell ref="E6390:F6390"/>
    <mergeCell ref="B6391:F6391"/>
    <mergeCell ref="B6392:D6392"/>
    <mergeCell ref="E6392:F6392"/>
    <mergeCell ref="E6424:F6424"/>
    <mergeCell ref="B6425:F6425"/>
    <mergeCell ref="E6685:F6685"/>
    <mergeCell ref="E6691:F6691"/>
    <mergeCell ref="B6692:F6692"/>
    <mergeCell ref="B6693:D6693"/>
    <mergeCell ref="E6693:F6693"/>
    <mergeCell ref="E6466:F6466"/>
    <mergeCell ref="E6470:F6470"/>
    <mergeCell ref="B6471:F6471"/>
    <mergeCell ref="B6472:D6472"/>
    <mergeCell ref="E6472:F6472"/>
    <mergeCell ref="B6539:D6539"/>
    <mergeCell ref="B6557:F6557"/>
    <mergeCell ref="E6566:F6566"/>
    <mergeCell ref="B6591:F6591"/>
    <mergeCell ref="E6600:F6600"/>
    <mergeCell ref="E6605:F6605"/>
    <mergeCell ref="B6522:D6522"/>
    <mergeCell ref="E6522:F6522"/>
    <mergeCell ref="B6523:F6523"/>
    <mergeCell ref="B6540:F6540"/>
    <mergeCell ref="B6506:F6506"/>
    <mergeCell ref="E6549:F6549"/>
    <mergeCell ref="E6554:F6554"/>
    <mergeCell ref="B6572:F6572"/>
    <mergeCell ref="B6573:D6573"/>
    <mergeCell ref="E6573:F6573"/>
    <mergeCell ref="E6537:F6537"/>
    <mergeCell ref="B6538:F6538"/>
    <mergeCell ref="B6589:F6589"/>
    <mergeCell ref="B6590:D6590"/>
    <mergeCell ref="E6590:F6590"/>
    <mergeCell ref="E6571:F6571"/>
    <mergeCell ref="B6711:D6711"/>
    <mergeCell ref="E6711:F6711"/>
    <mergeCell ref="B6712:F6712"/>
    <mergeCell ref="B6606:F6606"/>
    <mergeCell ref="B6607:D6607"/>
    <mergeCell ref="E6607:F6607"/>
    <mergeCell ref="B6674:F6674"/>
    <mergeCell ref="E6641:F6641"/>
    <mergeCell ref="B6642:F6642"/>
    <mergeCell ref="B6676:F6676"/>
    <mergeCell ref="B6608:F6608"/>
    <mergeCell ref="E6617:F6617"/>
    <mergeCell ref="E6622:F6622"/>
    <mergeCell ref="B6623:F6623"/>
    <mergeCell ref="B6657:F6657"/>
    <mergeCell ref="B6658:D6658"/>
    <mergeCell ref="B6730:F6730"/>
    <mergeCell ref="E6658:F6658"/>
    <mergeCell ref="B6659:F6659"/>
    <mergeCell ref="E6668:F6668"/>
    <mergeCell ref="E6673:F6673"/>
    <mergeCell ref="E6639:F6639"/>
    <mergeCell ref="B6640:F6640"/>
    <mergeCell ref="B6625:F6625"/>
    <mergeCell ref="E6634:F6634"/>
    <mergeCell ref="B6641:D6641"/>
    <mergeCell ref="B6624:D6624"/>
    <mergeCell ref="E6624:F6624"/>
    <mergeCell ref="B6694:F6694"/>
    <mergeCell ref="E6703:F6703"/>
    <mergeCell ref="E6709:F6709"/>
    <mergeCell ref="B6710:F6710"/>
    <mergeCell ref="E8758:G8758"/>
    <mergeCell ref="E8748:G8748"/>
    <mergeCell ref="E6722:F6722"/>
    <mergeCell ref="E6726:F6726"/>
    <mergeCell ref="B6732:F6732"/>
    <mergeCell ref="B8744:G8744"/>
    <mergeCell ref="B6675:D6675"/>
    <mergeCell ref="E6675:F6675"/>
    <mergeCell ref="E6651:F6651"/>
    <mergeCell ref="E6656:F6656"/>
    <mergeCell ref="B6731:D6731"/>
    <mergeCell ref="E6731:F6731"/>
    <mergeCell ref="E8747:G8747"/>
    <mergeCell ref="E8749:G8749"/>
    <mergeCell ref="E8756:G8756"/>
    <mergeCell ref="E8757:G8757"/>
    <mergeCell ref="E6769:F6769"/>
    <mergeCell ref="B6770:F6770"/>
    <mergeCell ref="E6779:F6779"/>
    <mergeCell ref="E6783:F6783"/>
    <mergeCell ref="E6786:F6786"/>
    <mergeCell ref="B6787:F6787"/>
    <mergeCell ref="B6788:D6788"/>
    <mergeCell ref="B6749:F6749"/>
    <mergeCell ref="E6729:F6729"/>
    <mergeCell ref="B6750:D6750"/>
    <mergeCell ref="E6750:F6750"/>
    <mergeCell ref="B6751:F6751"/>
    <mergeCell ref="E6760:F6760"/>
    <mergeCell ref="E6764:F6764"/>
    <mergeCell ref="E6767:F6767"/>
    <mergeCell ref="B6768:F6768"/>
    <mergeCell ref="E6881:F6881"/>
    <mergeCell ref="E6788:F6788"/>
    <mergeCell ref="B6789:F6789"/>
    <mergeCell ref="E6798:F6798"/>
    <mergeCell ref="E6802:F6802"/>
    <mergeCell ref="E6805:F6805"/>
    <mergeCell ref="B6806:F6806"/>
    <mergeCell ref="B6807:D6807"/>
    <mergeCell ref="E6807:F6807"/>
    <mergeCell ref="B6808:F6808"/>
    <mergeCell ref="E6817:F6817"/>
    <mergeCell ref="E6821:F6821"/>
    <mergeCell ref="E6824:F6824"/>
    <mergeCell ref="B6825:F6825"/>
    <mergeCell ref="B6826:D6826"/>
    <mergeCell ref="E6826:F6826"/>
    <mergeCell ref="E6843:F6843"/>
    <mergeCell ref="B6844:F6844"/>
    <mergeCell ref="B6845:D6845"/>
    <mergeCell ref="E6845:F6845"/>
    <mergeCell ref="B6846:F6846"/>
    <mergeCell ref="E6855:F6855"/>
    <mergeCell ref="E6859:F6859"/>
    <mergeCell ref="E6862:F6862"/>
    <mergeCell ref="B6863:F6863"/>
    <mergeCell ref="B6864:D6864"/>
    <mergeCell ref="E6864:F6864"/>
    <mergeCell ref="B3563:F3563"/>
    <mergeCell ref="B3564:D3564"/>
    <mergeCell ref="E3564:F3564"/>
    <mergeCell ref="E6230:F6230"/>
    <mergeCell ref="B6231:F6231"/>
    <mergeCell ref="B6232:D6232"/>
    <mergeCell ref="E6232:F6232"/>
    <mergeCell ref="B6233:F6233"/>
    <mergeCell ref="E6242:F6242"/>
    <mergeCell ref="E3756:F3756"/>
    <mergeCell ref="E3761:F3761"/>
    <mergeCell ref="B3762:F3762"/>
    <mergeCell ref="B3763:D3763"/>
    <mergeCell ref="E3763:F3763"/>
    <mergeCell ref="B3764:F3764"/>
    <mergeCell ref="E3773:F3773"/>
    <mergeCell ref="E3778:F3778"/>
    <mergeCell ref="B3779:F3779"/>
    <mergeCell ref="B6200:D6200"/>
    <mergeCell ref="E6200:F6200"/>
    <mergeCell ref="B6201:F6201"/>
    <mergeCell ref="B6118:F6118"/>
    <mergeCell ref="B6119:D6119"/>
    <mergeCell ref="E6119:F6119"/>
    <mergeCell ref="B6120:F6120"/>
    <mergeCell ref="E6129:F6129"/>
    <mergeCell ref="E6133:F6133"/>
    <mergeCell ref="B6134:F6134"/>
    <mergeCell ref="B6135:D6135"/>
    <mergeCell ref="E6135:F6135"/>
    <mergeCell ref="B6101:F6101"/>
    <mergeCell ref="E6110:F6110"/>
    <mergeCell ref="E6583:F6583"/>
    <mergeCell ref="E6588:F6588"/>
    <mergeCell ref="B6574:F6574"/>
    <mergeCell ref="B6555:F6555"/>
    <mergeCell ref="B3579:F3579"/>
    <mergeCell ref="B3580:D3580"/>
    <mergeCell ref="E3580:F3580"/>
    <mergeCell ref="E6402:F6402"/>
    <mergeCell ref="E6406:F6406"/>
    <mergeCell ref="E6408:F6408"/>
    <mergeCell ref="B6409:F6409"/>
    <mergeCell ref="E6505:F6505"/>
    <mergeCell ref="E6539:F6539"/>
    <mergeCell ref="E6532:F6532"/>
    <mergeCell ref="B6312:D6312"/>
    <mergeCell ref="E6312:F6312"/>
    <mergeCell ref="B6313:F6313"/>
    <mergeCell ref="E6322:F6322"/>
    <mergeCell ref="E6326:F6326"/>
    <mergeCell ref="B6327:F6327"/>
    <mergeCell ref="B6328:D6328"/>
    <mergeCell ref="B6505:D6505"/>
    <mergeCell ref="E6434:F6434"/>
    <mergeCell ref="E6438:F6438"/>
    <mergeCell ref="B6359:F6359"/>
    <mergeCell ref="B6473:F6473"/>
    <mergeCell ref="E6422:F6422"/>
    <mergeCell ref="B6423:F6423"/>
    <mergeCell ref="B6424:D6424"/>
    <mergeCell ref="B6440:D6440"/>
    <mergeCell ref="E6440:F6440"/>
    <mergeCell ref="B6441:F6441"/>
    <mergeCell ref="B3491:F3491"/>
    <mergeCell ref="E3606:F3606"/>
    <mergeCell ref="E3610:F3610"/>
    <mergeCell ref="B3611:F3611"/>
    <mergeCell ref="E3522:F3522"/>
    <mergeCell ref="E3574:F3574"/>
    <mergeCell ref="E3578:F3578"/>
    <mergeCell ref="B3547:D3547"/>
    <mergeCell ref="E3547:F3547"/>
    <mergeCell ref="B3548:F3548"/>
    <mergeCell ref="E3557:F3557"/>
    <mergeCell ref="B3531:F3531"/>
    <mergeCell ref="E3540:F3540"/>
    <mergeCell ref="E3545:F3545"/>
    <mergeCell ref="B3546:F3546"/>
    <mergeCell ref="B6556:D6556"/>
    <mergeCell ref="E6556:F6556"/>
    <mergeCell ref="E6214:F6214"/>
    <mergeCell ref="B6215:F6215"/>
    <mergeCell ref="B6216:D6216"/>
    <mergeCell ref="E6216:F6216"/>
    <mergeCell ref="B6217:F6217"/>
    <mergeCell ref="E6226:F6226"/>
    <mergeCell ref="B6489:F6489"/>
    <mergeCell ref="E6498:F6498"/>
    <mergeCell ref="E6503:F6503"/>
    <mergeCell ref="B6504:F6504"/>
    <mergeCell ref="B6329:F6329"/>
    <mergeCell ref="E6338:F6338"/>
    <mergeCell ref="E6342:F6342"/>
    <mergeCell ref="B6343:F6343"/>
    <mergeCell ref="B6344:D6344"/>
    <mergeCell ref="E1141:F1141"/>
    <mergeCell ref="B1143:F1143"/>
    <mergeCell ref="B1144:D1144"/>
    <mergeCell ref="E1144:F1144"/>
    <mergeCell ref="B1145:F1145"/>
    <mergeCell ref="E6418:F6418"/>
    <mergeCell ref="B6407:F6407"/>
    <mergeCell ref="B6408:D6408"/>
    <mergeCell ref="E6370:F6370"/>
    <mergeCell ref="E6374:F6374"/>
    <mergeCell ref="B6375:F6375"/>
    <mergeCell ref="B6263:F6263"/>
    <mergeCell ref="B6264:D6264"/>
    <mergeCell ref="E6264:F6264"/>
    <mergeCell ref="B6361:F6361"/>
    <mergeCell ref="B6247:F6247"/>
    <mergeCell ref="B6248:D6248"/>
    <mergeCell ref="E6248:F6248"/>
    <mergeCell ref="B6249:F6249"/>
    <mergeCell ref="E6210:F6210"/>
    <mergeCell ref="B3471:F3471"/>
    <mergeCell ref="B3472:D3472"/>
    <mergeCell ref="E3472:F3472"/>
    <mergeCell ref="B3473:F3473"/>
    <mergeCell ref="E3482:F3482"/>
    <mergeCell ref="E3488:F3488"/>
    <mergeCell ref="B3489:F3489"/>
    <mergeCell ref="B3490:D3490"/>
    <mergeCell ref="E3490:F3490"/>
    <mergeCell ref="B3780:D3780"/>
    <mergeCell ref="E3780:F3780"/>
    <mergeCell ref="B3781:F3781"/>
    <mergeCell ref="E8750:G8751"/>
    <mergeCell ref="B7666:F7666"/>
    <mergeCell ref="E3625:F3625"/>
    <mergeCell ref="E8448:F8448"/>
    <mergeCell ref="E8453:F8453"/>
    <mergeCell ref="B8454:F8454"/>
    <mergeCell ref="B8455:D8455"/>
    <mergeCell ref="E8455:F8455"/>
    <mergeCell ref="B8456:F8456"/>
    <mergeCell ref="E8465:F8465"/>
    <mergeCell ref="E8470:F8470"/>
    <mergeCell ref="B8471:F8471"/>
    <mergeCell ref="B8472:D8472"/>
    <mergeCell ref="E8472:F8472"/>
    <mergeCell ref="B8473:F8473"/>
    <mergeCell ref="E8482:F8482"/>
    <mergeCell ref="E8487:F8487"/>
    <mergeCell ref="B8488:F8488"/>
    <mergeCell ref="B6769:D6769"/>
    <mergeCell ref="B6827:F6827"/>
    <mergeCell ref="E6741:F6741"/>
    <mergeCell ref="E6745:F6745"/>
    <mergeCell ref="E6748:F6748"/>
    <mergeCell ref="B6865:F6865"/>
    <mergeCell ref="E6874:F6874"/>
    <mergeCell ref="E6878:F6878"/>
    <mergeCell ref="E6246:F6246"/>
    <mergeCell ref="B8743:G8743"/>
    <mergeCell ref="B6455:F6455"/>
    <mergeCell ref="E6515:F6515"/>
    <mergeCell ref="E6520:F6520"/>
    <mergeCell ref="B6521:F6521"/>
  </mergeCells>
  <pageMargins left="0.56000000000000005" right="0.15" top="0.47244094488188981" bottom="0.35433070866141736" header="0.31496062992125984" footer="0.31496062992125984"/>
  <pageSetup paperSize="10000" scale="90" orientation="portrait" horizontalDpi="4294967294" verticalDpi="360" r:id="rId1"/>
  <rowBreaks count="136" manualBreakCount="136">
    <brk id="66" max="6" man="1"/>
    <brk id="130" max="6" man="1"/>
    <brk id="201" max="6" man="1"/>
    <brk id="271" max="6" man="1"/>
    <brk id="339" max="6" man="1"/>
    <brk id="399" max="6" man="1"/>
    <brk id="480" max="6" man="1"/>
    <brk id="549" max="6" man="1"/>
    <brk id="620" max="6" man="1"/>
    <brk id="677" max="6" man="1"/>
    <brk id="748" max="6" man="1"/>
    <brk id="803" max="6" man="1"/>
    <brk id="872" max="6" man="1"/>
    <brk id="936" max="6" man="1"/>
    <brk id="1005" max="6" man="1"/>
    <brk id="1064" max="6" man="1"/>
    <brk id="1125" max="6" man="1"/>
    <brk id="1166" max="6" man="1"/>
    <brk id="1223" max="6" man="1"/>
    <brk id="1288" max="6" man="1"/>
    <brk id="1342" max="6" man="1"/>
    <brk id="1412" max="6" man="1"/>
    <brk id="1482" max="6" man="1"/>
    <brk id="1542" max="6" man="1"/>
    <brk id="1603" max="6" man="1"/>
    <brk id="1660" max="6" man="1"/>
    <brk id="1722" max="6" man="1"/>
    <brk id="1793" max="6" man="1"/>
    <brk id="1854" max="6" man="1"/>
    <brk id="1922" max="6" man="1"/>
    <brk id="1985" max="6" man="1"/>
    <brk id="2052" max="6" man="1"/>
    <brk id="2119" max="6" man="1"/>
    <brk id="2188" max="6" man="1"/>
    <brk id="2257" max="6" man="1"/>
    <brk id="2325" max="6" man="1"/>
    <brk id="2396" max="6" man="1"/>
    <brk id="2467" max="6" man="1"/>
    <brk id="2532" max="6" man="1"/>
    <brk id="2596" max="6" man="1"/>
    <brk id="2660" max="6" man="1"/>
    <brk id="2724" max="6" man="1"/>
    <brk id="2786" max="6" man="1"/>
    <brk id="2851" max="6" man="1"/>
    <brk id="2921" max="6" man="1"/>
    <brk id="2992" max="6" man="1"/>
    <brk id="3047" max="6" man="1"/>
    <brk id="3118" max="6" man="1"/>
    <brk id="3173" max="6" man="1"/>
    <brk id="3244" max="6" man="1"/>
    <brk id="3299" max="6" man="1"/>
    <brk id="3368" max="6" man="1"/>
    <brk id="3438" max="6" man="1"/>
    <brk id="3492" max="6" man="1"/>
    <brk id="3549" max="6" man="1"/>
    <brk id="3614" max="6" man="1"/>
    <brk id="3680" max="6" man="1"/>
    <brk id="3782" max="6" man="1"/>
    <brk id="3847" max="6" man="1"/>
    <brk id="3911" max="6" man="1"/>
    <brk id="3994" max="6" man="1"/>
    <brk id="4058" max="6" man="1"/>
    <brk id="4123" max="6" man="1"/>
    <brk id="4189" max="6" man="1"/>
    <brk id="4253" max="6" man="1"/>
    <brk id="4320" max="6" man="1"/>
    <brk id="4385" max="6" man="1"/>
    <brk id="4451" max="6" man="1"/>
    <brk id="4515" max="6" man="1"/>
    <brk id="4583" max="6" man="1"/>
    <brk id="4654" max="6" man="1"/>
    <brk id="4722" max="6" man="1"/>
    <brk id="4787" max="6" man="1"/>
    <brk id="4851" max="6" man="1"/>
    <brk id="4915" max="6" man="1"/>
    <brk id="4979" max="6" man="1"/>
    <brk id="5049" max="6" man="1"/>
    <brk id="5116" max="6" man="1"/>
    <brk id="5177" max="6" man="1"/>
    <brk id="5237" max="6" man="1"/>
    <brk id="5297" max="6" man="1"/>
    <brk id="5357" max="6" man="1"/>
    <brk id="5420" max="6" man="1"/>
    <brk id="5480" max="6" man="1"/>
    <brk id="5548" max="6" man="1"/>
    <brk id="5610" max="6" man="1"/>
    <brk id="5677" max="6" man="1"/>
    <brk id="5740" max="6" man="1"/>
    <brk id="5808" max="6" man="1"/>
    <brk id="5862" max="6" man="1"/>
    <brk id="5930" max="6" man="1"/>
    <brk id="5999" max="6" man="1"/>
    <brk id="6067" max="6" man="1"/>
    <brk id="6137" max="6" man="1"/>
    <brk id="6202" max="6" man="1"/>
    <brk id="6266" max="6" man="1"/>
    <brk id="6330" max="6" man="1"/>
    <brk id="6394" max="6" man="1"/>
    <brk id="6458" max="6" man="1"/>
    <brk id="6524" max="6" man="1"/>
    <brk id="6592" max="6" man="1"/>
    <brk id="6660" max="6" man="1"/>
    <brk id="6713" max="6" man="1"/>
    <brk id="6771" max="6" man="1"/>
    <brk id="6828" max="6" man="1"/>
    <brk id="6885" max="6" man="1"/>
    <brk id="6942" max="6" man="1"/>
    <brk id="7013" max="6" man="1"/>
    <brk id="7072" max="6" man="1"/>
    <brk id="7129" max="6" man="1"/>
    <brk id="7183" max="6" man="1"/>
    <brk id="7237" max="6" man="1"/>
    <brk id="7308" max="6" man="1"/>
    <brk id="7363" max="6" man="1"/>
    <brk id="7417" max="6" man="1"/>
    <brk id="7485" max="6" man="1"/>
    <brk id="7553" max="6" man="1"/>
    <brk id="7617" max="6" man="1"/>
    <brk id="7667" max="6" man="1"/>
    <brk id="7731" max="6" man="1"/>
    <brk id="7785" max="6" man="1"/>
    <brk id="7851" max="6" man="1"/>
    <brk id="7912" max="6" man="1"/>
    <brk id="7972" max="6" man="1"/>
    <brk id="8028" max="6" man="1"/>
    <brk id="8083" max="6" man="1"/>
    <brk id="8154" max="6" man="1"/>
    <brk id="8195" max="6" man="1"/>
    <brk id="8233" max="6" man="1"/>
    <brk id="8302" max="6" man="1"/>
    <brk id="8372" max="6" man="1"/>
    <brk id="8440" max="6" man="1"/>
    <brk id="8508" max="6" man="1"/>
    <brk id="8572" max="6" man="1"/>
    <brk id="8636" max="6" man="1"/>
    <brk id="8682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9" t="s">
        <v>2166</v>
      </c>
    </row>
    <row r="2" spans="1:7">
      <c r="A2" s="70"/>
    </row>
    <row r="3" spans="1:7">
      <c r="A3" s="64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2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1332" t="s">
        <v>685</v>
      </c>
      <c r="F11" s="1332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2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3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3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12" customHeight="1">
      <c r="A24" s="64" t="s">
        <v>2168</v>
      </c>
      <c r="B24" s="30"/>
      <c r="C24" s="30"/>
      <c r="D24" s="30"/>
      <c r="E24" s="30"/>
      <c r="F24" s="30"/>
      <c r="G24" s="28"/>
    </row>
    <row r="25" spans="1:7" ht="12" customHeight="1">
      <c r="A25" s="26"/>
      <c r="B25" s="30"/>
      <c r="C25" s="30"/>
      <c r="D25" s="30"/>
      <c r="E25" s="30"/>
      <c r="F25" s="30"/>
      <c r="G25" s="28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2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2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11:F11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4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5.75" customHeight="1">
      <c r="A22" s="64" t="s">
        <v>2170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2172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2174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2176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2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2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2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.28515625" customWidth="1"/>
    <col min="5" max="6" width="14.42578125" customWidth="1"/>
    <col min="7" max="7" width="16.5703125" customWidth="1"/>
  </cols>
  <sheetData>
    <row r="1" spans="1:7">
      <c r="A1" s="64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2178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2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2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2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9"/>
  <dimension ref="A1:G41"/>
  <sheetViews>
    <sheetView topLeftCell="A16"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0"/>
  <dimension ref="A1:G41"/>
  <sheetViews>
    <sheetView topLeftCell="A22" workbookViewId="0">
      <selection activeCell="B52" sqref="B5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7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1.85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1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22" customWidth="1"/>
    <col min="6" max="6" width="14.42578125" customWidth="1"/>
    <col min="7" max="7" width="16.5703125" customWidth="1"/>
  </cols>
  <sheetData>
    <row r="1" spans="1:7">
      <c r="A1" s="64" t="s">
        <v>2182</v>
      </c>
    </row>
    <row r="3" spans="1:7" ht="35.1" customHeight="1">
      <c r="A3" s="18" t="s">
        <v>1003</v>
      </c>
      <c r="B3" s="1" t="s">
        <v>1004</v>
      </c>
      <c r="C3" s="116" t="s">
        <v>1005</v>
      </c>
      <c r="D3" s="155" t="s">
        <v>1006</v>
      </c>
      <c r="E3" s="155" t="s">
        <v>1007</v>
      </c>
      <c r="F3" s="135" t="s">
        <v>767</v>
      </c>
      <c r="G3" s="7" t="s">
        <v>768</v>
      </c>
    </row>
    <row r="4" spans="1:7" ht="12" customHeight="1">
      <c r="A4" s="3" t="s">
        <v>671</v>
      </c>
      <c r="B4" s="110" t="s">
        <v>672</v>
      </c>
      <c r="C4" s="109"/>
      <c r="D4" s="130"/>
      <c r="E4" s="130"/>
      <c r="F4" s="131"/>
      <c r="G4" s="5"/>
    </row>
    <row r="5" spans="1:7" ht="15" customHeight="1">
      <c r="A5" s="5"/>
      <c r="B5" s="117" t="s">
        <v>673</v>
      </c>
      <c r="C5" s="110" t="s">
        <v>674</v>
      </c>
      <c r="D5" s="141" t="s">
        <v>675</v>
      </c>
      <c r="E5" s="156" t="s">
        <v>676</v>
      </c>
      <c r="F5" s="131"/>
      <c r="G5" s="5"/>
    </row>
    <row r="6" spans="1:7" ht="15.2" customHeight="1">
      <c r="A6" s="5"/>
      <c r="B6" s="117" t="s">
        <v>816</v>
      </c>
      <c r="C6" s="110" t="s">
        <v>681</v>
      </c>
      <c r="D6" s="141" t="s">
        <v>675</v>
      </c>
      <c r="E6" s="156" t="s">
        <v>679</v>
      </c>
      <c r="F6" s="131"/>
      <c r="G6" s="5"/>
    </row>
    <row r="7" spans="1:7" ht="15" customHeight="1">
      <c r="A7" s="5"/>
      <c r="B7" s="117" t="s">
        <v>680</v>
      </c>
      <c r="C7" s="110" t="s">
        <v>681</v>
      </c>
      <c r="D7" s="141" t="s">
        <v>675</v>
      </c>
      <c r="E7" s="156" t="s">
        <v>682</v>
      </c>
      <c r="F7" s="131"/>
      <c r="G7" s="5"/>
    </row>
    <row r="8" spans="1:7" ht="15.2" customHeight="1">
      <c r="A8" s="5"/>
      <c r="B8" s="117" t="s">
        <v>683</v>
      </c>
      <c r="C8" s="110" t="s">
        <v>684</v>
      </c>
      <c r="D8" s="141" t="s">
        <v>675</v>
      </c>
      <c r="E8" s="156" t="s">
        <v>895</v>
      </c>
      <c r="F8" s="131"/>
      <c r="G8" s="5"/>
    </row>
    <row r="9" spans="1:7" ht="12" customHeight="1">
      <c r="A9" s="5"/>
      <c r="B9" s="109"/>
      <c r="C9" s="109"/>
      <c r="D9" s="130"/>
      <c r="E9" s="141" t="s">
        <v>685</v>
      </c>
      <c r="F9" s="142"/>
      <c r="G9" s="5"/>
    </row>
    <row r="10" spans="1:7" ht="12" customHeight="1">
      <c r="A10" s="3" t="s">
        <v>686</v>
      </c>
      <c r="B10" s="110" t="s">
        <v>687</v>
      </c>
      <c r="C10" s="109"/>
      <c r="D10" s="130"/>
      <c r="E10" s="130"/>
      <c r="F10" s="131"/>
      <c r="G10" s="5"/>
    </row>
    <row r="11" spans="1:7" ht="15" customHeight="1">
      <c r="A11" s="5"/>
      <c r="B11" s="110" t="s">
        <v>1060</v>
      </c>
      <c r="C11" s="109"/>
      <c r="D11" s="141" t="s">
        <v>690</v>
      </c>
      <c r="E11" s="156" t="s">
        <v>1082</v>
      </c>
      <c r="F11" s="131"/>
      <c r="G11" s="5"/>
    </row>
    <row r="12" spans="1:7" ht="15" customHeight="1">
      <c r="A12" s="5"/>
      <c r="B12" s="110" t="s">
        <v>1062</v>
      </c>
      <c r="C12" s="109"/>
      <c r="D12" s="129" t="s">
        <v>692</v>
      </c>
      <c r="E12" s="156" t="s">
        <v>772</v>
      </c>
      <c r="F12" s="131"/>
      <c r="G12" s="5"/>
    </row>
    <row r="13" spans="1:7" ht="12" customHeight="1">
      <c r="A13" s="5"/>
      <c r="B13" s="109"/>
      <c r="C13" s="109"/>
      <c r="D13" s="131"/>
      <c r="E13" s="141" t="s">
        <v>702</v>
      </c>
      <c r="F13" s="142"/>
      <c r="G13" s="5"/>
    </row>
    <row r="14" spans="1:7" ht="12" customHeight="1">
      <c r="A14" s="3" t="s">
        <v>703</v>
      </c>
      <c r="B14" s="110" t="s">
        <v>704</v>
      </c>
      <c r="C14" s="109"/>
      <c r="D14" s="128"/>
      <c r="E14" s="130"/>
      <c r="F14" s="131"/>
      <c r="G14" s="5"/>
    </row>
    <row r="15" spans="1:7" ht="12" customHeight="1">
      <c r="A15" s="5"/>
      <c r="B15" s="109"/>
      <c r="C15" s="109"/>
      <c r="D15" s="128"/>
      <c r="E15" s="130"/>
      <c r="F15" s="131"/>
      <c r="G15" s="5"/>
    </row>
    <row r="16" spans="1:7" ht="12" customHeight="1">
      <c r="A16" s="5"/>
      <c r="B16" s="109"/>
      <c r="C16" s="109"/>
      <c r="D16" s="128"/>
      <c r="E16" s="141" t="s">
        <v>705</v>
      </c>
      <c r="F16" s="142"/>
      <c r="G16" s="5"/>
    </row>
    <row r="17" spans="1:7" ht="12" customHeight="1">
      <c r="A17" s="5"/>
      <c r="B17" s="109"/>
      <c r="C17" s="109"/>
      <c r="D17" s="128"/>
      <c r="E17" s="130"/>
      <c r="F17" s="131"/>
      <c r="G17" s="5"/>
    </row>
    <row r="18" spans="1:7" ht="12" customHeight="1">
      <c r="A18" s="3" t="s">
        <v>706</v>
      </c>
      <c r="B18" s="141" t="s">
        <v>707</v>
      </c>
      <c r="C18" s="147"/>
      <c r="D18" s="147"/>
      <c r="E18" s="147"/>
      <c r="F18" s="142"/>
      <c r="G18" s="5"/>
    </row>
    <row r="19" spans="1:7" ht="12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5"/>
    </row>
    <row r="20" spans="1:7" ht="12" customHeight="1">
      <c r="A20" s="3" t="s">
        <v>711</v>
      </c>
      <c r="B20" s="141" t="s">
        <v>712</v>
      </c>
      <c r="C20" s="147"/>
      <c r="D20" s="147"/>
      <c r="E20" s="147"/>
      <c r="F20" s="142"/>
      <c r="G20" s="5"/>
    </row>
    <row r="21" spans="1:7" ht="12" customHeight="1">
      <c r="A21" s="26"/>
      <c r="B21" s="111"/>
      <c r="C21" s="111"/>
      <c r="D21" s="111"/>
      <c r="E21" s="111"/>
      <c r="F21" s="111"/>
      <c r="G21" s="28"/>
    </row>
    <row r="22" spans="1:7" ht="12" customHeight="1">
      <c r="A22" s="64" t="s">
        <v>2183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55" t="s">
        <v>1005</v>
      </c>
      <c r="D24" s="155" t="s">
        <v>1006</v>
      </c>
      <c r="E24" s="155" t="s">
        <v>1007</v>
      </c>
      <c r="F24" s="113" t="s">
        <v>767</v>
      </c>
      <c r="G24" s="7" t="s">
        <v>768</v>
      </c>
    </row>
    <row r="25" spans="1:7" ht="12" customHeight="1">
      <c r="A25" s="3" t="s">
        <v>671</v>
      </c>
      <c r="B25" s="110" t="s">
        <v>672</v>
      </c>
      <c r="C25" s="130"/>
      <c r="D25" s="130"/>
      <c r="E25" s="130"/>
      <c r="F25" s="109"/>
      <c r="G25" s="5"/>
    </row>
    <row r="26" spans="1:7" ht="15" customHeight="1">
      <c r="A26" s="5"/>
      <c r="B26" s="117" t="s">
        <v>673</v>
      </c>
      <c r="C26" s="141" t="s">
        <v>674</v>
      </c>
      <c r="D26" s="141" t="s">
        <v>675</v>
      </c>
      <c r="E26" s="156" t="s">
        <v>962</v>
      </c>
      <c r="F26" s="109"/>
      <c r="G26" s="5"/>
    </row>
    <row r="27" spans="1:7" ht="15" customHeight="1">
      <c r="A27" s="5"/>
      <c r="B27" s="117" t="s">
        <v>816</v>
      </c>
      <c r="C27" s="141" t="s">
        <v>681</v>
      </c>
      <c r="D27" s="141" t="s">
        <v>675</v>
      </c>
      <c r="E27" s="156" t="s">
        <v>941</v>
      </c>
      <c r="F27" s="109"/>
      <c r="G27" s="5"/>
    </row>
    <row r="28" spans="1:7" ht="15.2" customHeight="1">
      <c r="A28" s="5"/>
      <c r="B28" s="117" t="s">
        <v>680</v>
      </c>
      <c r="C28" s="141" t="s">
        <v>681</v>
      </c>
      <c r="D28" s="141" t="s">
        <v>675</v>
      </c>
      <c r="E28" s="156" t="s">
        <v>895</v>
      </c>
      <c r="F28" s="109"/>
      <c r="G28" s="5"/>
    </row>
    <row r="29" spans="1:7" ht="15" customHeight="1">
      <c r="A29" s="5"/>
      <c r="B29" s="117" t="s">
        <v>683</v>
      </c>
      <c r="C29" s="141" t="s">
        <v>684</v>
      </c>
      <c r="D29" s="141" t="s">
        <v>675</v>
      </c>
      <c r="E29" s="156" t="s">
        <v>895</v>
      </c>
      <c r="F29" s="109"/>
      <c r="G29" s="5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5"/>
    </row>
    <row r="31" spans="1:7" ht="12" customHeight="1">
      <c r="A31" s="3" t="s">
        <v>686</v>
      </c>
      <c r="B31" s="110" t="s">
        <v>687</v>
      </c>
      <c r="C31" s="130"/>
      <c r="D31" s="130"/>
      <c r="E31" s="130"/>
      <c r="F31" s="109"/>
      <c r="G31" s="5"/>
    </row>
    <row r="32" spans="1:7" ht="15" customHeight="1">
      <c r="A32" s="5"/>
      <c r="B32" s="110" t="s">
        <v>1077</v>
      </c>
      <c r="C32" s="130"/>
      <c r="D32" s="129" t="s">
        <v>692</v>
      </c>
      <c r="E32" s="156" t="s">
        <v>695</v>
      </c>
      <c r="F32" s="109"/>
      <c r="G32" s="5"/>
    </row>
    <row r="33" spans="1:7" ht="15.2" customHeight="1">
      <c r="A33" s="5"/>
      <c r="B33" s="110" t="s">
        <v>1075</v>
      </c>
      <c r="C33" s="130"/>
      <c r="D33" s="129" t="s">
        <v>692</v>
      </c>
      <c r="E33" s="156" t="s">
        <v>695</v>
      </c>
      <c r="F33" s="109"/>
      <c r="G33" s="5"/>
    </row>
    <row r="34" spans="1:7" ht="15" customHeight="1">
      <c r="A34" s="5"/>
      <c r="B34" s="110" t="s">
        <v>1076</v>
      </c>
      <c r="C34" s="130"/>
      <c r="D34" s="129" t="s">
        <v>692</v>
      </c>
      <c r="E34" s="156" t="s">
        <v>865</v>
      </c>
      <c r="F34" s="109"/>
      <c r="G34" s="5"/>
    </row>
    <row r="35" spans="1:7" ht="12" customHeight="1">
      <c r="A35" s="5"/>
      <c r="B35" s="109"/>
      <c r="C35" s="127"/>
      <c r="D35" s="130"/>
      <c r="E35" s="141" t="s">
        <v>702</v>
      </c>
      <c r="F35" s="142"/>
      <c r="G35" s="5"/>
    </row>
    <row r="36" spans="1:7" ht="12" customHeight="1">
      <c r="A36" s="3" t="s">
        <v>703</v>
      </c>
      <c r="B36" s="110" t="s">
        <v>704</v>
      </c>
      <c r="C36" s="127"/>
      <c r="D36" s="130"/>
      <c r="E36" s="130"/>
      <c r="F36" s="109"/>
      <c r="G36" s="5"/>
    </row>
    <row r="37" spans="1:7" ht="12" customHeight="1">
      <c r="A37" s="5"/>
      <c r="B37" s="109"/>
      <c r="C37" s="127"/>
      <c r="D37" s="130"/>
      <c r="E37" s="130"/>
      <c r="F37" s="109"/>
      <c r="G37" s="5"/>
    </row>
    <row r="38" spans="1:7" ht="12" customHeight="1">
      <c r="A38" s="5"/>
      <c r="B38" s="109"/>
      <c r="C38" s="127"/>
      <c r="D38" s="130"/>
      <c r="E38" s="141" t="s">
        <v>705</v>
      </c>
      <c r="F38" s="142"/>
      <c r="G38" s="5"/>
    </row>
    <row r="39" spans="1:7" ht="12" customHeight="1">
      <c r="A39" s="5"/>
      <c r="B39" s="109"/>
      <c r="C39" s="127"/>
      <c r="D39" s="130"/>
      <c r="E39" s="130"/>
      <c r="F39" s="109"/>
      <c r="G39" s="5"/>
    </row>
    <row r="40" spans="1:7" ht="12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2" customHeight="1">
      <c r="A41" s="3" t="s">
        <v>708</v>
      </c>
      <c r="B41" s="136" t="s">
        <v>876</v>
      </c>
      <c r="C41" s="137"/>
      <c r="D41" s="137"/>
      <c r="E41" s="141" t="s">
        <v>710</v>
      </c>
      <c r="F41" s="142"/>
      <c r="G41" s="5"/>
    </row>
    <row r="42" spans="1:7" ht="12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2"/>
  <dimension ref="A1:G41"/>
  <sheetViews>
    <sheetView topLeftCell="A31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2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10"/>
  <sheetViews>
    <sheetView view="pageBreakPreview" topLeftCell="A216" zoomScale="115" zoomScaleSheetLayoutView="115" workbookViewId="0">
      <selection activeCell="I73" sqref="I73"/>
    </sheetView>
  </sheetViews>
  <sheetFormatPr defaultColWidth="7.85546875" defaultRowHeight="16.5"/>
  <cols>
    <col min="1" max="1" width="6.85546875" style="785" customWidth="1"/>
    <col min="2" max="2" width="13.85546875" style="452" customWidth="1"/>
    <col min="3" max="3" width="2.28515625" style="452" customWidth="1"/>
    <col min="4" max="4" width="13.7109375" style="452" customWidth="1"/>
    <col min="5" max="5" width="17.140625" style="452" customWidth="1"/>
    <col min="6" max="6" width="16.85546875" style="452" hidden="1" customWidth="1"/>
    <col min="7" max="7" width="6.140625" style="786" hidden="1" customWidth="1"/>
    <col min="8" max="8" width="19.28515625" style="786" customWidth="1"/>
    <col min="9" max="9" width="18.7109375" style="442" customWidth="1"/>
    <col min="10" max="10" width="18.7109375" style="442" hidden="1" customWidth="1"/>
    <col min="11" max="11" width="15.140625" style="785" customWidth="1"/>
    <col min="12" max="12" width="3.7109375" style="452" customWidth="1"/>
    <col min="13" max="13" width="17.7109375" style="452" customWidth="1"/>
    <col min="14" max="19" width="12.7109375" style="505" customWidth="1"/>
    <col min="20" max="33" width="7.85546875" style="452" customWidth="1"/>
    <col min="34" max="16384" width="7.85546875" style="452"/>
  </cols>
  <sheetData>
    <row r="1" spans="1:11">
      <c r="A1" s="1193" t="s">
        <v>4548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</row>
    <row r="2" spans="1:11">
      <c r="A2" s="1193" t="s">
        <v>2898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93"/>
    </row>
    <row r="3" spans="1:11">
      <c r="A3" s="506"/>
      <c r="B3" s="507"/>
      <c r="C3" s="507"/>
      <c r="D3" s="507"/>
      <c r="E3" s="507"/>
      <c r="F3" s="507"/>
      <c r="I3" s="437"/>
      <c r="J3" s="437"/>
    </row>
    <row r="4" spans="1:11">
      <c r="A4" s="506"/>
      <c r="B4" s="507" t="s">
        <v>2899</v>
      </c>
      <c r="C4" s="507"/>
      <c r="D4" s="507"/>
      <c r="E4" s="507" t="s">
        <v>2900</v>
      </c>
      <c r="I4" s="437"/>
      <c r="J4" s="437"/>
    </row>
    <row r="5" spans="1:11">
      <c r="A5" s="506"/>
      <c r="B5" s="507" t="s">
        <v>2901</v>
      </c>
      <c r="C5" s="507"/>
      <c r="D5" s="507"/>
      <c r="E5" s="507" t="s">
        <v>2902</v>
      </c>
      <c r="I5" s="437"/>
      <c r="J5" s="437"/>
    </row>
    <row r="6" spans="1:11">
      <c r="B6" s="507"/>
      <c r="C6" s="507"/>
      <c r="D6" s="507"/>
      <c r="E6" s="507"/>
      <c r="F6" s="507"/>
      <c r="I6" s="437"/>
      <c r="J6" s="437"/>
    </row>
    <row r="7" spans="1:11">
      <c r="A7" s="1194" t="s">
        <v>2903</v>
      </c>
      <c r="B7" s="1196" t="s">
        <v>2904</v>
      </c>
      <c r="C7" s="1197"/>
      <c r="D7" s="1197"/>
      <c r="E7" s="1197"/>
      <c r="F7" s="1198"/>
      <c r="G7" s="1205" t="s">
        <v>2905</v>
      </c>
      <c r="H7" s="1205" t="s">
        <v>2906</v>
      </c>
      <c r="I7" s="1232" t="s">
        <v>2907</v>
      </c>
      <c r="J7" s="1232" t="s">
        <v>2907</v>
      </c>
      <c r="K7" s="1223" t="s">
        <v>2908</v>
      </c>
    </row>
    <row r="8" spans="1:11">
      <c r="A8" s="1195"/>
      <c r="B8" s="1199"/>
      <c r="C8" s="1200"/>
      <c r="D8" s="1200"/>
      <c r="E8" s="1200"/>
      <c r="F8" s="1201"/>
      <c r="G8" s="1206"/>
      <c r="H8" s="1206"/>
      <c r="I8" s="1233"/>
      <c r="J8" s="1233"/>
      <c r="K8" s="1224"/>
    </row>
    <row r="9" spans="1:11">
      <c r="A9" s="1195"/>
      <c r="B9" s="1202"/>
      <c r="C9" s="1203"/>
      <c r="D9" s="1203"/>
      <c r="E9" s="1203"/>
      <c r="F9" s="1204"/>
      <c r="G9" s="1206"/>
      <c r="H9" s="1207"/>
      <c r="I9" s="1234"/>
      <c r="J9" s="1234"/>
      <c r="K9" s="1225"/>
    </row>
    <row r="10" spans="1:11">
      <c r="A10" s="508">
        <v>1</v>
      </c>
      <c r="B10" s="1208">
        <v>2</v>
      </c>
      <c r="C10" s="1209"/>
      <c r="D10" s="1209"/>
      <c r="E10" s="1209"/>
      <c r="F10" s="1210"/>
      <c r="G10" s="509">
        <v>3</v>
      </c>
      <c r="H10" s="509">
        <v>3</v>
      </c>
      <c r="I10" s="438">
        <v>4</v>
      </c>
      <c r="J10" s="438">
        <v>4</v>
      </c>
      <c r="K10" s="508">
        <v>5</v>
      </c>
    </row>
    <row r="11" spans="1:11">
      <c r="A11" s="510"/>
      <c r="B11" s="511"/>
      <c r="C11" s="483"/>
      <c r="D11" s="483"/>
      <c r="E11" s="483"/>
      <c r="F11" s="512"/>
      <c r="G11" s="513"/>
      <c r="H11" s="513"/>
      <c r="I11" s="439"/>
      <c r="J11" s="439"/>
      <c r="K11" s="510"/>
    </row>
    <row r="12" spans="1:11">
      <c r="A12" s="446">
        <v>1</v>
      </c>
      <c r="B12" s="447" t="s">
        <v>2909</v>
      </c>
      <c r="C12" s="448"/>
      <c r="D12" s="448"/>
      <c r="E12" s="448"/>
      <c r="F12" s="449"/>
      <c r="G12" s="451" t="s">
        <v>2910</v>
      </c>
      <c r="H12" s="451" t="s">
        <v>2911</v>
      </c>
      <c r="I12" s="440">
        <v>110000</v>
      </c>
      <c r="J12" s="440"/>
      <c r="K12" s="514">
        <f>I12/8</f>
        <v>13750</v>
      </c>
    </row>
    <row r="13" spans="1:11">
      <c r="A13" s="446">
        <v>2</v>
      </c>
      <c r="B13" s="447" t="s">
        <v>3422</v>
      </c>
      <c r="C13" s="448"/>
      <c r="D13" s="448"/>
      <c r="E13" s="448"/>
      <c r="F13" s="449"/>
      <c r="G13" s="451" t="s">
        <v>2912</v>
      </c>
      <c r="H13" s="451" t="s">
        <v>2911</v>
      </c>
      <c r="I13" s="440">
        <v>140000</v>
      </c>
      <c r="J13" s="440"/>
      <c r="K13" s="514">
        <f t="shared" ref="K13:K20" si="0">I13/8</f>
        <v>17500</v>
      </c>
    </row>
    <row r="14" spans="1:11">
      <c r="A14" s="446">
        <v>3</v>
      </c>
      <c r="B14" s="447" t="s">
        <v>683</v>
      </c>
      <c r="C14" s="448"/>
      <c r="D14" s="448"/>
      <c r="E14" s="448"/>
      <c r="F14" s="515"/>
      <c r="G14" s="451" t="s">
        <v>2913</v>
      </c>
      <c r="H14" s="451" t="s">
        <v>2911</v>
      </c>
      <c r="I14" s="440">
        <v>140000</v>
      </c>
      <c r="J14" s="440"/>
      <c r="K14" s="514">
        <f t="shared" si="0"/>
        <v>17500</v>
      </c>
    </row>
    <row r="15" spans="1:11">
      <c r="A15" s="446">
        <v>4</v>
      </c>
      <c r="B15" s="447" t="s">
        <v>680</v>
      </c>
      <c r="C15" s="448"/>
      <c r="D15" s="448"/>
      <c r="E15" s="448"/>
      <c r="F15" s="449"/>
      <c r="G15" s="451" t="s">
        <v>2914</v>
      </c>
      <c r="H15" s="451" t="s">
        <v>2911</v>
      </c>
      <c r="I15" s="440">
        <v>150000</v>
      </c>
      <c r="J15" s="440"/>
      <c r="K15" s="514">
        <f t="shared" si="0"/>
        <v>18750</v>
      </c>
    </row>
    <row r="16" spans="1:11">
      <c r="A16" s="446">
        <v>5</v>
      </c>
      <c r="B16" s="447" t="s">
        <v>2915</v>
      </c>
      <c r="C16" s="448"/>
      <c r="D16" s="448"/>
      <c r="E16" s="448"/>
      <c r="F16" s="449"/>
      <c r="G16" s="451" t="s">
        <v>2916</v>
      </c>
      <c r="H16" s="451" t="s">
        <v>2911</v>
      </c>
      <c r="I16" s="440">
        <v>150000</v>
      </c>
      <c r="J16" s="440"/>
      <c r="K16" s="514">
        <f t="shared" si="0"/>
        <v>18750</v>
      </c>
    </row>
    <row r="17" spans="1:19">
      <c r="A17" s="446">
        <v>6</v>
      </c>
      <c r="B17" s="447" t="s">
        <v>2917</v>
      </c>
      <c r="C17" s="448"/>
      <c r="D17" s="448"/>
      <c r="E17" s="448"/>
      <c r="F17" s="449"/>
      <c r="G17" s="451" t="s">
        <v>2918</v>
      </c>
      <c r="H17" s="451" t="s">
        <v>2911</v>
      </c>
      <c r="I17" s="440">
        <v>110000</v>
      </c>
      <c r="J17" s="440"/>
      <c r="K17" s="514">
        <f t="shared" si="0"/>
        <v>13750</v>
      </c>
    </row>
    <row r="18" spans="1:19">
      <c r="A18" s="446">
        <v>7</v>
      </c>
      <c r="B18" s="447" t="s">
        <v>2919</v>
      </c>
      <c r="C18" s="448"/>
      <c r="D18" s="448"/>
      <c r="E18" s="448"/>
      <c r="F18" s="449"/>
      <c r="G18" s="451" t="s">
        <v>2920</v>
      </c>
      <c r="H18" s="451" t="s">
        <v>2911</v>
      </c>
      <c r="I18" s="440">
        <v>140000</v>
      </c>
      <c r="J18" s="440"/>
      <c r="K18" s="514">
        <f t="shared" si="0"/>
        <v>17500</v>
      </c>
    </row>
    <row r="19" spans="1:19">
      <c r="A19" s="446">
        <v>8</v>
      </c>
      <c r="B19" s="447" t="s">
        <v>2921</v>
      </c>
      <c r="C19" s="448"/>
      <c r="D19" s="448"/>
      <c r="E19" s="448"/>
      <c r="F19" s="449"/>
      <c r="G19" s="451" t="s">
        <v>2922</v>
      </c>
      <c r="H19" s="451" t="s">
        <v>2911</v>
      </c>
      <c r="I19" s="440">
        <v>100000</v>
      </c>
      <c r="J19" s="440"/>
      <c r="K19" s="514">
        <f t="shared" si="0"/>
        <v>12500</v>
      </c>
    </row>
    <row r="20" spans="1:19">
      <c r="A20" s="446">
        <v>9</v>
      </c>
      <c r="B20" s="447" t="s">
        <v>2923</v>
      </c>
      <c r="C20" s="448"/>
      <c r="D20" s="448"/>
      <c r="E20" s="448"/>
      <c r="F20" s="449"/>
      <c r="G20" s="451" t="s">
        <v>2924</v>
      </c>
      <c r="H20" s="451" t="s">
        <v>2911</v>
      </c>
      <c r="I20" s="440">
        <v>140000</v>
      </c>
      <c r="J20" s="440"/>
      <c r="K20" s="514">
        <f t="shared" si="0"/>
        <v>17500</v>
      </c>
    </row>
    <row r="21" spans="1:19" s="516" customFormat="1" hidden="1">
      <c r="A21" s="446">
        <v>10</v>
      </c>
      <c r="B21" s="447"/>
      <c r="C21" s="448"/>
      <c r="D21" s="448"/>
      <c r="E21" s="448"/>
      <c r="F21" s="449"/>
      <c r="G21" s="451" t="s">
        <v>2925</v>
      </c>
      <c r="H21" s="451" t="s">
        <v>2911</v>
      </c>
      <c r="I21" s="440"/>
      <c r="J21" s="440"/>
      <c r="K21" s="514"/>
      <c r="N21" s="505"/>
      <c r="O21" s="505"/>
      <c r="P21" s="505"/>
      <c r="Q21" s="505"/>
      <c r="R21" s="505"/>
      <c r="S21" s="505"/>
    </row>
    <row r="22" spans="1:19" s="516" customFormat="1" hidden="1">
      <c r="A22" s="446">
        <v>11</v>
      </c>
      <c r="B22" s="447"/>
      <c r="C22" s="448"/>
      <c r="D22" s="448"/>
      <c r="E22" s="448"/>
      <c r="F22" s="449"/>
      <c r="G22" s="451" t="s">
        <v>2914</v>
      </c>
      <c r="H22" s="451" t="s">
        <v>2911</v>
      </c>
      <c r="I22" s="440"/>
      <c r="J22" s="517"/>
      <c r="K22" s="518"/>
      <c r="N22" s="505"/>
      <c r="O22" s="505"/>
      <c r="P22" s="505"/>
      <c r="Q22" s="505"/>
      <c r="R22" s="505"/>
      <c r="S22" s="505"/>
    </row>
    <row r="23" spans="1:19" s="516" customFormat="1" hidden="1">
      <c r="A23" s="446">
        <v>12</v>
      </c>
      <c r="B23" s="447"/>
      <c r="C23" s="448"/>
      <c r="D23" s="448"/>
      <c r="E23" s="448"/>
      <c r="F23" s="449"/>
      <c r="G23" s="451" t="s">
        <v>3421</v>
      </c>
      <c r="H23" s="451" t="s">
        <v>2911</v>
      </c>
      <c r="I23" s="440"/>
      <c r="J23" s="517"/>
      <c r="K23" s="518"/>
      <c r="N23" s="505"/>
      <c r="O23" s="505"/>
      <c r="P23" s="505"/>
      <c r="Q23" s="505"/>
      <c r="R23" s="505"/>
      <c r="S23" s="505"/>
    </row>
    <row r="24" spans="1:19" s="516" customFormat="1">
      <c r="A24" s="519"/>
      <c r="B24" s="520"/>
      <c r="C24" s="521"/>
      <c r="D24" s="521"/>
      <c r="E24" s="521"/>
      <c r="F24" s="522"/>
      <c r="G24" s="523"/>
      <c r="H24" s="523"/>
      <c r="I24" s="441"/>
      <c r="J24" s="441"/>
      <c r="K24" s="519"/>
      <c r="N24" s="505"/>
      <c r="O24" s="505"/>
      <c r="P24" s="505"/>
      <c r="Q24" s="505"/>
      <c r="R24" s="505"/>
      <c r="S24" s="505"/>
    </row>
    <row r="25" spans="1:19" s="516" customFormat="1">
      <c r="A25" s="785"/>
      <c r="B25" s="452"/>
      <c r="C25" s="452"/>
      <c r="D25" s="452"/>
      <c r="E25" s="452"/>
      <c r="F25" s="452"/>
      <c r="G25" s="786"/>
      <c r="H25" s="786"/>
      <c r="I25" s="442"/>
      <c r="J25" s="442"/>
      <c r="K25" s="785"/>
      <c r="N25" s="505"/>
      <c r="O25" s="505"/>
      <c r="P25" s="505"/>
      <c r="Q25" s="505"/>
      <c r="R25" s="505"/>
      <c r="S25" s="505"/>
    </row>
    <row r="26" spans="1:19" s="516" customFormat="1">
      <c r="A26" s="785"/>
      <c r="B26" s="452"/>
      <c r="C26" s="452"/>
      <c r="D26" s="452"/>
      <c r="E26" s="452"/>
      <c r="F26" s="452"/>
      <c r="G26" s="786"/>
      <c r="H26" s="786"/>
      <c r="I26" s="442"/>
      <c r="J26" s="442"/>
      <c r="K26" s="524"/>
      <c r="N26" s="505"/>
      <c r="O26" s="505"/>
      <c r="P26" s="505"/>
      <c r="Q26" s="505"/>
      <c r="R26" s="505"/>
      <c r="S26" s="505"/>
    </row>
    <row r="27" spans="1:19" s="516" customFormat="1">
      <c r="A27" s="1193" t="s">
        <v>2926</v>
      </c>
      <c r="B27" s="1193"/>
      <c r="C27" s="1193"/>
      <c r="D27" s="1193"/>
      <c r="E27" s="1193"/>
      <c r="F27" s="1193"/>
      <c r="G27" s="1193"/>
      <c r="H27" s="1193"/>
      <c r="I27" s="1193"/>
      <c r="J27" s="1193"/>
      <c r="K27" s="1193"/>
      <c r="N27" s="505"/>
      <c r="O27" s="505"/>
      <c r="P27" s="505"/>
      <c r="Q27" s="505"/>
      <c r="R27" s="505"/>
      <c r="S27" s="505"/>
    </row>
    <row r="28" spans="1:19" s="516" customFormat="1">
      <c r="A28" s="506"/>
      <c r="B28" s="507"/>
      <c r="C28" s="507"/>
      <c r="D28" s="507"/>
      <c r="E28" s="507"/>
      <c r="F28" s="507"/>
      <c r="G28" s="786"/>
      <c r="H28" s="786"/>
      <c r="I28" s="437"/>
      <c r="J28" s="437"/>
      <c r="K28" s="785"/>
      <c r="N28" s="505"/>
      <c r="O28" s="505"/>
      <c r="P28" s="505"/>
      <c r="Q28" s="505"/>
      <c r="R28" s="505"/>
      <c r="S28" s="505"/>
    </row>
    <row r="29" spans="1:19" s="516" customFormat="1">
      <c r="A29" s="506"/>
      <c r="B29" s="507" t="s">
        <v>2899</v>
      </c>
      <c r="C29" s="507"/>
      <c r="D29" s="507"/>
      <c r="E29" s="507" t="s">
        <v>2900</v>
      </c>
      <c r="F29" s="507"/>
      <c r="G29" s="786"/>
      <c r="H29" s="786"/>
      <c r="I29" s="437"/>
      <c r="J29" s="437"/>
      <c r="K29" s="785"/>
      <c r="N29" s="505"/>
      <c r="O29" s="505"/>
      <c r="P29" s="505"/>
      <c r="Q29" s="505"/>
      <c r="R29" s="505"/>
      <c r="S29" s="505"/>
    </row>
    <row r="30" spans="1:19" s="516" customFormat="1">
      <c r="A30" s="506"/>
      <c r="B30" s="507" t="s">
        <v>2901</v>
      </c>
      <c r="C30" s="507"/>
      <c r="D30" s="507"/>
      <c r="E30" s="507" t="s">
        <v>2902</v>
      </c>
      <c r="F30" s="507"/>
      <c r="G30" s="786"/>
      <c r="H30" s="786"/>
      <c r="I30" s="437"/>
      <c r="J30" s="437"/>
      <c r="K30" s="785"/>
      <c r="N30" s="505"/>
      <c r="O30" s="505"/>
      <c r="P30" s="505"/>
      <c r="Q30" s="505"/>
      <c r="R30" s="505"/>
      <c r="S30" s="505"/>
    </row>
    <row r="31" spans="1:19" s="516" customFormat="1">
      <c r="A31" s="785"/>
      <c r="B31" s="507"/>
      <c r="C31" s="507"/>
      <c r="D31" s="507"/>
      <c r="E31" s="507"/>
      <c r="F31" s="507"/>
      <c r="G31" s="786"/>
      <c r="H31" s="786"/>
      <c r="I31" s="437"/>
      <c r="J31" s="437"/>
      <c r="K31" s="785"/>
      <c r="N31" s="505"/>
      <c r="O31" s="505"/>
      <c r="P31" s="505"/>
      <c r="Q31" s="505"/>
      <c r="R31" s="505"/>
      <c r="S31" s="505"/>
    </row>
    <row r="32" spans="1:19" s="516" customFormat="1" ht="12.75" customHeight="1">
      <c r="A32" s="1211" t="s">
        <v>2903</v>
      </c>
      <c r="B32" s="1214" t="s">
        <v>2927</v>
      </c>
      <c r="C32" s="1215"/>
      <c r="D32" s="1215"/>
      <c r="E32" s="1215"/>
      <c r="F32" s="1216"/>
      <c r="G32" s="1226" t="s">
        <v>2905</v>
      </c>
      <c r="H32" s="1226" t="s">
        <v>2906</v>
      </c>
      <c r="I32" s="1229" t="s">
        <v>2928</v>
      </c>
      <c r="J32" s="1229" t="s">
        <v>2928</v>
      </c>
      <c r="K32" s="1211" t="s">
        <v>2929</v>
      </c>
      <c r="N32" s="525"/>
      <c r="O32" s="525"/>
      <c r="P32" s="525"/>
      <c r="Q32" s="525"/>
      <c r="R32" s="525"/>
      <c r="S32" s="525"/>
    </row>
    <row r="33" spans="1:19" s="516" customFormat="1">
      <c r="A33" s="1212"/>
      <c r="B33" s="1217"/>
      <c r="C33" s="1218"/>
      <c r="D33" s="1218"/>
      <c r="E33" s="1218"/>
      <c r="F33" s="1219"/>
      <c r="G33" s="1227"/>
      <c r="H33" s="1227"/>
      <c r="I33" s="1230"/>
      <c r="J33" s="1230"/>
      <c r="K33" s="1212"/>
      <c r="N33" s="505"/>
      <c r="O33" s="505"/>
      <c r="P33" s="505"/>
      <c r="Q33" s="505"/>
      <c r="R33" s="505"/>
      <c r="S33" s="505"/>
    </row>
    <row r="34" spans="1:19" s="516" customFormat="1">
      <c r="A34" s="1213"/>
      <c r="B34" s="1220"/>
      <c r="C34" s="1221"/>
      <c r="D34" s="1221"/>
      <c r="E34" s="1221"/>
      <c r="F34" s="1222"/>
      <c r="G34" s="1228"/>
      <c r="H34" s="1228"/>
      <c r="I34" s="1231"/>
      <c r="J34" s="1231"/>
      <c r="K34" s="1213"/>
      <c r="N34" s="505"/>
      <c r="O34" s="505"/>
      <c r="P34" s="505"/>
      <c r="Q34" s="505"/>
      <c r="R34" s="505"/>
      <c r="S34" s="505"/>
    </row>
    <row r="35" spans="1:19">
      <c r="A35" s="508">
        <v>1</v>
      </c>
      <c r="B35" s="1208">
        <v>2</v>
      </c>
      <c r="C35" s="1209"/>
      <c r="D35" s="1209"/>
      <c r="E35" s="1209"/>
      <c r="F35" s="1210"/>
      <c r="G35" s="509">
        <v>3</v>
      </c>
      <c r="H35" s="509">
        <v>3</v>
      </c>
      <c r="I35" s="443">
        <v>4</v>
      </c>
      <c r="J35" s="443">
        <v>4</v>
      </c>
      <c r="K35" s="508">
        <v>5</v>
      </c>
      <c r="N35" s="526" t="s">
        <v>4531</v>
      </c>
      <c r="O35" s="526" t="s">
        <v>4530</v>
      </c>
      <c r="P35" s="526" t="s">
        <v>4532</v>
      </c>
      <c r="Q35" s="526" t="s">
        <v>4533</v>
      </c>
      <c r="R35" s="526" t="s">
        <v>4534</v>
      </c>
      <c r="S35" s="526" t="s">
        <v>4535</v>
      </c>
    </row>
    <row r="36" spans="1:19">
      <c r="A36" s="491"/>
      <c r="B36" s="527"/>
      <c r="C36" s="528"/>
      <c r="D36" s="528"/>
      <c r="E36" s="529"/>
      <c r="F36" s="530"/>
      <c r="G36" s="495"/>
      <c r="H36" s="495"/>
      <c r="I36" s="444"/>
      <c r="J36" s="444"/>
      <c r="K36" s="491"/>
      <c r="N36" s="531"/>
      <c r="O36" s="532"/>
      <c r="P36" s="532"/>
      <c r="Q36" s="532"/>
      <c r="R36" s="532"/>
      <c r="S36" s="533"/>
    </row>
    <row r="37" spans="1:19">
      <c r="A37" s="446"/>
      <c r="B37" s="484" t="s">
        <v>2930</v>
      </c>
      <c r="C37" s="485"/>
      <c r="D37" s="534"/>
      <c r="E37" s="515"/>
      <c r="F37" s="478"/>
      <c r="G37" s="451"/>
      <c r="H37" s="451"/>
      <c r="I37" s="445"/>
      <c r="J37" s="445"/>
      <c r="K37" s="446"/>
      <c r="M37" s="469"/>
      <c r="N37" s="453"/>
      <c r="O37" s="454"/>
      <c r="P37" s="454"/>
      <c r="Q37" s="454"/>
      <c r="R37" s="454"/>
      <c r="S37" s="455"/>
    </row>
    <row r="38" spans="1:19">
      <c r="A38" s="446">
        <v>1</v>
      </c>
      <c r="B38" s="447" t="s">
        <v>2931</v>
      </c>
      <c r="C38" s="448"/>
      <c r="D38" s="534"/>
      <c r="E38" s="515"/>
      <c r="F38" s="478"/>
      <c r="G38" s="451"/>
      <c r="H38" s="451" t="s">
        <v>2647</v>
      </c>
      <c r="I38" s="445">
        <v>8000</v>
      </c>
      <c r="J38" s="445"/>
      <c r="K38" s="446"/>
      <c r="M38" s="469"/>
      <c r="N38" s="453"/>
      <c r="O38" s="454"/>
      <c r="P38" s="454"/>
      <c r="Q38" s="454"/>
      <c r="R38" s="454"/>
      <c r="S38" s="455"/>
    </row>
    <row r="39" spans="1:19">
      <c r="A39" s="446">
        <v>2</v>
      </c>
      <c r="B39" s="447" t="s">
        <v>2932</v>
      </c>
      <c r="C39" s="448"/>
      <c r="D39" s="534"/>
      <c r="E39" s="515"/>
      <c r="F39" s="478"/>
      <c r="G39" s="451"/>
      <c r="H39" s="451" t="s">
        <v>2647</v>
      </c>
      <c r="I39" s="445">
        <v>17500</v>
      </c>
      <c r="J39" s="445"/>
      <c r="K39" s="446"/>
      <c r="M39" s="469"/>
      <c r="N39" s="453"/>
      <c r="O39" s="454"/>
      <c r="P39" s="454"/>
      <c r="Q39" s="454"/>
      <c r="R39" s="454"/>
      <c r="S39" s="455"/>
    </row>
    <row r="40" spans="1:19">
      <c r="A40" s="446">
        <v>3</v>
      </c>
      <c r="B40" s="447" t="s">
        <v>2933</v>
      </c>
      <c r="C40" s="448"/>
      <c r="D40" s="534"/>
      <c r="E40" s="515"/>
      <c r="F40" s="478"/>
      <c r="G40" s="451"/>
      <c r="H40" s="451" t="s">
        <v>2647</v>
      </c>
      <c r="I40" s="445">
        <v>27500</v>
      </c>
      <c r="J40" s="445"/>
      <c r="K40" s="446"/>
      <c r="M40" s="469"/>
      <c r="N40" s="453"/>
      <c r="O40" s="454"/>
      <c r="P40" s="454"/>
      <c r="Q40" s="454"/>
      <c r="R40" s="454"/>
      <c r="S40" s="455"/>
    </row>
    <row r="41" spans="1:19">
      <c r="A41" s="446">
        <v>4</v>
      </c>
      <c r="B41" s="447" t="s">
        <v>2934</v>
      </c>
      <c r="C41" s="534"/>
      <c r="D41" s="534"/>
      <c r="E41" s="515"/>
      <c r="F41" s="478"/>
      <c r="G41" s="451"/>
      <c r="H41" s="451" t="s">
        <v>2647</v>
      </c>
      <c r="I41" s="445">
        <v>11000</v>
      </c>
      <c r="J41" s="445"/>
      <c r="K41" s="446"/>
      <c r="N41" s="453"/>
      <c r="O41" s="454"/>
      <c r="P41" s="454"/>
      <c r="Q41" s="454"/>
      <c r="R41" s="454"/>
      <c r="S41" s="455"/>
    </row>
    <row r="42" spans="1:19">
      <c r="A42" s="446"/>
      <c r="B42" s="535"/>
      <c r="C42" s="534"/>
      <c r="D42" s="534"/>
      <c r="E42" s="515"/>
      <c r="F42" s="478"/>
      <c r="G42" s="451"/>
      <c r="H42" s="451"/>
      <c r="I42" s="445"/>
      <c r="J42" s="445"/>
      <c r="K42" s="446"/>
      <c r="N42" s="453"/>
      <c r="O42" s="454"/>
      <c r="P42" s="454"/>
      <c r="Q42" s="454"/>
      <c r="R42" s="454"/>
      <c r="S42" s="455"/>
    </row>
    <row r="43" spans="1:19">
      <c r="A43" s="446"/>
      <c r="B43" s="535"/>
      <c r="C43" s="534"/>
      <c r="D43" s="534"/>
      <c r="E43" s="515"/>
      <c r="F43" s="478"/>
      <c r="G43" s="451"/>
      <c r="H43" s="451"/>
      <c r="I43" s="445"/>
      <c r="J43" s="445"/>
      <c r="K43" s="446"/>
      <c r="N43" s="453"/>
      <c r="O43" s="454"/>
      <c r="P43" s="454"/>
      <c r="Q43" s="454"/>
      <c r="R43" s="454"/>
      <c r="S43" s="455"/>
    </row>
    <row r="44" spans="1:19">
      <c r="A44" s="477" t="s">
        <v>671</v>
      </c>
      <c r="B44" s="484" t="s">
        <v>2935</v>
      </c>
      <c r="C44" s="485"/>
      <c r="D44" s="485"/>
      <c r="E44" s="485"/>
      <c r="F44" s="515"/>
      <c r="G44" s="451"/>
      <c r="H44" s="451"/>
      <c r="I44" s="445"/>
      <c r="J44" s="445"/>
      <c r="K44" s="446"/>
      <c r="N44" s="453"/>
      <c r="O44" s="454"/>
      <c r="P44" s="454"/>
      <c r="Q44" s="454"/>
      <c r="R44" s="454"/>
      <c r="S44" s="455"/>
    </row>
    <row r="45" spans="1:19">
      <c r="A45" s="477"/>
      <c r="B45" s="484" t="s">
        <v>2936</v>
      </c>
      <c r="C45" s="485"/>
      <c r="D45" s="485"/>
      <c r="E45" s="485"/>
      <c r="F45" s="515"/>
      <c r="G45" s="451"/>
      <c r="H45" s="451"/>
      <c r="I45" s="445"/>
      <c r="J45" s="445"/>
      <c r="K45" s="446"/>
      <c r="N45" s="453"/>
      <c r="O45" s="454"/>
      <c r="P45" s="454"/>
      <c r="Q45" s="454"/>
      <c r="R45" s="454"/>
      <c r="S45" s="455"/>
    </row>
    <row r="46" spans="1:19">
      <c r="A46" s="446">
        <v>1</v>
      </c>
      <c r="B46" s="447" t="s">
        <v>842</v>
      </c>
      <c r="C46" s="485"/>
      <c r="D46" s="485"/>
      <c r="E46" s="485"/>
      <c r="F46" s="515"/>
      <c r="G46" s="451"/>
      <c r="H46" s="451" t="s">
        <v>2939</v>
      </c>
      <c r="I46" s="445">
        <v>35</v>
      </c>
      <c r="J46" s="445"/>
      <c r="K46" s="446"/>
      <c r="M46" s="469"/>
      <c r="N46" s="453"/>
      <c r="O46" s="454"/>
      <c r="P46" s="454"/>
      <c r="Q46" s="454"/>
      <c r="R46" s="454"/>
      <c r="S46" s="455"/>
    </row>
    <row r="47" spans="1:19">
      <c r="A47" s="446">
        <v>2</v>
      </c>
      <c r="B47" s="447" t="s">
        <v>2937</v>
      </c>
      <c r="C47" s="448"/>
      <c r="D47" s="448"/>
      <c r="E47" s="448"/>
      <c r="F47" s="449"/>
      <c r="G47" s="451"/>
      <c r="H47" s="451" t="s">
        <v>773</v>
      </c>
      <c r="I47" s="440">
        <v>11900</v>
      </c>
      <c r="J47" s="440"/>
      <c r="K47" s="446"/>
      <c r="M47" s="469"/>
      <c r="N47" s="453"/>
      <c r="O47" s="454"/>
      <c r="P47" s="454"/>
      <c r="Q47" s="454"/>
      <c r="R47" s="454"/>
      <c r="S47" s="455"/>
    </row>
    <row r="48" spans="1:19">
      <c r="A48" s="446">
        <v>3</v>
      </c>
      <c r="B48" s="447" t="s">
        <v>2938</v>
      </c>
      <c r="C48" s="448"/>
      <c r="D48" s="448"/>
      <c r="E48" s="448"/>
      <c r="F48" s="449"/>
      <c r="G48" s="451"/>
      <c r="H48" s="451" t="s">
        <v>2939</v>
      </c>
      <c r="I48" s="440">
        <v>10000</v>
      </c>
      <c r="J48" s="440"/>
      <c r="K48" s="446"/>
      <c r="M48" s="469"/>
      <c r="N48" s="453"/>
      <c r="O48" s="454"/>
      <c r="P48" s="454"/>
      <c r="Q48" s="454"/>
      <c r="R48" s="454"/>
      <c r="S48" s="455"/>
    </row>
    <row r="49" spans="1:19">
      <c r="A49" s="446">
        <v>4</v>
      </c>
      <c r="B49" s="447" t="s">
        <v>2940</v>
      </c>
      <c r="C49" s="448"/>
      <c r="D49" s="448"/>
      <c r="E49" s="448"/>
      <c r="F49" s="515"/>
      <c r="G49" s="451"/>
      <c r="H49" s="451" t="s">
        <v>2646</v>
      </c>
      <c r="I49" s="440">
        <v>298200</v>
      </c>
      <c r="J49" s="440"/>
      <c r="K49" s="446"/>
      <c r="M49" s="469"/>
      <c r="N49" s="453"/>
      <c r="O49" s="454"/>
      <c r="P49" s="454"/>
      <c r="Q49" s="454"/>
      <c r="R49" s="454"/>
      <c r="S49" s="455"/>
    </row>
    <row r="50" spans="1:19">
      <c r="A50" s="446">
        <v>5</v>
      </c>
      <c r="B50" s="447" t="s">
        <v>2941</v>
      </c>
      <c r="C50" s="448"/>
      <c r="D50" s="448"/>
      <c r="E50" s="448"/>
      <c r="F50" s="449"/>
      <c r="G50" s="451"/>
      <c r="H50" s="451" t="s">
        <v>2646</v>
      </c>
      <c r="I50" s="440">
        <v>298200</v>
      </c>
      <c r="J50" s="440"/>
      <c r="K50" s="446"/>
      <c r="M50" s="469">
        <f t="shared" ref="M50:M108" si="1">AVERAGE(N50:S50)</f>
        <v>270000</v>
      </c>
      <c r="N50" s="453"/>
      <c r="O50" s="454">
        <v>260000</v>
      </c>
      <c r="P50" s="454">
        <v>250000</v>
      </c>
      <c r="Q50" s="454">
        <v>300000</v>
      </c>
      <c r="R50" s="454"/>
      <c r="S50" s="455"/>
    </row>
    <row r="51" spans="1:19">
      <c r="A51" s="446">
        <v>6</v>
      </c>
      <c r="B51" s="447" t="s">
        <v>2942</v>
      </c>
      <c r="C51" s="448"/>
      <c r="D51" s="448"/>
      <c r="E51" s="449"/>
      <c r="F51" s="450"/>
      <c r="G51" s="451"/>
      <c r="H51" s="451" t="s">
        <v>2646</v>
      </c>
      <c r="I51" s="440">
        <v>298200</v>
      </c>
      <c r="J51" s="440"/>
      <c r="K51" s="446"/>
      <c r="M51" s="469">
        <f t="shared" si="1"/>
        <v>392500</v>
      </c>
      <c r="N51" s="453"/>
      <c r="O51" s="454">
        <v>235000</v>
      </c>
      <c r="P51" s="454"/>
      <c r="Q51" s="454"/>
      <c r="R51" s="454">
        <v>550000</v>
      </c>
      <c r="S51" s="455"/>
    </row>
    <row r="52" spans="1:19">
      <c r="A52" s="446">
        <v>7</v>
      </c>
      <c r="B52" s="447" t="s">
        <v>2943</v>
      </c>
      <c r="C52" s="448"/>
      <c r="D52" s="448"/>
      <c r="E52" s="449"/>
      <c r="F52" s="450"/>
      <c r="G52" s="451"/>
      <c r="H52" s="451" t="s">
        <v>2646</v>
      </c>
      <c r="I52" s="440">
        <v>298200</v>
      </c>
      <c r="J52" s="440"/>
      <c r="K52" s="446"/>
      <c r="M52" s="469">
        <f t="shared" si="1"/>
        <v>235000</v>
      </c>
      <c r="N52" s="453"/>
      <c r="O52" s="454">
        <v>235000</v>
      </c>
      <c r="P52" s="454"/>
      <c r="Q52" s="454"/>
      <c r="R52" s="454"/>
      <c r="S52" s="455"/>
    </row>
    <row r="53" spans="1:19">
      <c r="A53" s="446">
        <v>8</v>
      </c>
      <c r="B53" s="447" t="s">
        <v>2944</v>
      </c>
      <c r="C53" s="448"/>
      <c r="D53" s="448"/>
      <c r="E53" s="449"/>
      <c r="F53" s="450"/>
      <c r="G53" s="451"/>
      <c r="H53" s="451" t="s">
        <v>2646</v>
      </c>
      <c r="I53" s="440">
        <v>477000</v>
      </c>
      <c r="J53" s="440"/>
      <c r="K53" s="446"/>
      <c r="M53" s="469"/>
      <c r="N53" s="453"/>
      <c r="O53" s="454"/>
      <c r="P53" s="454"/>
      <c r="Q53" s="454"/>
      <c r="R53" s="454"/>
      <c r="S53" s="455"/>
    </row>
    <row r="54" spans="1:19">
      <c r="A54" s="446">
        <v>9</v>
      </c>
      <c r="B54" s="447" t="s">
        <v>2945</v>
      </c>
      <c r="C54" s="448"/>
      <c r="D54" s="448"/>
      <c r="E54" s="449"/>
      <c r="F54" s="450"/>
      <c r="G54" s="451"/>
      <c r="H54" s="451" t="s">
        <v>2646</v>
      </c>
      <c r="I54" s="440">
        <v>477000</v>
      </c>
      <c r="J54" s="440"/>
      <c r="K54" s="446"/>
      <c r="M54" s="469">
        <f t="shared" si="1"/>
        <v>235000</v>
      </c>
      <c r="N54" s="453"/>
      <c r="O54" s="454"/>
      <c r="P54" s="454">
        <v>235000</v>
      </c>
      <c r="Q54" s="454"/>
      <c r="R54" s="454"/>
      <c r="S54" s="455"/>
    </row>
    <row r="55" spans="1:19">
      <c r="A55" s="446">
        <v>10</v>
      </c>
      <c r="B55" s="447" t="s">
        <v>2945</v>
      </c>
      <c r="C55" s="448"/>
      <c r="D55" s="448"/>
      <c r="E55" s="449"/>
      <c r="F55" s="450"/>
      <c r="G55" s="451"/>
      <c r="H55" s="451" t="s">
        <v>773</v>
      </c>
      <c r="I55" s="440">
        <f>I54/1350</f>
        <v>353.33333333333331</v>
      </c>
      <c r="J55" s="440"/>
      <c r="K55" s="446"/>
      <c r="M55" s="469"/>
      <c r="N55" s="453"/>
      <c r="O55" s="454"/>
      <c r="P55" s="454"/>
      <c r="Q55" s="454"/>
      <c r="R55" s="454"/>
      <c r="S55" s="455"/>
    </row>
    <row r="56" spans="1:19">
      <c r="A56" s="446">
        <v>11</v>
      </c>
      <c r="B56" s="447" t="s">
        <v>2946</v>
      </c>
      <c r="C56" s="448"/>
      <c r="D56" s="448"/>
      <c r="E56" s="449"/>
      <c r="F56" s="450"/>
      <c r="G56" s="451"/>
      <c r="H56" s="451" t="s">
        <v>2646</v>
      </c>
      <c r="I56" s="440">
        <v>477000</v>
      </c>
      <c r="J56" s="440"/>
      <c r="K56" s="446"/>
      <c r="M56" s="469"/>
      <c r="N56" s="453"/>
      <c r="O56" s="454"/>
      <c r="P56" s="454"/>
      <c r="Q56" s="454"/>
      <c r="R56" s="454"/>
      <c r="S56" s="455"/>
    </row>
    <row r="57" spans="1:19">
      <c r="A57" s="446">
        <v>12</v>
      </c>
      <c r="B57" s="447" t="s">
        <v>2946</v>
      </c>
      <c r="C57" s="448"/>
      <c r="D57" s="448"/>
      <c r="E57" s="449"/>
      <c r="F57" s="450"/>
      <c r="G57" s="451"/>
      <c r="H57" s="451" t="s">
        <v>773</v>
      </c>
      <c r="I57" s="440">
        <f>I56/1350.03</f>
        <v>353.32548165596319</v>
      </c>
      <c r="J57" s="440"/>
      <c r="K57" s="446"/>
      <c r="M57" s="469"/>
      <c r="N57" s="453"/>
      <c r="O57" s="454"/>
      <c r="P57" s="454"/>
      <c r="Q57" s="454"/>
      <c r="R57" s="454"/>
      <c r="S57" s="455"/>
    </row>
    <row r="58" spans="1:19">
      <c r="A58" s="446">
        <v>13</v>
      </c>
      <c r="B58" s="447" t="s">
        <v>2947</v>
      </c>
      <c r="C58" s="448"/>
      <c r="D58" s="448"/>
      <c r="E58" s="449"/>
      <c r="F58" s="450"/>
      <c r="G58" s="451"/>
      <c r="H58" s="451" t="s">
        <v>2646</v>
      </c>
      <c r="I58" s="440">
        <v>298200</v>
      </c>
      <c r="J58" s="440"/>
      <c r="K58" s="446"/>
      <c r="M58" s="469">
        <f t="shared" si="1"/>
        <v>550000</v>
      </c>
      <c r="N58" s="453"/>
      <c r="O58" s="454"/>
      <c r="P58" s="454"/>
      <c r="Q58" s="454"/>
      <c r="R58" s="454">
        <v>550000</v>
      </c>
      <c r="S58" s="455"/>
    </row>
    <row r="59" spans="1:19" s="468" customFormat="1">
      <c r="A59" s="446">
        <v>14</v>
      </c>
      <c r="B59" s="473" t="s">
        <v>2948</v>
      </c>
      <c r="C59" s="462"/>
      <c r="D59" s="462"/>
      <c r="E59" s="463"/>
      <c r="F59" s="464"/>
      <c r="G59" s="465"/>
      <c r="H59" s="465" t="s">
        <v>2647</v>
      </c>
      <c r="I59" s="440">
        <v>187000</v>
      </c>
      <c r="J59" s="440"/>
      <c r="K59" s="467"/>
      <c r="M59" s="469">
        <f t="shared" si="1"/>
        <v>185000</v>
      </c>
      <c r="N59" s="453">
        <v>190000</v>
      </c>
      <c r="O59" s="454"/>
      <c r="P59" s="454"/>
      <c r="Q59" s="454"/>
      <c r="R59" s="454"/>
      <c r="S59" s="455">
        <v>180000</v>
      </c>
    </row>
    <row r="60" spans="1:19" s="468" customFormat="1">
      <c r="A60" s="446">
        <v>15</v>
      </c>
      <c r="B60" s="473" t="s">
        <v>2949</v>
      </c>
      <c r="C60" s="462"/>
      <c r="D60" s="462"/>
      <c r="E60" s="463"/>
      <c r="F60" s="464"/>
      <c r="G60" s="465"/>
      <c r="H60" s="465" t="s">
        <v>2647</v>
      </c>
      <c r="I60" s="440">
        <v>189000</v>
      </c>
      <c r="J60" s="440"/>
      <c r="K60" s="467"/>
      <c r="M60" s="469"/>
      <c r="N60" s="453"/>
      <c r="O60" s="454"/>
      <c r="P60" s="454"/>
      <c r="Q60" s="454"/>
      <c r="R60" s="454"/>
      <c r="S60" s="455"/>
    </row>
    <row r="61" spans="1:19">
      <c r="A61" s="446">
        <v>16</v>
      </c>
      <c r="B61" s="447" t="s">
        <v>2950</v>
      </c>
      <c r="C61" s="448"/>
      <c r="D61" s="448"/>
      <c r="E61" s="449"/>
      <c r="F61" s="450"/>
      <c r="G61" s="451"/>
      <c r="H61" s="451" t="s">
        <v>1423</v>
      </c>
      <c r="I61" s="440">
        <v>700</v>
      </c>
      <c r="J61" s="440"/>
      <c r="K61" s="446"/>
      <c r="M61" s="469">
        <f t="shared" si="1"/>
        <v>526</v>
      </c>
      <c r="N61" s="453">
        <v>600</v>
      </c>
      <c r="O61" s="454">
        <v>450</v>
      </c>
      <c r="P61" s="454">
        <v>530</v>
      </c>
      <c r="Q61" s="454"/>
      <c r="R61" s="454">
        <v>450</v>
      </c>
      <c r="S61" s="455">
        <v>600</v>
      </c>
    </row>
    <row r="62" spans="1:19">
      <c r="A62" s="446">
        <v>17</v>
      </c>
      <c r="B62" s="447" t="s">
        <v>1057</v>
      </c>
      <c r="C62" s="448"/>
      <c r="D62" s="448"/>
      <c r="E62" s="449"/>
      <c r="F62" s="450"/>
      <c r="G62" s="451"/>
      <c r="H62" s="451" t="s">
        <v>1423</v>
      </c>
      <c r="I62" s="440">
        <v>1275</v>
      </c>
      <c r="J62" s="440"/>
      <c r="K62" s="446"/>
      <c r="M62" s="469">
        <f t="shared" si="1"/>
        <v>450</v>
      </c>
      <c r="N62" s="453"/>
      <c r="O62" s="454"/>
      <c r="P62" s="454"/>
      <c r="Q62" s="454">
        <v>450</v>
      </c>
      <c r="R62" s="454"/>
      <c r="S62" s="455"/>
    </row>
    <row r="63" spans="1:19">
      <c r="A63" s="446">
        <v>18</v>
      </c>
      <c r="B63" s="447" t="s">
        <v>2951</v>
      </c>
      <c r="C63" s="448"/>
      <c r="D63" s="448"/>
      <c r="E63" s="449" t="s">
        <v>2952</v>
      </c>
      <c r="F63" s="450"/>
      <c r="G63" s="451"/>
      <c r="H63" s="451" t="s">
        <v>1423</v>
      </c>
      <c r="I63" s="440">
        <v>17692.5</v>
      </c>
      <c r="J63" s="440"/>
      <c r="K63" s="446"/>
      <c r="M63" s="469">
        <f t="shared" si="1"/>
        <v>10000</v>
      </c>
      <c r="N63" s="453"/>
      <c r="O63" s="454"/>
      <c r="P63" s="454">
        <v>10000</v>
      </c>
      <c r="Q63" s="454"/>
      <c r="R63" s="454"/>
      <c r="S63" s="455"/>
    </row>
    <row r="64" spans="1:19">
      <c r="A64" s="446">
        <v>19</v>
      </c>
      <c r="B64" s="447" t="s">
        <v>3648</v>
      </c>
      <c r="C64" s="448"/>
      <c r="D64" s="448"/>
      <c r="E64" s="449" t="s">
        <v>3649</v>
      </c>
      <c r="F64" s="450"/>
      <c r="G64" s="451"/>
      <c r="H64" s="451" t="s">
        <v>1423</v>
      </c>
      <c r="I64" s="440">
        <v>13282.5</v>
      </c>
      <c r="J64" s="440"/>
      <c r="K64" s="446"/>
      <c r="M64" s="469"/>
      <c r="N64" s="453"/>
      <c r="O64" s="454"/>
      <c r="P64" s="454"/>
      <c r="Q64" s="454"/>
      <c r="R64" s="454"/>
      <c r="S64" s="455"/>
    </row>
    <row r="65" spans="1:19">
      <c r="A65" s="486">
        <v>20</v>
      </c>
      <c r="B65" s="487" t="s">
        <v>2953</v>
      </c>
      <c r="C65" s="488"/>
      <c r="D65" s="488"/>
      <c r="E65" s="489"/>
      <c r="F65" s="536"/>
      <c r="G65" s="490"/>
      <c r="H65" s="490" t="s">
        <v>1423</v>
      </c>
      <c r="I65" s="456">
        <v>14500</v>
      </c>
      <c r="J65" s="456"/>
      <c r="K65" s="486"/>
      <c r="M65" s="469"/>
      <c r="N65" s="453"/>
      <c r="O65" s="454"/>
      <c r="P65" s="454"/>
      <c r="Q65" s="454"/>
      <c r="R65" s="454"/>
      <c r="S65" s="455"/>
    </row>
    <row r="66" spans="1:19">
      <c r="A66" s="491">
        <v>21</v>
      </c>
      <c r="B66" s="492" t="s">
        <v>3466</v>
      </c>
      <c r="C66" s="493"/>
      <c r="D66" s="493"/>
      <c r="E66" s="494"/>
      <c r="F66" s="537"/>
      <c r="G66" s="495"/>
      <c r="H66" s="495" t="s">
        <v>1423</v>
      </c>
      <c r="I66" s="457">
        <v>3570</v>
      </c>
      <c r="J66" s="457"/>
      <c r="K66" s="491"/>
      <c r="M66" s="469"/>
      <c r="N66" s="453"/>
      <c r="O66" s="454"/>
      <c r="P66" s="454"/>
      <c r="Q66" s="454"/>
      <c r="R66" s="454"/>
      <c r="S66" s="455"/>
    </row>
    <row r="67" spans="1:19">
      <c r="A67" s="446">
        <v>22</v>
      </c>
      <c r="B67" s="447" t="s">
        <v>3467</v>
      </c>
      <c r="C67" s="448"/>
      <c r="D67" s="448"/>
      <c r="E67" s="449"/>
      <c r="F67" s="450"/>
      <c r="G67" s="451"/>
      <c r="H67" s="451" t="s">
        <v>1423</v>
      </c>
      <c r="I67" s="440">
        <v>3200</v>
      </c>
      <c r="J67" s="440"/>
      <c r="K67" s="446"/>
      <c r="M67" s="469"/>
      <c r="N67" s="453"/>
      <c r="O67" s="454"/>
      <c r="P67" s="454"/>
      <c r="Q67" s="454"/>
      <c r="R67" s="454"/>
      <c r="S67" s="455"/>
    </row>
    <row r="68" spans="1:19">
      <c r="A68" s="446">
        <v>23</v>
      </c>
      <c r="B68" s="447" t="s">
        <v>3468</v>
      </c>
      <c r="C68" s="448"/>
      <c r="D68" s="448"/>
      <c r="E68" s="449"/>
      <c r="F68" s="450"/>
      <c r="G68" s="451"/>
      <c r="H68" s="451" t="s">
        <v>1423</v>
      </c>
      <c r="I68" s="440">
        <v>2700</v>
      </c>
      <c r="J68" s="440"/>
      <c r="K68" s="446"/>
      <c r="M68" s="469"/>
      <c r="N68" s="453"/>
      <c r="O68" s="454"/>
      <c r="P68" s="454"/>
      <c r="Q68" s="454"/>
      <c r="R68" s="454"/>
      <c r="S68" s="455"/>
    </row>
    <row r="69" spans="1:19">
      <c r="A69" s="446">
        <v>24</v>
      </c>
      <c r="B69" s="447" t="s">
        <v>2954</v>
      </c>
      <c r="C69" s="448"/>
      <c r="D69" s="448"/>
      <c r="E69" s="449"/>
      <c r="F69" s="450"/>
      <c r="G69" s="451"/>
      <c r="H69" s="451" t="s">
        <v>2646</v>
      </c>
      <c r="I69" s="440">
        <v>298200</v>
      </c>
      <c r="J69" s="440"/>
      <c r="K69" s="446"/>
      <c r="M69" s="469">
        <f t="shared" si="1"/>
        <v>225000</v>
      </c>
      <c r="N69" s="453"/>
      <c r="O69" s="454"/>
      <c r="P69" s="454">
        <v>225000</v>
      </c>
      <c r="Q69" s="454"/>
      <c r="R69" s="454"/>
      <c r="S69" s="455"/>
    </row>
    <row r="70" spans="1:19">
      <c r="A70" s="446">
        <v>25</v>
      </c>
      <c r="B70" s="447" t="s">
        <v>2954</v>
      </c>
      <c r="C70" s="448"/>
      <c r="D70" s="448"/>
      <c r="E70" s="449"/>
      <c r="F70" s="450"/>
      <c r="G70" s="451"/>
      <c r="H70" s="451" t="s">
        <v>773</v>
      </c>
      <c r="I70" s="440">
        <f>I69/1350.05</f>
        <v>220.88070812192143</v>
      </c>
      <c r="J70" s="440"/>
      <c r="K70" s="446"/>
      <c r="M70" s="469"/>
      <c r="N70" s="453"/>
      <c r="O70" s="454"/>
      <c r="P70" s="454"/>
      <c r="Q70" s="454"/>
      <c r="R70" s="454"/>
      <c r="S70" s="455"/>
    </row>
    <row r="71" spans="1:19">
      <c r="A71" s="446">
        <v>26</v>
      </c>
      <c r="B71" s="447" t="s">
        <v>2955</v>
      </c>
      <c r="C71" s="448"/>
      <c r="D71" s="448"/>
      <c r="E71" s="449"/>
      <c r="F71" s="450"/>
      <c r="G71" s="451"/>
      <c r="H71" s="451" t="s">
        <v>2646</v>
      </c>
      <c r="I71" s="440">
        <v>176000</v>
      </c>
      <c r="J71" s="440"/>
      <c r="K71" s="446"/>
      <c r="M71" s="469">
        <f t="shared" si="1"/>
        <v>287000</v>
      </c>
      <c r="N71" s="453">
        <v>140000</v>
      </c>
      <c r="O71" s="454">
        <v>115000</v>
      </c>
      <c r="P71" s="454">
        <v>190000</v>
      </c>
      <c r="Q71" s="454"/>
      <c r="R71" s="454">
        <v>850000</v>
      </c>
      <c r="S71" s="455">
        <v>140000</v>
      </c>
    </row>
    <row r="72" spans="1:19">
      <c r="A72" s="446">
        <v>27</v>
      </c>
      <c r="B72" s="447" t="s">
        <v>2955</v>
      </c>
      <c r="C72" s="448"/>
      <c r="D72" s="448"/>
      <c r="E72" s="449"/>
      <c r="F72" s="450"/>
      <c r="G72" s="451"/>
      <c r="H72" s="451" t="s">
        <v>773</v>
      </c>
      <c r="I72" s="440">
        <f>I71/1400.05</f>
        <v>125.70979607871148</v>
      </c>
      <c r="J72" s="440"/>
      <c r="K72" s="446"/>
      <c r="M72" s="469"/>
      <c r="N72" s="453"/>
      <c r="O72" s="454"/>
      <c r="P72" s="454"/>
      <c r="Q72" s="454"/>
      <c r="R72" s="454"/>
      <c r="S72" s="455"/>
    </row>
    <row r="73" spans="1:19">
      <c r="A73" s="446">
        <v>28</v>
      </c>
      <c r="B73" s="447" t="s">
        <v>2956</v>
      </c>
      <c r="C73" s="448"/>
      <c r="D73" s="448"/>
      <c r="E73" s="449"/>
      <c r="F73" s="450"/>
      <c r="G73" s="451"/>
      <c r="H73" s="451" t="s">
        <v>2646</v>
      </c>
      <c r="I73" s="440">
        <v>126500</v>
      </c>
      <c r="J73" s="440"/>
      <c r="K73" s="446"/>
      <c r="M73" s="469">
        <f t="shared" si="1"/>
        <v>131666.66666666666</v>
      </c>
      <c r="N73" s="453">
        <v>125000</v>
      </c>
      <c r="O73" s="454"/>
      <c r="P73" s="454">
        <v>150000</v>
      </c>
      <c r="Q73" s="454"/>
      <c r="R73" s="454"/>
      <c r="S73" s="455">
        <v>120000</v>
      </c>
    </row>
    <row r="74" spans="1:19">
      <c r="A74" s="446">
        <v>29</v>
      </c>
      <c r="B74" s="447" t="s">
        <v>2957</v>
      </c>
      <c r="C74" s="448"/>
      <c r="D74" s="448"/>
      <c r="E74" s="449"/>
      <c r="F74" s="450"/>
      <c r="G74" s="451"/>
      <c r="H74" s="451" t="s">
        <v>2958</v>
      </c>
      <c r="I74" s="440">
        <v>137500</v>
      </c>
      <c r="J74" s="440"/>
      <c r="K74" s="446"/>
      <c r="M74" s="469">
        <f t="shared" si="1"/>
        <v>146000</v>
      </c>
      <c r="N74" s="453">
        <v>175000</v>
      </c>
      <c r="O74" s="454">
        <v>135000</v>
      </c>
      <c r="P74" s="454"/>
      <c r="Q74" s="454">
        <v>130000</v>
      </c>
      <c r="R74" s="454">
        <v>115000</v>
      </c>
      <c r="S74" s="455">
        <v>175000</v>
      </c>
    </row>
    <row r="75" spans="1:19">
      <c r="A75" s="446">
        <v>30</v>
      </c>
      <c r="B75" s="447" t="s">
        <v>2957</v>
      </c>
      <c r="C75" s="448"/>
      <c r="D75" s="448"/>
      <c r="E75" s="449"/>
      <c r="F75" s="450"/>
      <c r="G75" s="451"/>
      <c r="H75" s="451" t="s">
        <v>773</v>
      </c>
      <c r="I75" s="440">
        <f>I74/40</f>
        <v>3437.5</v>
      </c>
      <c r="J75" s="440"/>
      <c r="K75" s="446"/>
      <c r="M75" s="469">
        <f t="shared" si="1"/>
        <v>12218.75</v>
      </c>
      <c r="N75" s="453">
        <v>4500</v>
      </c>
      <c r="O75" s="454">
        <v>35000</v>
      </c>
      <c r="P75" s="454"/>
      <c r="Q75" s="454">
        <v>5000</v>
      </c>
      <c r="R75" s="454"/>
      <c r="S75" s="455">
        <v>4375</v>
      </c>
    </row>
    <row r="76" spans="1:19">
      <c r="A76" s="446">
        <v>31</v>
      </c>
      <c r="B76" s="447" t="s">
        <v>2959</v>
      </c>
      <c r="C76" s="448"/>
      <c r="D76" s="448"/>
      <c r="E76" s="449"/>
      <c r="F76" s="450"/>
      <c r="G76" s="451"/>
      <c r="H76" s="451" t="s">
        <v>2958</v>
      </c>
      <c r="I76" s="440">
        <v>65000</v>
      </c>
      <c r="J76" s="440"/>
      <c r="K76" s="446"/>
      <c r="M76" s="469">
        <f t="shared" si="1"/>
        <v>51250</v>
      </c>
      <c r="N76" s="453">
        <v>52000</v>
      </c>
      <c r="O76" s="454">
        <v>50000</v>
      </c>
      <c r="P76" s="454">
        <v>52000</v>
      </c>
      <c r="Q76" s="454">
        <v>52000</v>
      </c>
      <c r="R76" s="454">
        <v>50000</v>
      </c>
      <c r="S76" s="455">
        <v>51500</v>
      </c>
    </row>
    <row r="77" spans="1:19">
      <c r="A77" s="446">
        <v>32</v>
      </c>
      <c r="B77" s="447" t="s">
        <v>2960</v>
      </c>
      <c r="C77" s="448"/>
      <c r="D77" s="448"/>
      <c r="E77" s="449"/>
      <c r="F77" s="450"/>
      <c r="G77" s="451"/>
      <c r="H77" s="451" t="s">
        <v>773</v>
      </c>
      <c r="I77" s="440">
        <f>I76/40</f>
        <v>1625</v>
      </c>
      <c r="J77" s="440"/>
      <c r="K77" s="446"/>
      <c r="M77" s="469">
        <f t="shared" si="1"/>
        <v>1857.4</v>
      </c>
      <c r="N77" s="453">
        <v>1500</v>
      </c>
      <c r="O77" s="454">
        <v>1500</v>
      </c>
      <c r="P77" s="454">
        <v>3000</v>
      </c>
      <c r="Q77" s="454">
        <v>2000</v>
      </c>
      <c r="R77" s="454"/>
      <c r="S77" s="455">
        <v>1287</v>
      </c>
    </row>
    <row r="78" spans="1:19">
      <c r="A78" s="446">
        <v>33</v>
      </c>
      <c r="B78" s="447" t="s">
        <v>2961</v>
      </c>
      <c r="C78" s="448"/>
      <c r="D78" s="448"/>
      <c r="E78" s="449"/>
      <c r="F78" s="450"/>
      <c r="G78" s="451"/>
      <c r="H78" s="451" t="s">
        <v>773</v>
      </c>
      <c r="I78" s="440">
        <v>6000</v>
      </c>
      <c r="J78" s="440"/>
      <c r="K78" s="446"/>
      <c r="M78" s="469"/>
      <c r="N78" s="453"/>
      <c r="O78" s="454"/>
      <c r="P78" s="454"/>
      <c r="Q78" s="454"/>
      <c r="R78" s="454"/>
      <c r="S78" s="455"/>
    </row>
    <row r="79" spans="1:19">
      <c r="A79" s="446">
        <v>34</v>
      </c>
      <c r="B79" s="447" t="s">
        <v>3446</v>
      </c>
      <c r="C79" s="448"/>
      <c r="D79" s="448"/>
      <c r="E79" s="449"/>
      <c r="F79" s="450"/>
      <c r="G79" s="451"/>
      <c r="H79" s="451" t="s">
        <v>773</v>
      </c>
      <c r="I79" s="440">
        <v>6000</v>
      </c>
      <c r="J79" s="440"/>
      <c r="K79" s="446"/>
      <c r="M79" s="469"/>
      <c r="N79" s="453"/>
      <c r="O79" s="454"/>
      <c r="P79" s="454"/>
      <c r="Q79" s="454"/>
      <c r="R79" s="454"/>
      <c r="S79" s="455"/>
    </row>
    <row r="80" spans="1:19">
      <c r="A80" s="446">
        <v>35</v>
      </c>
      <c r="B80" s="447" t="s">
        <v>2962</v>
      </c>
      <c r="C80" s="448"/>
      <c r="D80" s="448"/>
      <c r="E80" s="449"/>
      <c r="F80" s="450"/>
      <c r="G80" s="451"/>
      <c r="H80" s="451" t="s">
        <v>2646</v>
      </c>
      <c r="I80" s="440">
        <v>207000</v>
      </c>
      <c r="J80" s="440"/>
      <c r="K80" s="446"/>
      <c r="M80" s="469">
        <f t="shared" si="1"/>
        <v>250000</v>
      </c>
      <c r="N80" s="453"/>
      <c r="O80" s="454">
        <v>270000</v>
      </c>
      <c r="P80" s="454"/>
      <c r="Q80" s="454">
        <v>230000</v>
      </c>
      <c r="R80" s="454"/>
      <c r="S80" s="455"/>
    </row>
    <row r="81" spans="1:19">
      <c r="A81" s="446">
        <v>36</v>
      </c>
      <c r="B81" s="447" t="s">
        <v>2963</v>
      </c>
      <c r="C81" s="448"/>
      <c r="D81" s="448"/>
      <c r="E81" s="449"/>
      <c r="F81" s="450"/>
      <c r="G81" s="451"/>
      <c r="H81" s="451" t="s">
        <v>2646</v>
      </c>
      <c r="I81" s="440">
        <v>126500</v>
      </c>
      <c r="J81" s="440"/>
      <c r="K81" s="446"/>
      <c r="M81" s="469">
        <f t="shared" si="1"/>
        <v>250000</v>
      </c>
      <c r="N81" s="453"/>
      <c r="O81" s="454">
        <v>250000</v>
      </c>
      <c r="P81" s="454"/>
      <c r="Q81" s="454"/>
      <c r="R81" s="454"/>
      <c r="S81" s="455"/>
    </row>
    <row r="82" spans="1:19">
      <c r="A82" s="446">
        <v>37</v>
      </c>
      <c r="B82" s="447" t="s">
        <v>2964</v>
      </c>
      <c r="C82" s="448"/>
      <c r="D82" s="448"/>
      <c r="E82" s="449"/>
      <c r="F82" s="450"/>
      <c r="G82" s="451"/>
      <c r="H82" s="451" t="s">
        <v>2646</v>
      </c>
      <c r="I82" s="440">
        <v>200000</v>
      </c>
      <c r="J82" s="440"/>
      <c r="K82" s="446"/>
      <c r="M82" s="469"/>
      <c r="N82" s="453"/>
      <c r="O82" s="454"/>
      <c r="P82" s="454"/>
      <c r="Q82" s="454"/>
      <c r="R82" s="454"/>
      <c r="S82" s="455"/>
    </row>
    <row r="83" spans="1:19">
      <c r="A83" s="446">
        <v>38</v>
      </c>
      <c r="B83" s="460" t="s">
        <v>2965</v>
      </c>
      <c r="C83" s="461"/>
      <c r="D83" s="448"/>
      <c r="E83" s="538"/>
      <c r="F83" s="478"/>
      <c r="G83" s="451"/>
      <c r="H83" s="451" t="s">
        <v>2966</v>
      </c>
      <c r="I83" s="458">
        <v>433125</v>
      </c>
      <c r="J83" s="458"/>
      <c r="K83" s="446"/>
      <c r="M83" s="469"/>
      <c r="N83" s="453"/>
      <c r="O83" s="454"/>
      <c r="P83" s="454"/>
      <c r="Q83" s="454"/>
      <c r="R83" s="454"/>
      <c r="S83" s="455"/>
    </row>
    <row r="84" spans="1:19">
      <c r="A84" s="446">
        <v>39</v>
      </c>
      <c r="B84" s="460" t="s">
        <v>3431</v>
      </c>
      <c r="C84" s="461"/>
      <c r="D84" s="448"/>
      <c r="E84" s="538"/>
      <c r="F84" s="478"/>
      <c r="G84" s="451"/>
      <c r="H84" s="451" t="s">
        <v>3106</v>
      </c>
      <c r="I84" s="458">
        <v>176400</v>
      </c>
      <c r="J84" s="458"/>
      <c r="K84" s="446"/>
      <c r="M84" s="469"/>
      <c r="N84" s="453"/>
      <c r="O84" s="454"/>
      <c r="P84" s="454"/>
      <c r="Q84" s="454"/>
      <c r="R84" s="454"/>
      <c r="S84" s="455"/>
    </row>
    <row r="85" spans="1:19">
      <c r="A85" s="446">
        <v>40</v>
      </c>
      <c r="B85" s="460" t="s">
        <v>3432</v>
      </c>
      <c r="C85" s="461"/>
      <c r="D85" s="448"/>
      <c r="E85" s="538"/>
      <c r="F85" s="478"/>
      <c r="G85" s="451"/>
      <c r="H85" s="451" t="s">
        <v>2667</v>
      </c>
      <c r="I85" s="458">
        <v>330750</v>
      </c>
      <c r="J85" s="458"/>
      <c r="K85" s="446"/>
      <c r="M85" s="469"/>
      <c r="N85" s="453"/>
      <c r="O85" s="454"/>
      <c r="P85" s="454"/>
      <c r="Q85" s="454"/>
      <c r="R85" s="454"/>
      <c r="S85" s="455"/>
    </row>
    <row r="86" spans="1:19">
      <c r="A86" s="446">
        <v>41</v>
      </c>
      <c r="B86" s="460" t="s">
        <v>3531</v>
      </c>
      <c r="C86" s="461"/>
      <c r="D86" s="448"/>
      <c r="E86" s="538"/>
      <c r="F86" s="478"/>
      <c r="G86" s="451"/>
      <c r="H86" s="451" t="s">
        <v>773</v>
      </c>
      <c r="I86" s="458">
        <v>78750</v>
      </c>
      <c r="J86" s="458"/>
      <c r="K86" s="446"/>
      <c r="M86" s="469"/>
      <c r="N86" s="453"/>
      <c r="O86" s="454"/>
      <c r="P86" s="454"/>
      <c r="Q86" s="454"/>
      <c r="R86" s="454"/>
      <c r="S86" s="455"/>
    </row>
    <row r="87" spans="1:19">
      <c r="A87" s="446">
        <v>42</v>
      </c>
      <c r="B87" s="460" t="s">
        <v>937</v>
      </c>
      <c r="C87" s="461"/>
      <c r="D87" s="448"/>
      <c r="E87" s="538"/>
      <c r="F87" s="478"/>
      <c r="G87" s="451"/>
      <c r="H87" s="451"/>
      <c r="I87" s="458">
        <v>4900</v>
      </c>
      <c r="J87" s="458"/>
      <c r="K87" s="446"/>
      <c r="M87" s="469"/>
      <c r="N87" s="453"/>
      <c r="O87" s="454"/>
      <c r="P87" s="454"/>
      <c r="Q87" s="454"/>
      <c r="R87" s="454"/>
      <c r="S87" s="455"/>
    </row>
    <row r="88" spans="1:19">
      <c r="A88" s="477"/>
      <c r="B88" s="460"/>
      <c r="C88" s="461"/>
      <c r="D88" s="448"/>
      <c r="E88" s="538"/>
      <c r="F88" s="478"/>
      <c r="G88" s="451"/>
      <c r="H88" s="451"/>
      <c r="I88" s="458"/>
      <c r="J88" s="458"/>
      <c r="K88" s="446"/>
      <c r="M88" s="469"/>
      <c r="N88" s="453"/>
      <c r="O88" s="454"/>
      <c r="P88" s="454"/>
      <c r="Q88" s="454"/>
      <c r="R88" s="454"/>
      <c r="S88" s="455"/>
    </row>
    <row r="89" spans="1:19">
      <c r="A89" s="477"/>
      <c r="B89" s="484" t="s">
        <v>2967</v>
      </c>
      <c r="C89" s="485"/>
      <c r="D89" s="485"/>
      <c r="E89" s="538"/>
      <c r="F89" s="478"/>
      <c r="G89" s="451"/>
      <c r="H89" s="451"/>
      <c r="I89" s="445"/>
      <c r="J89" s="445"/>
      <c r="K89" s="446"/>
      <c r="M89" s="469"/>
      <c r="N89" s="453"/>
      <c r="O89" s="454"/>
      <c r="P89" s="454"/>
      <c r="Q89" s="454"/>
      <c r="R89" s="454"/>
      <c r="S89" s="455"/>
    </row>
    <row r="90" spans="1:19" s="468" customFormat="1">
      <c r="A90" s="446">
        <v>1</v>
      </c>
      <c r="B90" s="473" t="s">
        <v>812</v>
      </c>
      <c r="C90" s="462"/>
      <c r="D90" s="462"/>
      <c r="E90" s="463"/>
      <c r="F90" s="464"/>
      <c r="G90" s="465"/>
      <c r="H90" s="465" t="s">
        <v>773</v>
      </c>
      <c r="I90" s="440">
        <v>33000</v>
      </c>
      <c r="J90" s="440"/>
      <c r="K90" s="467"/>
      <c r="M90" s="469">
        <f t="shared" si="1"/>
        <v>5000</v>
      </c>
      <c r="N90" s="453"/>
      <c r="O90" s="454"/>
      <c r="P90" s="454"/>
      <c r="Q90" s="454">
        <v>5000</v>
      </c>
      <c r="R90" s="454"/>
      <c r="S90" s="455"/>
    </row>
    <row r="91" spans="1:19">
      <c r="A91" s="446">
        <f t="shared" ref="A91:A108" si="2">A90+1</f>
        <v>2</v>
      </c>
      <c r="B91" s="447" t="s">
        <v>2968</v>
      </c>
      <c r="C91" s="448"/>
      <c r="D91" s="448"/>
      <c r="E91" s="449"/>
      <c r="F91" s="450"/>
      <c r="G91" s="451"/>
      <c r="H91" s="451" t="s">
        <v>2667</v>
      </c>
      <c r="I91" s="440">
        <v>21000</v>
      </c>
      <c r="J91" s="440"/>
      <c r="K91" s="446"/>
      <c r="M91" s="469">
        <f t="shared" si="1"/>
        <v>23333.333333333332</v>
      </c>
      <c r="N91" s="453">
        <v>25000</v>
      </c>
      <c r="O91" s="454"/>
      <c r="P91" s="454">
        <v>20000</v>
      </c>
      <c r="Q91" s="454"/>
      <c r="R91" s="454"/>
      <c r="S91" s="455">
        <v>25000</v>
      </c>
    </row>
    <row r="92" spans="1:19">
      <c r="A92" s="446">
        <f t="shared" si="2"/>
        <v>3</v>
      </c>
      <c r="B92" s="447" t="s">
        <v>2969</v>
      </c>
      <c r="C92" s="448"/>
      <c r="D92" s="448"/>
      <c r="E92" s="449"/>
      <c r="F92" s="450"/>
      <c r="G92" s="451"/>
      <c r="H92" s="451" t="s">
        <v>2970</v>
      </c>
      <c r="I92" s="440">
        <v>4900</v>
      </c>
      <c r="J92" s="440"/>
      <c r="K92" s="446"/>
      <c r="M92" s="469"/>
      <c r="N92" s="453"/>
      <c r="O92" s="454"/>
      <c r="P92" s="454"/>
      <c r="Q92" s="454"/>
      <c r="R92" s="454"/>
      <c r="S92" s="455"/>
    </row>
    <row r="93" spans="1:19">
      <c r="A93" s="446">
        <f t="shared" si="2"/>
        <v>4</v>
      </c>
      <c r="B93" s="447" t="s">
        <v>2971</v>
      </c>
      <c r="C93" s="448"/>
      <c r="D93" s="448"/>
      <c r="E93" s="449"/>
      <c r="F93" s="450"/>
      <c r="G93" s="451"/>
      <c r="H93" s="451" t="s">
        <v>2970</v>
      </c>
      <c r="I93" s="440">
        <v>38500</v>
      </c>
      <c r="J93" s="440"/>
      <c r="K93" s="446"/>
      <c r="M93" s="469"/>
      <c r="N93" s="453"/>
      <c r="O93" s="454"/>
      <c r="P93" s="454"/>
      <c r="Q93" s="454"/>
      <c r="R93" s="454"/>
      <c r="S93" s="455"/>
    </row>
    <row r="94" spans="1:19">
      <c r="A94" s="446">
        <f t="shared" si="2"/>
        <v>5</v>
      </c>
      <c r="B94" s="447" t="s">
        <v>3425</v>
      </c>
      <c r="C94" s="448"/>
      <c r="D94" s="448"/>
      <c r="E94" s="449"/>
      <c r="F94" s="450"/>
      <c r="G94" s="451"/>
      <c r="H94" s="451" t="s">
        <v>2646</v>
      </c>
      <c r="I94" s="440">
        <v>10500000</v>
      </c>
      <c r="J94" s="440"/>
      <c r="K94" s="446"/>
      <c r="M94" s="469"/>
      <c r="N94" s="453"/>
      <c r="O94" s="454"/>
      <c r="P94" s="454"/>
      <c r="Q94" s="454"/>
      <c r="R94" s="454"/>
      <c r="S94" s="455"/>
    </row>
    <row r="95" spans="1:19">
      <c r="A95" s="446">
        <f t="shared" si="2"/>
        <v>6</v>
      </c>
      <c r="B95" s="447" t="s">
        <v>3426</v>
      </c>
      <c r="C95" s="448"/>
      <c r="D95" s="448"/>
      <c r="E95" s="449"/>
      <c r="F95" s="450"/>
      <c r="G95" s="451"/>
      <c r="H95" s="451" t="s">
        <v>2646</v>
      </c>
      <c r="I95" s="440">
        <v>6825000</v>
      </c>
      <c r="J95" s="440"/>
      <c r="K95" s="446"/>
      <c r="M95" s="469"/>
      <c r="N95" s="453"/>
      <c r="O95" s="454"/>
      <c r="P95" s="454"/>
      <c r="Q95" s="454"/>
      <c r="R95" s="454"/>
      <c r="S95" s="455"/>
    </row>
    <row r="96" spans="1:19">
      <c r="A96" s="446">
        <f t="shared" si="2"/>
        <v>7</v>
      </c>
      <c r="B96" s="447" t="s">
        <v>3427</v>
      </c>
      <c r="C96" s="448"/>
      <c r="D96" s="448"/>
      <c r="E96" s="449"/>
      <c r="F96" s="450"/>
      <c r="G96" s="451"/>
      <c r="H96" s="451" t="s">
        <v>2646</v>
      </c>
      <c r="I96" s="440">
        <v>3465000</v>
      </c>
      <c r="J96" s="440"/>
      <c r="K96" s="446"/>
      <c r="M96" s="469">
        <f t="shared" si="1"/>
        <v>2433000</v>
      </c>
      <c r="N96" s="453"/>
      <c r="O96" s="454">
        <v>66000</v>
      </c>
      <c r="P96" s="454"/>
      <c r="Q96" s="454"/>
      <c r="R96" s="454">
        <v>4800000</v>
      </c>
      <c r="S96" s="455"/>
    </row>
    <row r="97" spans="1:19">
      <c r="A97" s="446">
        <f t="shared" si="2"/>
        <v>8</v>
      </c>
      <c r="B97" s="447" t="s">
        <v>2972</v>
      </c>
      <c r="C97" s="448"/>
      <c r="D97" s="448"/>
      <c r="E97" s="449"/>
      <c r="F97" s="450"/>
      <c r="G97" s="451"/>
      <c r="H97" s="451" t="s">
        <v>773</v>
      </c>
      <c r="I97" s="440">
        <v>22000</v>
      </c>
      <c r="J97" s="440"/>
      <c r="K97" s="446"/>
      <c r="M97" s="469">
        <f t="shared" si="1"/>
        <v>58900</v>
      </c>
      <c r="N97" s="453">
        <v>125000</v>
      </c>
      <c r="O97" s="454">
        <v>15500</v>
      </c>
      <c r="P97" s="454">
        <v>14000</v>
      </c>
      <c r="Q97" s="454">
        <v>15000</v>
      </c>
      <c r="R97" s="454"/>
      <c r="S97" s="455">
        <v>125000</v>
      </c>
    </row>
    <row r="98" spans="1:19">
      <c r="A98" s="446">
        <f t="shared" si="2"/>
        <v>9</v>
      </c>
      <c r="B98" s="473" t="s">
        <v>2973</v>
      </c>
      <c r="C98" s="462"/>
      <c r="D98" s="462"/>
      <c r="E98" s="463"/>
      <c r="F98" s="464"/>
      <c r="G98" s="465"/>
      <c r="H98" s="451" t="s">
        <v>773</v>
      </c>
      <c r="I98" s="440">
        <v>33000</v>
      </c>
      <c r="J98" s="440"/>
      <c r="K98" s="467"/>
      <c r="M98" s="469">
        <f t="shared" si="1"/>
        <v>20500</v>
      </c>
      <c r="N98" s="453"/>
      <c r="O98" s="454">
        <v>20500</v>
      </c>
      <c r="P98" s="454"/>
      <c r="Q98" s="454"/>
      <c r="R98" s="454"/>
      <c r="S98" s="455"/>
    </row>
    <row r="99" spans="1:19">
      <c r="A99" s="446">
        <f t="shared" si="2"/>
        <v>10</v>
      </c>
      <c r="B99" s="473" t="s">
        <v>2974</v>
      </c>
      <c r="C99" s="462"/>
      <c r="D99" s="462"/>
      <c r="E99" s="463"/>
      <c r="F99" s="464"/>
      <c r="G99" s="465"/>
      <c r="H99" s="451" t="s">
        <v>1423</v>
      </c>
      <c r="I99" s="440">
        <v>71500</v>
      </c>
      <c r="J99" s="440"/>
      <c r="K99" s="467"/>
      <c r="M99" s="469"/>
      <c r="N99" s="453"/>
      <c r="O99" s="454"/>
      <c r="P99" s="454"/>
      <c r="Q99" s="454"/>
      <c r="R99" s="454"/>
      <c r="S99" s="455"/>
    </row>
    <row r="100" spans="1:19">
      <c r="A100" s="446">
        <f t="shared" si="2"/>
        <v>11</v>
      </c>
      <c r="B100" s="447" t="s">
        <v>2975</v>
      </c>
      <c r="C100" s="448"/>
      <c r="D100" s="448"/>
      <c r="E100" s="449"/>
      <c r="F100" s="450"/>
      <c r="G100" s="451"/>
      <c r="H100" s="451" t="s">
        <v>2976</v>
      </c>
      <c r="I100" s="440">
        <v>29750</v>
      </c>
      <c r="J100" s="440"/>
      <c r="K100" s="446"/>
      <c r="M100" s="469"/>
      <c r="N100" s="453"/>
      <c r="O100" s="454"/>
      <c r="P100" s="454"/>
      <c r="Q100" s="454"/>
      <c r="R100" s="454"/>
      <c r="S100" s="455"/>
    </row>
    <row r="101" spans="1:19">
      <c r="A101" s="446">
        <f t="shared" si="2"/>
        <v>12</v>
      </c>
      <c r="B101" s="447" t="s">
        <v>2977</v>
      </c>
      <c r="C101" s="448"/>
      <c r="D101" s="448"/>
      <c r="E101" s="449"/>
      <c r="F101" s="450"/>
      <c r="G101" s="451"/>
      <c r="H101" s="451" t="s">
        <v>2976</v>
      </c>
      <c r="I101" s="440">
        <v>29750</v>
      </c>
      <c r="J101" s="440"/>
      <c r="K101" s="446"/>
      <c r="M101" s="469">
        <f t="shared" si="1"/>
        <v>60000</v>
      </c>
      <c r="N101" s="453">
        <v>70000</v>
      </c>
      <c r="O101" s="454"/>
      <c r="P101" s="454">
        <v>40000</v>
      </c>
      <c r="Q101" s="454"/>
      <c r="R101" s="454"/>
      <c r="S101" s="455">
        <v>70000</v>
      </c>
    </row>
    <row r="102" spans="1:19">
      <c r="A102" s="446">
        <f t="shared" si="2"/>
        <v>13</v>
      </c>
      <c r="B102" s="447" t="s">
        <v>2978</v>
      </c>
      <c r="C102" s="448"/>
      <c r="D102" s="448"/>
      <c r="E102" s="449"/>
      <c r="F102" s="450"/>
      <c r="G102" s="451"/>
      <c r="H102" s="451" t="s">
        <v>2976</v>
      </c>
      <c r="I102" s="440">
        <v>93500</v>
      </c>
      <c r="J102" s="440"/>
      <c r="K102" s="446"/>
      <c r="M102" s="469">
        <f t="shared" si="1"/>
        <v>68000</v>
      </c>
      <c r="N102" s="453">
        <v>60000</v>
      </c>
      <c r="O102" s="454">
        <v>75000</v>
      </c>
      <c r="P102" s="454">
        <v>68000</v>
      </c>
      <c r="Q102" s="454">
        <v>75000</v>
      </c>
      <c r="R102" s="454">
        <v>70000</v>
      </c>
      <c r="S102" s="455">
        <v>60000</v>
      </c>
    </row>
    <row r="103" spans="1:19">
      <c r="A103" s="446">
        <f t="shared" si="2"/>
        <v>14</v>
      </c>
      <c r="B103" s="447" t="s">
        <v>2979</v>
      </c>
      <c r="C103" s="448"/>
      <c r="D103" s="448"/>
      <c r="E103" s="449"/>
      <c r="F103" s="450"/>
      <c r="G103" s="451"/>
      <c r="H103" s="451" t="s">
        <v>2976</v>
      </c>
      <c r="I103" s="440">
        <v>121000</v>
      </c>
      <c r="J103" s="440"/>
      <c r="K103" s="446"/>
      <c r="M103" s="469">
        <f t="shared" si="1"/>
        <v>85166.666666666672</v>
      </c>
      <c r="N103" s="453">
        <v>75000</v>
      </c>
      <c r="O103" s="454">
        <v>94000</v>
      </c>
      <c r="P103" s="454">
        <v>92000</v>
      </c>
      <c r="Q103" s="454">
        <v>95000</v>
      </c>
      <c r="R103" s="454">
        <v>80000</v>
      </c>
      <c r="S103" s="455">
        <v>75000</v>
      </c>
    </row>
    <row r="104" spans="1:19">
      <c r="A104" s="446">
        <f t="shared" si="2"/>
        <v>15</v>
      </c>
      <c r="B104" s="447" t="s">
        <v>2980</v>
      </c>
      <c r="C104" s="448"/>
      <c r="D104" s="448"/>
      <c r="E104" s="449"/>
      <c r="F104" s="450"/>
      <c r="G104" s="451"/>
      <c r="H104" s="451" t="s">
        <v>2976</v>
      </c>
      <c r="I104" s="440">
        <v>159500</v>
      </c>
      <c r="J104" s="440"/>
      <c r="K104" s="446"/>
      <c r="M104" s="469">
        <f t="shared" si="1"/>
        <v>123000</v>
      </c>
      <c r="N104" s="453">
        <v>135000</v>
      </c>
      <c r="O104" s="454">
        <v>115000</v>
      </c>
      <c r="P104" s="454">
        <v>108000</v>
      </c>
      <c r="Q104" s="454">
        <v>125000</v>
      </c>
      <c r="R104" s="454">
        <v>120000</v>
      </c>
      <c r="S104" s="455">
        <v>135000</v>
      </c>
    </row>
    <row r="105" spans="1:19">
      <c r="A105" s="446">
        <f t="shared" si="2"/>
        <v>16</v>
      </c>
      <c r="B105" s="447" t="s">
        <v>2981</v>
      </c>
      <c r="C105" s="448"/>
      <c r="D105" s="448"/>
      <c r="E105" s="449"/>
      <c r="F105" s="450"/>
      <c r="G105" s="451"/>
      <c r="H105" s="451" t="s">
        <v>2976</v>
      </c>
      <c r="I105" s="440">
        <v>133800</v>
      </c>
      <c r="J105" s="440"/>
      <c r="K105" s="446"/>
      <c r="M105" s="469">
        <f t="shared" si="1"/>
        <v>170000</v>
      </c>
      <c r="N105" s="453">
        <v>170000</v>
      </c>
      <c r="O105" s="454"/>
      <c r="P105" s="454"/>
      <c r="Q105" s="454"/>
      <c r="R105" s="454"/>
      <c r="S105" s="455">
        <v>170000</v>
      </c>
    </row>
    <row r="106" spans="1:19">
      <c r="A106" s="446">
        <f t="shared" si="2"/>
        <v>17</v>
      </c>
      <c r="B106" s="447" t="s">
        <v>3428</v>
      </c>
      <c r="C106" s="448"/>
      <c r="D106" s="448"/>
      <c r="E106" s="449"/>
      <c r="F106" s="450"/>
      <c r="G106" s="451"/>
      <c r="H106" s="451" t="s">
        <v>3429</v>
      </c>
      <c r="I106" s="440">
        <v>16500</v>
      </c>
      <c r="J106" s="440"/>
      <c r="K106" s="446"/>
      <c r="M106" s="469">
        <f t="shared" si="1"/>
        <v>14666.666666666666</v>
      </c>
      <c r="N106" s="453">
        <v>15000</v>
      </c>
      <c r="O106" s="454"/>
      <c r="P106" s="454">
        <v>14000</v>
      </c>
      <c r="Q106" s="454"/>
      <c r="R106" s="454"/>
      <c r="S106" s="455">
        <v>15000</v>
      </c>
    </row>
    <row r="107" spans="1:19">
      <c r="A107" s="446">
        <f t="shared" si="2"/>
        <v>18</v>
      </c>
      <c r="B107" s="447" t="s">
        <v>3443</v>
      </c>
      <c r="C107" s="448"/>
      <c r="D107" s="448"/>
      <c r="E107" s="449"/>
      <c r="F107" s="450"/>
      <c r="G107" s="451"/>
      <c r="H107" s="451" t="s">
        <v>3106</v>
      </c>
      <c r="I107" s="440">
        <v>341250</v>
      </c>
      <c r="J107" s="440"/>
      <c r="K107" s="446"/>
      <c r="M107" s="469"/>
      <c r="N107" s="453"/>
      <c r="O107" s="454"/>
      <c r="P107" s="454"/>
      <c r="Q107" s="454"/>
      <c r="R107" s="454"/>
      <c r="S107" s="455"/>
    </row>
    <row r="108" spans="1:19">
      <c r="A108" s="446">
        <f t="shared" si="2"/>
        <v>19</v>
      </c>
      <c r="B108" s="447" t="s">
        <v>1289</v>
      </c>
      <c r="C108" s="448"/>
      <c r="D108" s="448"/>
      <c r="E108" s="449"/>
      <c r="F108" s="450"/>
      <c r="G108" s="451"/>
      <c r="H108" s="451" t="s">
        <v>3106</v>
      </c>
      <c r="I108" s="440">
        <v>125000</v>
      </c>
      <c r="J108" s="440"/>
      <c r="K108" s="446"/>
      <c r="M108" s="469">
        <f t="shared" si="1"/>
        <v>140000</v>
      </c>
      <c r="N108" s="453">
        <v>170000</v>
      </c>
      <c r="O108" s="454"/>
      <c r="P108" s="454"/>
      <c r="Q108" s="454"/>
      <c r="R108" s="454">
        <v>80000</v>
      </c>
      <c r="S108" s="455">
        <v>170000</v>
      </c>
    </row>
    <row r="109" spans="1:19">
      <c r="A109" s="446"/>
      <c r="B109" s="447"/>
      <c r="C109" s="448"/>
      <c r="D109" s="448"/>
      <c r="E109" s="449"/>
      <c r="F109" s="450"/>
      <c r="G109" s="451"/>
      <c r="H109" s="451"/>
      <c r="I109" s="440"/>
      <c r="J109" s="440"/>
      <c r="K109" s="446"/>
      <c r="M109" s="469"/>
      <c r="N109" s="453"/>
      <c r="O109" s="454"/>
      <c r="P109" s="454"/>
      <c r="Q109" s="454"/>
      <c r="R109" s="454"/>
      <c r="S109" s="455"/>
    </row>
    <row r="110" spans="1:19">
      <c r="A110" s="477"/>
      <c r="B110" s="484" t="s">
        <v>2982</v>
      </c>
      <c r="C110" s="485"/>
      <c r="D110" s="485"/>
      <c r="E110" s="538"/>
      <c r="F110" s="478"/>
      <c r="G110" s="451"/>
      <c r="H110" s="451"/>
      <c r="I110" s="445"/>
      <c r="J110" s="445"/>
      <c r="K110" s="446"/>
      <c r="M110" s="469"/>
      <c r="N110" s="453"/>
      <c r="O110" s="454"/>
      <c r="P110" s="454"/>
      <c r="Q110" s="454"/>
      <c r="R110" s="454"/>
      <c r="S110" s="455"/>
    </row>
    <row r="111" spans="1:19" hidden="1">
      <c r="A111" s="477"/>
      <c r="B111" s="484"/>
      <c r="C111" s="485"/>
      <c r="D111" s="485"/>
      <c r="E111" s="538"/>
      <c r="F111" s="478"/>
      <c r="G111" s="451"/>
      <c r="H111" s="451"/>
      <c r="I111" s="445"/>
      <c r="J111" s="445"/>
      <c r="K111" s="446"/>
      <c r="M111" s="469" t="e">
        <f t="shared" ref="M111:M172" si="3">AVERAGE(N111:S111)</f>
        <v>#DIV/0!</v>
      </c>
      <c r="N111" s="453"/>
      <c r="O111" s="454"/>
      <c r="P111" s="454"/>
      <c r="Q111" s="454"/>
      <c r="R111" s="454"/>
      <c r="S111" s="455"/>
    </row>
    <row r="112" spans="1:19">
      <c r="A112" s="446">
        <v>1</v>
      </c>
      <c r="B112" s="447" t="s">
        <v>2983</v>
      </c>
      <c r="C112" s="448"/>
      <c r="D112" s="448"/>
      <c r="E112" s="449"/>
      <c r="F112" s="450"/>
      <c r="G112" s="451"/>
      <c r="H112" s="451" t="s">
        <v>773</v>
      </c>
      <c r="I112" s="440">
        <v>13200</v>
      </c>
      <c r="J112" s="440"/>
      <c r="K112" s="446"/>
      <c r="M112" s="469">
        <f t="shared" si="3"/>
        <v>14500</v>
      </c>
      <c r="N112" s="453">
        <v>17000</v>
      </c>
      <c r="O112" s="454">
        <v>13000</v>
      </c>
      <c r="P112" s="454">
        <v>12000</v>
      </c>
      <c r="Q112" s="454"/>
      <c r="R112" s="454"/>
      <c r="S112" s="455">
        <v>16000</v>
      </c>
    </row>
    <row r="113" spans="1:19">
      <c r="A113" s="446">
        <v>2</v>
      </c>
      <c r="B113" s="447" t="s">
        <v>2984</v>
      </c>
      <c r="C113" s="448"/>
      <c r="D113" s="448"/>
      <c r="E113" s="449"/>
      <c r="F113" s="450"/>
      <c r="G113" s="451"/>
      <c r="H113" s="451" t="s">
        <v>773</v>
      </c>
      <c r="I113" s="440">
        <v>13700</v>
      </c>
      <c r="J113" s="440"/>
      <c r="K113" s="446"/>
      <c r="M113" s="469">
        <f t="shared" si="3"/>
        <v>16333.333333333334</v>
      </c>
      <c r="N113" s="453">
        <v>17500</v>
      </c>
      <c r="O113" s="454">
        <v>13500</v>
      </c>
      <c r="P113" s="454"/>
      <c r="Q113" s="454"/>
      <c r="R113" s="454"/>
      <c r="S113" s="455">
        <v>18000</v>
      </c>
    </row>
    <row r="114" spans="1:19">
      <c r="A114" s="446">
        <v>3</v>
      </c>
      <c r="B114" s="447" t="s">
        <v>945</v>
      </c>
      <c r="C114" s="448"/>
      <c r="D114" s="448"/>
      <c r="E114" s="449"/>
      <c r="F114" s="450"/>
      <c r="G114" s="451"/>
      <c r="H114" s="451" t="s">
        <v>773</v>
      </c>
      <c r="I114" s="440">
        <v>15750</v>
      </c>
      <c r="J114" s="440"/>
      <c r="K114" s="446"/>
      <c r="M114" s="469">
        <f t="shared" si="3"/>
        <v>17000</v>
      </c>
      <c r="N114" s="453"/>
      <c r="O114" s="454">
        <v>17000</v>
      </c>
      <c r="P114" s="454"/>
      <c r="Q114" s="454"/>
      <c r="R114" s="454"/>
      <c r="S114" s="455"/>
    </row>
    <row r="115" spans="1:19">
      <c r="A115" s="446">
        <v>4</v>
      </c>
      <c r="B115" s="447" t="s">
        <v>946</v>
      </c>
      <c r="C115" s="448"/>
      <c r="D115" s="448"/>
      <c r="E115" s="449"/>
      <c r="F115" s="450"/>
      <c r="G115" s="451"/>
      <c r="H115" s="451" t="s">
        <v>773</v>
      </c>
      <c r="I115" s="440">
        <v>15750</v>
      </c>
      <c r="J115" s="440"/>
      <c r="K115" s="446"/>
      <c r="M115" s="469">
        <f t="shared" si="3"/>
        <v>17000</v>
      </c>
      <c r="N115" s="453"/>
      <c r="O115" s="454">
        <v>17000</v>
      </c>
      <c r="P115" s="454"/>
      <c r="Q115" s="454"/>
      <c r="R115" s="454"/>
      <c r="S115" s="455"/>
    </row>
    <row r="116" spans="1:19">
      <c r="A116" s="446">
        <v>5</v>
      </c>
      <c r="B116" s="447" t="s">
        <v>2985</v>
      </c>
      <c r="C116" s="448"/>
      <c r="D116" s="448"/>
      <c r="E116" s="449"/>
      <c r="F116" s="450"/>
      <c r="G116" s="451"/>
      <c r="H116" s="451" t="s">
        <v>773</v>
      </c>
      <c r="I116" s="440">
        <v>15750</v>
      </c>
      <c r="J116" s="440"/>
      <c r="K116" s="446"/>
      <c r="M116" s="469">
        <f t="shared" si="3"/>
        <v>15000</v>
      </c>
      <c r="N116" s="453"/>
      <c r="O116" s="454"/>
      <c r="P116" s="454">
        <v>15000</v>
      </c>
      <c r="Q116" s="454"/>
      <c r="R116" s="454"/>
      <c r="S116" s="455"/>
    </row>
    <row r="117" spans="1:19">
      <c r="A117" s="446">
        <v>6</v>
      </c>
      <c r="B117" s="447" t="s">
        <v>3463</v>
      </c>
      <c r="C117" s="448"/>
      <c r="D117" s="448"/>
      <c r="E117" s="449"/>
      <c r="F117" s="450"/>
      <c r="G117" s="451"/>
      <c r="H117" s="451" t="s">
        <v>2970</v>
      </c>
      <c r="I117" s="440">
        <v>31500</v>
      </c>
      <c r="J117" s="440"/>
      <c r="K117" s="446"/>
      <c r="M117" s="469"/>
      <c r="N117" s="453"/>
      <c r="O117" s="454"/>
      <c r="P117" s="454"/>
      <c r="Q117" s="454"/>
      <c r="R117" s="454"/>
      <c r="S117" s="455"/>
    </row>
    <row r="118" spans="1:19">
      <c r="A118" s="446">
        <v>7</v>
      </c>
      <c r="B118" s="447" t="s">
        <v>2986</v>
      </c>
      <c r="C118" s="448"/>
      <c r="D118" s="448"/>
      <c r="E118" s="449"/>
      <c r="F118" s="450"/>
      <c r="G118" s="451"/>
      <c r="H118" s="451" t="s">
        <v>773</v>
      </c>
      <c r="I118" s="440">
        <v>25300</v>
      </c>
      <c r="J118" s="440"/>
      <c r="K118" s="446"/>
      <c r="M118" s="469"/>
      <c r="N118" s="453"/>
      <c r="O118" s="454"/>
      <c r="P118" s="454"/>
      <c r="Q118" s="454"/>
      <c r="R118" s="454"/>
      <c r="S118" s="455"/>
    </row>
    <row r="119" spans="1:19">
      <c r="A119" s="446">
        <v>8</v>
      </c>
      <c r="B119" s="447" t="s">
        <v>2987</v>
      </c>
      <c r="C119" s="448"/>
      <c r="D119" s="448"/>
      <c r="E119" s="449"/>
      <c r="F119" s="450"/>
      <c r="G119" s="451"/>
      <c r="H119" s="451" t="s">
        <v>773</v>
      </c>
      <c r="I119" s="440">
        <v>24200</v>
      </c>
      <c r="J119" s="440"/>
      <c r="K119" s="446"/>
      <c r="M119" s="469">
        <f t="shared" si="3"/>
        <v>20200</v>
      </c>
      <c r="N119" s="453">
        <v>20000</v>
      </c>
      <c r="O119" s="454"/>
      <c r="P119" s="454">
        <v>18000</v>
      </c>
      <c r="Q119" s="454">
        <v>25000</v>
      </c>
      <c r="R119" s="454">
        <v>18000</v>
      </c>
      <c r="S119" s="455">
        <v>20000</v>
      </c>
    </row>
    <row r="120" spans="1:19">
      <c r="A120" s="446">
        <v>9</v>
      </c>
      <c r="B120" s="447" t="s">
        <v>4647</v>
      </c>
      <c r="C120" s="448"/>
      <c r="D120" s="448"/>
      <c r="E120" s="449"/>
      <c r="F120" s="450"/>
      <c r="G120" s="451"/>
      <c r="H120" s="451" t="s">
        <v>2988</v>
      </c>
      <c r="I120" s="440">
        <v>220000</v>
      </c>
      <c r="J120" s="440"/>
      <c r="K120" s="446"/>
      <c r="M120" s="469"/>
      <c r="N120" s="453"/>
      <c r="O120" s="454"/>
      <c r="P120" s="454"/>
      <c r="Q120" s="454"/>
      <c r="R120" s="454"/>
      <c r="S120" s="455"/>
    </row>
    <row r="121" spans="1:19">
      <c r="A121" s="446">
        <v>10</v>
      </c>
      <c r="B121" s="447" t="s">
        <v>4598</v>
      </c>
      <c r="C121" s="448"/>
      <c r="D121" s="448"/>
      <c r="E121" s="449"/>
      <c r="F121" s="450"/>
      <c r="G121" s="451"/>
      <c r="H121" s="451" t="s">
        <v>773</v>
      </c>
      <c r="I121" s="440">
        <f>I120/5</f>
        <v>44000</v>
      </c>
      <c r="J121" s="440"/>
      <c r="K121" s="446"/>
      <c r="M121" s="469" t="s">
        <v>4597</v>
      </c>
      <c r="N121" s="453"/>
      <c r="O121" s="454"/>
      <c r="P121" s="454"/>
      <c r="Q121" s="454"/>
      <c r="R121" s="454"/>
      <c r="S121" s="455"/>
    </row>
    <row r="122" spans="1:19">
      <c r="A122" s="446">
        <v>11</v>
      </c>
      <c r="B122" s="447" t="s">
        <v>2989</v>
      </c>
      <c r="C122" s="448"/>
      <c r="D122" s="448"/>
      <c r="E122" s="449"/>
      <c r="F122" s="450"/>
      <c r="G122" s="451"/>
      <c r="H122" s="451" t="s">
        <v>715</v>
      </c>
      <c r="I122" s="440">
        <v>303450</v>
      </c>
      <c r="J122" s="440"/>
      <c r="K122" s="446"/>
      <c r="M122" s="469"/>
      <c r="N122" s="453"/>
      <c r="O122" s="454"/>
      <c r="P122" s="454"/>
      <c r="Q122" s="454"/>
      <c r="R122" s="454"/>
      <c r="S122" s="455"/>
    </row>
    <row r="123" spans="1:19">
      <c r="A123" s="486">
        <v>12</v>
      </c>
      <c r="B123" s="487" t="s">
        <v>721</v>
      </c>
      <c r="C123" s="488"/>
      <c r="D123" s="488"/>
      <c r="E123" s="489"/>
      <c r="F123" s="536"/>
      <c r="G123" s="490"/>
      <c r="H123" s="490" t="s">
        <v>2970</v>
      </c>
      <c r="I123" s="456">
        <v>2625</v>
      </c>
      <c r="J123" s="456"/>
      <c r="K123" s="486"/>
      <c r="M123" s="469">
        <f t="shared" si="3"/>
        <v>78000</v>
      </c>
      <c r="N123" s="453"/>
      <c r="O123" s="454"/>
      <c r="P123" s="454"/>
      <c r="Q123" s="454">
        <v>140000</v>
      </c>
      <c r="R123" s="454">
        <v>16000</v>
      </c>
      <c r="S123" s="455"/>
    </row>
    <row r="124" spans="1:19">
      <c r="A124" s="491">
        <v>13</v>
      </c>
      <c r="B124" s="492" t="s">
        <v>3513</v>
      </c>
      <c r="C124" s="493"/>
      <c r="D124" s="493"/>
      <c r="E124" s="494"/>
      <c r="F124" s="537"/>
      <c r="G124" s="495"/>
      <c r="H124" s="495" t="s">
        <v>1423</v>
      </c>
      <c r="I124" s="457">
        <v>750000</v>
      </c>
      <c r="J124" s="457"/>
      <c r="K124" s="491"/>
      <c r="M124" s="469">
        <f t="shared" si="3"/>
        <v>750000</v>
      </c>
      <c r="N124" s="453">
        <v>750000</v>
      </c>
      <c r="O124" s="454"/>
      <c r="P124" s="454"/>
      <c r="Q124" s="454"/>
      <c r="R124" s="454"/>
      <c r="S124" s="455">
        <v>750000</v>
      </c>
    </row>
    <row r="125" spans="1:19">
      <c r="A125" s="446">
        <v>14</v>
      </c>
      <c r="B125" s="447" t="s">
        <v>3514</v>
      </c>
      <c r="C125" s="448"/>
      <c r="D125" s="448"/>
      <c r="E125" s="449"/>
      <c r="F125" s="450"/>
      <c r="G125" s="451"/>
      <c r="H125" s="451" t="s">
        <v>1423</v>
      </c>
      <c r="I125" s="440">
        <v>700000</v>
      </c>
      <c r="J125" s="440"/>
      <c r="K125" s="446"/>
      <c r="M125" s="469">
        <f t="shared" si="3"/>
        <v>650000</v>
      </c>
      <c r="N125" s="453">
        <v>650000</v>
      </c>
      <c r="O125" s="454"/>
      <c r="P125" s="454"/>
      <c r="Q125" s="454"/>
      <c r="R125" s="454"/>
      <c r="S125" s="455">
        <v>650000</v>
      </c>
    </row>
    <row r="126" spans="1:19">
      <c r="A126" s="446">
        <v>15</v>
      </c>
      <c r="B126" s="447" t="s">
        <v>3515</v>
      </c>
      <c r="C126" s="448"/>
      <c r="D126" s="448"/>
      <c r="E126" s="449"/>
      <c r="F126" s="450"/>
      <c r="G126" s="451"/>
      <c r="H126" s="451" t="s">
        <v>1423</v>
      </c>
      <c r="I126" s="440">
        <v>750000</v>
      </c>
      <c r="J126" s="440"/>
      <c r="K126" s="446"/>
      <c r="M126" s="469"/>
      <c r="N126" s="453"/>
      <c r="O126" s="454"/>
      <c r="P126" s="454"/>
      <c r="Q126" s="454"/>
      <c r="R126" s="454"/>
      <c r="S126" s="455"/>
    </row>
    <row r="127" spans="1:19">
      <c r="A127" s="446">
        <v>16</v>
      </c>
      <c r="B127" s="447" t="s">
        <v>3516</v>
      </c>
      <c r="C127" s="448"/>
      <c r="D127" s="448"/>
      <c r="E127" s="449"/>
      <c r="F127" s="450"/>
      <c r="G127" s="451"/>
      <c r="H127" s="451" t="s">
        <v>1423</v>
      </c>
      <c r="I127" s="440">
        <v>700000</v>
      </c>
      <c r="J127" s="440"/>
      <c r="K127" s="446"/>
      <c r="M127" s="469"/>
      <c r="N127" s="453"/>
      <c r="O127" s="454"/>
      <c r="P127" s="454"/>
      <c r="Q127" s="454"/>
      <c r="R127" s="454"/>
      <c r="S127" s="455"/>
    </row>
    <row r="128" spans="1:19" s="468" customFormat="1">
      <c r="A128" s="446">
        <v>17</v>
      </c>
      <c r="B128" s="473" t="s">
        <v>2990</v>
      </c>
      <c r="C128" s="462"/>
      <c r="D128" s="462"/>
      <c r="E128" s="463"/>
      <c r="F128" s="464"/>
      <c r="G128" s="465"/>
      <c r="H128" s="465" t="s">
        <v>2647</v>
      </c>
      <c r="I128" s="440">
        <v>450000</v>
      </c>
      <c r="J128" s="440"/>
      <c r="K128" s="467"/>
      <c r="M128" s="469"/>
      <c r="N128" s="453"/>
      <c r="O128" s="454"/>
      <c r="P128" s="454"/>
      <c r="Q128" s="454"/>
      <c r="R128" s="454"/>
      <c r="S128" s="455"/>
    </row>
    <row r="129" spans="1:19" s="468" customFormat="1">
      <c r="A129" s="446">
        <v>18</v>
      </c>
      <c r="B129" s="473" t="s">
        <v>2991</v>
      </c>
      <c r="C129" s="462"/>
      <c r="D129" s="462"/>
      <c r="E129" s="463"/>
      <c r="F129" s="464"/>
      <c r="G129" s="465"/>
      <c r="H129" s="465" t="s">
        <v>2647</v>
      </c>
      <c r="I129" s="440">
        <v>500000</v>
      </c>
      <c r="J129" s="440"/>
      <c r="K129" s="467"/>
      <c r="M129" s="469"/>
      <c r="N129" s="453"/>
      <c r="O129" s="454"/>
      <c r="P129" s="454"/>
      <c r="Q129" s="454"/>
      <c r="R129" s="454"/>
      <c r="S129" s="455"/>
    </row>
    <row r="130" spans="1:19" s="468" customFormat="1">
      <c r="A130" s="446">
        <v>19</v>
      </c>
      <c r="B130" s="447" t="s">
        <v>3517</v>
      </c>
      <c r="C130" s="448"/>
      <c r="D130" s="448"/>
      <c r="E130" s="449"/>
      <c r="F130" s="450"/>
      <c r="G130" s="451"/>
      <c r="H130" s="451" t="s">
        <v>1423</v>
      </c>
      <c r="I130" s="440">
        <v>750000</v>
      </c>
      <c r="J130" s="440"/>
      <c r="K130" s="467"/>
      <c r="M130" s="469">
        <f t="shared" si="3"/>
        <v>750000</v>
      </c>
      <c r="N130" s="453"/>
      <c r="O130" s="454"/>
      <c r="P130" s="454"/>
      <c r="Q130" s="454"/>
      <c r="R130" s="454"/>
      <c r="S130" s="455">
        <v>750000</v>
      </c>
    </row>
    <row r="131" spans="1:19" s="468" customFormat="1">
      <c r="A131" s="446">
        <v>20</v>
      </c>
      <c r="B131" s="447" t="s">
        <v>3518</v>
      </c>
      <c r="C131" s="448"/>
      <c r="D131" s="448"/>
      <c r="E131" s="449"/>
      <c r="F131" s="450"/>
      <c r="G131" s="451"/>
      <c r="H131" s="451" t="s">
        <v>1423</v>
      </c>
      <c r="I131" s="440">
        <v>700000</v>
      </c>
      <c r="J131" s="440"/>
      <c r="K131" s="467"/>
      <c r="M131" s="469">
        <f t="shared" si="3"/>
        <v>650000</v>
      </c>
      <c r="N131" s="453"/>
      <c r="O131" s="454"/>
      <c r="P131" s="454"/>
      <c r="Q131" s="454"/>
      <c r="R131" s="454"/>
      <c r="S131" s="455">
        <v>650000</v>
      </c>
    </row>
    <row r="132" spans="1:19">
      <c r="A132" s="446">
        <v>21</v>
      </c>
      <c r="B132" s="447" t="s">
        <v>2992</v>
      </c>
      <c r="C132" s="448"/>
      <c r="D132" s="448"/>
      <c r="E132" s="449"/>
      <c r="F132" s="450"/>
      <c r="G132" s="451"/>
      <c r="H132" s="451" t="s">
        <v>2647</v>
      </c>
      <c r="I132" s="440">
        <v>900000</v>
      </c>
      <c r="J132" s="440"/>
      <c r="K132" s="446"/>
      <c r="M132" s="469"/>
      <c r="N132" s="453"/>
      <c r="O132" s="454"/>
      <c r="P132" s="454"/>
      <c r="Q132" s="454"/>
      <c r="R132" s="454"/>
      <c r="S132" s="455"/>
    </row>
    <row r="133" spans="1:19">
      <c r="A133" s="446">
        <v>22</v>
      </c>
      <c r="B133" s="447" t="s">
        <v>3519</v>
      </c>
      <c r="C133" s="448"/>
      <c r="D133" s="448"/>
      <c r="E133" s="449"/>
      <c r="F133" s="450"/>
      <c r="G133" s="451"/>
      <c r="H133" s="451" t="s">
        <v>2647</v>
      </c>
      <c r="I133" s="440">
        <v>1000000</v>
      </c>
      <c r="J133" s="440"/>
      <c r="K133" s="446"/>
      <c r="M133" s="469"/>
      <c r="N133" s="453"/>
      <c r="O133" s="454"/>
      <c r="P133" s="454"/>
      <c r="Q133" s="454"/>
      <c r="R133" s="454"/>
      <c r="S133" s="455"/>
    </row>
    <row r="134" spans="1:19">
      <c r="A134" s="446">
        <v>23</v>
      </c>
      <c r="B134" s="447" t="s">
        <v>2993</v>
      </c>
      <c r="C134" s="448"/>
      <c r="D134" s="448"/>
      <c r="E134" s="449"/>
      <c r="F134" s="450"/>
      <c r="G134" s="451"/>
      <c r="H134" s="451" t="s">
        <v>2647</v>
      </c>
      <c r="I134" s="440">
        <v>1050000</v>
      </c>
      <c r="J134" s="440"/>
      <c r="K134" s="446"/>
      <c r="M134" s="469"/>
      <c r="N134" s="453"/>
      <c r="O134" s="454"/>
      <c r="P134" s="454"/>
      <c r="Q134" s="454"/>
      <c r="R134" s="454"/>
      <c r="S134" s="455"/>
    </row>
    <row r="135" spans="1:19">
      <c r="A135" s="446">
        <v>24</v>
      </c>
      <c r="B135" s="447" t="s">
        <v>2994</v>
      </c>
      <c r="C135" s="448"/>
      <c r="D135" s="448"/>
      <c r="E135" s="449"/>
      <c r="F135" s="450"/>
      <c r="G135" s="451"/>
      <c r="H135" s="451" t="s">
        <v>1346</v>
      </c>
      <c r="I135" s="440">
        <v>450000</v>
      </c>
      <c r="J135" s="440"/>
      <c r="K135" s="446"/>
      <c r="M135" s="469">
        <f t="shared" si="3"/>
        <v>150000</v>
      </c>
      <c r="N135" s="453"/>
      <c r="O135" s="454"/>
      <c r="P135" s="454"/>
      <c r="Q135" s="454"/>
      <c r="R135" s="454">
        <v>150000</v>
      </c>
      <c r="S135" s="455"/>
    </row>
    <row r="136" spans="1:19">
      <c r="A136" s="446">
        <v>25</v>
      </c>
      <c r="B136" s="447" t="s">
        <v>2995</v>
      </c>
      <c r="C136" s="448"/>
      <c r="D136" s="448"/>
      <c r="E136" s="449"/>
      <c r="F136" s="450"/>
      <c r="G136" s="451"/>
      <c r="H136" s="451" t="s">
        <v>1346</v>
      </c>
      <c r="I136" s="440">
        <v>1000000</v>
      </c>
      <c r="J136" s="440"/>
      <c r="K136" s="446"/>
      <c r="M136" s="469">
        <f t="shared" si="3"/>
        <v>450000</v>
      </c>
      <c r="N136" s="453"/>
      <c r="O136" s="454"/>
      <c r="P136" s="454"/>
      <c r="Q136" s="454"/>
      <c r="R136" s="454">
        <v>450000</v>
      </c>
      <c r="S136" s="455"/>
    </row>
    <row r="137" spans="1:19" s="541" customFormat="1" ht="30" customHeight="1">
      <c r="A137" s="446">
        <v>26</v>
      </c>
      <c r="B137" s="1240" t="s">
        <v>2996</v>
      </c>
      <c r="C137" s="1241"/>
      <c r="D137" s="1241"/>
      <c r="E137" s="1242"/>
      <c r="F137" s="539"/>
      <c r="G137" s="498"/>
      <c r="H137" s="498" t="s">
        <v>2997</v>
      </c>
      <c r="I137" s="459">
        <v>3500000</v>
      </c>
      <c r="J137" s="459"/>
      <c r="K137" s="540"/>
      <c r="M137" s="469"/>
      <c r="N137" s="542"/>
      <c r="O137" s="543"/>
      <c r="P137" s="543"/>
      <c r="Q137" s="543"/>
      <c r="R137" s="543"/>
      <c r="S137" s="544"/>
    </row>
    <row r="138" spans="1:19">
      <c r="A138" s="446">
        <v>27</v>
      </c>
      <c r="B138" s="447" t="s">
        <v>2998</v>
      </c>
      <c r="C138" s="448"/>
      <c r="D138" s="448"/>
      <c r="E138" s="449"/>
      <c r="F138" s="450"/>
      <c r="G138" s="451"/>
      <c r="H138" s="451" t="s">
        <v>773</v>
      </c>
      <c r="I138" s="440">
        <v>15750</v>
      </c>
      <c r="J138" s="440"/>
      <c r="K138" s="446"/>
      <c r="M138" s="469"/>
      <c r="N138" s="453"/>
      <c r="O138" s="454"/>
      <c r="P138" s="454"/>
      <c r="Q138" s="454"/>
      <c r="R138" s="454"/>
      <c r="S138" s="455"/>
    </row>
    <row r="139" spans="1:19">
      <c r="A139" s="446">
        <v>28</v>
      </c>
      <c r="B139" s="447" t="s">
        <v>2999</v>
      </c>
      <c r="C139" s="448"/>
      <c r="D139" s="448"/>
      <c r="E139" s="449"/>
      <c r="F139" s="450"/>
      <c r="G139" s="451"/>
      <c r="H139" s="451" t="s">
        <v>773</v>
      </c>
      <c r="I139" s="440">
        <v>21000</v>
      </c>
      <c r="J139" s="440"/>
      <c r="K139" s="446"/>
      <c r="M139" s="469">
        <f t="shared" si="3"/>
        <v>18500</v>
      </c>
      <c r="N139" s="453"/>
      <c r="O139" s="454">
        <v>19000</v>
      </c>
      <c r="P139" s="454">
        <v>18000</v>
      </c>
      <c r="Q139" s="454"/>
      <c r="R139" s="454"/>
      <c r="S139" s="455"/>
    </row>
    <row r="140" spans="1:19">
      <c r="A140" s="446">
        <v>29</v>
      </c>
      <c r="B140" s="447" t="s">
        <v>3000</v>
      </c>
      <c r="C140" s="448"/>
      <c r="D140" s="448"/>
      <c r="E140" s="449"/>
      <c r="F140" s="450"/>
      <c r="G140" s="451"/>
      <c r="H140" s="451" t="s">
        <v>773</v>
      </c>
      <c r="I140" s="440">
        <v>27500</v>
      </c>
      <c r="J140" s="440"/>
      <c r="K140" s="446"/>
      <c r="M140" s="469"/>
      <c r="N140" s="453"/>
      <c r="O140" s="454"/>
      <c r="P140" s="454"/>
      <c r="Q140" s="454"/>
      <c r="R140" s="454"/>
      <c r="S140" s="455"/>
    </row>
    <row r="141" spans="1:19">
      <c r="A141" s="446">
        <v>30</v>
      </c>
      <c r="B141" s="447" t="s">
        <v>3557</v>
      </c>
      <c r="C141" s="448"/>
      <c r="D141" s="448"/>
      <c r="E141" s="449"/>
      <c r="F141" s="450"/>
      <c r="G141" s="451"/>
      <c r="H141" s="451" t="s">
        <v>1423</v>
      </c>
      <c r="I141" s="440">
        <v>250</v>
      </c>
      <c r="J141" s="440"/>
      <c r="K141" s="446"/>
      <c r="M141" s="469">
        <f t="shared" si="3"/>
        <v>300</v>
      </c>
      <c r="N141" s="453"/>
      <c r="O141" s="454"/>
      <c r="P141" s="454">
        <v>300</v>
      </c>
      <c r="Q141" s="454"/>
      <c r="R141" s="454"/>
      <c r="S141" s="455"/>
    </row>
    <row r="142" spans="1:19">
      <c r="A142" s="446">
        <v>31</v>
      </c>
      <c r="B142" s="447" t="s">
        <v>3558</v>
      </c>
      <c r="C142" s="448"/>
      <c r="D142" s="448"/>
      <c r="E142" s="449"/>
      <c r="F142" s="450"/>
      <c r="G142" s="451"/>
      <c r="H142" s="451" t="s">
        <v>1423</v>
      </c>
      <c r="I142" s="440">
        <v>550</v>
      </c>
      <c r="J142" s="440"/>
      <c r="K142" s="446"/>
      <c r="M142" s="469">
        <f t="shared" si="3"/>
        <v>500</v>
      </c>
      <c r="N142" s="453"/>
      <c r="O142" s="454"/>
      <c r="P142" s="454">
        <v>500</v>
      </c>
      <c r="Q142" s="454"/>
      <c r="R142" s="454"/>
      <c r="S142" s="455"/>
    </row>
    <row r="143" spans="1:19">
      <c r="A143" s="446">
        <v>32</v>
      </c>
      <c r="B143" s="447" t="s">
        <v>3001</v>
      </c>
      <c r="C143" s="448"/>
      <c r="D143" s="448"/>
      <c r="E143" s="449"/>
      <c r="F143" s="450"/>
      <c r="G143" s="451"/>
      <c r="H143" s="451" t="s">
        <v>773</v>
      </c>
      <c r="I143" s="440">
        <v>37800</v>
      </c>
      <c r="J143" s="440"/>
      <c r="K143" s="446"/>
      <c r="M143" s="469">
        <f t="shared" si="3"/>
        <v>31166.666666666668</v>
      </c>
      <c r="N143" s="453"/>
      <c r="O143" s="454">
        <v>38500</v>
      </c>
      <c r="P143" s="454">
        <v>25000</v>
      </c>
      <c r="Q143" s="454"/>
      <c r="R143" s="454">
        <v>30000</v>
      </c>
      <c r="S143" s="455"/>
    </row>
    <row r="144" spans="1:19">
      <c r="A144" s="446">
        <v>33</v>
      </c>
      <c r="B144" s="447" t="s">
        <v>3002</v>
      </c>
      <c r="C144" s="448"/>
      <c r="D144" s="448"/>
      <c r="E144" s="449"/>
      <c r="F144" s="450"/>
      <c r="G144" s="451"/>
      <c r="H144" s="451" t="s">
        <v>2647</v>
      </c>
      <c r="I144" s="440">
        <v>472500</v>
      </c>
      <c r="J144" s="440"/>
      <c r="K144" s="446"/>
      <c r="M144" s="469"/>
      <c r="N144" s="453"/>
      <c r="O144" s="454"/>
      <c r="P144" s="454"/>
      <c r="Q144" s="454"/>
      <c r="R144" s="454"/>
      <c r="S144" s="455"/>
    </row>
    <row r="145" spans="1:19">
      <c r="A145" s="446">
        <v>34</v>
      </c>
      <c r="B145" s="447" t="s">
        <v>3003</v>
      </c>
      <c r="C145" s="448"/>
      <c r="D145" s="448"/>
      <c r="E145" s="449"/>
      <c r="F145" s="450"/>
      <c r="G145" s="451"/>
      <c r="H145" s="451" t="s">
        <v>2647</v>
      </c>
      <c r="I145" s="440">
        <v>551250</v>
      </c>
      <c r="J145" s="440"/>
      <c r="K145" s="446"/>
      <c r="M145" s="469"/>
      <c r="N145" s="453"/>
      <c r="O145" s="454"/>
      <c r="P145" s="454"/>
      <c r="Q145" s="454"/>
      <c r="R145" s="454"/>
      <c r="S145" s="455"/>
    </row>
    <row r="146" spans="1:19">
      <c r="A146" s="446">
        <v>35</v>
      </c>
      <c r="B146" s="447" t="s">
        <v>3451</v>
      </c>
      <c r="C146" s="448"/>
      <c r="D146" s="448"/>
      <c r="E146" s="449"/>
      <c r="F146" s="450"/>
      <c r="G146" s="451"/>
      <c r="H146" s="451" t="s">
        <v>1423</v>
      </c>
      <c r="I146" s="440">
        <v>250</v>
      </c>
      <c r="J146" s="440"/>
      <c r="K146" s="446"/>
      <c r="M146" s="469"/>
      <c r="N146" s="453"/>
      <c r="O146" s="454"/>
      <c r="P146" s="454"/>
      <c r="Q146" s="454"/>
      <c r="R146" s="454"/>
      <c r="S146" s="455"/>
    </row>
    <row r="147" spans="1:19" s="468" customFormat="1">
      <c r="A147" s="446">
        <v>36</v>
      </c>
      <c r="B147" s="473" t="s">
        <v>3004</v>
      </c>
      <c r="C147" s="462"/>
      <c r="D147" s="462"/>
      <c r="E147" s="463"/>
      <c r="F147" s="464"/>
      <c r="G147" s="465"/>
      <c r="H147" s="451" t="s">
        <v>2647</v>
      </c>
      <c r="I147" s="440">
        <v>183750</v>
      </c>
      <c r="J147" s="440"/>
      <c r="K147" s="467"/>
      <c r="M147" s="469"/>
      <c r="N147" s="453"/>
      <c r="O147" s="454"/>
      <c r="P147" s="454"/>
      <c r="Q147" s="454"/>
      <c r="R147" s="454"/>
      <c r="S147" s="455"/>
    </row>
    <row r="148" spans="1:19" s="468" customFormat="1">
      <c r="A148" s="446">
        <v>37</v>
      </c>
      <c r="B148" s="473" t="s">
        <v>3005</v>
      </c>
      <c r="C148" s="462"/>
      <c r="D148" s="462"/>
      <c r="E148" s="463"/>
      <c r="F148" s="464"/>
      <c r="G148" s="465"/>
      <c r="H148" s="465" t="s">
        <v>2647</v>
      </c>
      <c r="I148" s="440">
        <v>367500</v>
      </c>
      <c r="J148" s="440"/>
      <c r="K148" s="467"/>
      <c r="M148" s="469"/>
      <c r="N148" s="453"/>
      <c r="O148" s="454"/>
      <c r="P148" s="454"/>
      <c r="Q148" s="454"/>
      <c r="R148" s="454"/>
      <c r="S148" s="455"/>
    </row>
    <row r="149" spans="1:19" s="803" customFormat="1">
      <c r="A149" s="796">
        <v>38</v>
      </c>
      <c r="B149" s="797" t="s">
        <v>3006</v>
      </c>
      <c r="C149" s="798"/>
      <c r="D149" s="798"/>
      <c r="E149" s="799"/>
      <c r="F149" s="800"/>
      <c r="G149" s="801"/>
      <c r="H149" s="801" t="s">
        <v>2647</v>
      </c>
      <c r="I149" s="802">
        <v>165000</v>
      </c>
      <c r="J149" s="802"/>
      <c r="K149" s="801"/>
      <c r="M149" s="804"/>
      <c r="N149" s="805"/>
      <c r="O149" s="806"/>
      <c r="P149" s="806"/>
      <c r="Q149" s="806"/>
      <c r="R149" s="806"/>
      <c r="S149" s="807"/>
    </row>
    <row r="150" spans="1:19" s="468" customFormat="1">
      <c r="A150" s="446">
        <v>39</v>
      </c>
      <c r="B150" s="473" t="s">
        <v>3995</v>
      </c>
      <c r="C150" s="462"/>
      <c r="D150" s="462"/>
      <c r="E150" s="463"/>
      <c r="F150" s="464"/>
      <c r="G150" s="465"/>
      <c r="H150" s="465" t="s">
        <v>2970</v>
      </c>
      <c r="I150" s="440">
        <v>120000</v>
      </c>
      <c r="J150" s="440"/>
      <c r="K150" s="467"/>
      <c r="M150" s="469">
        <f t="shared" si="3"/>
        <v>600000</v>
      </c>
      <c r="N150" s="453"/>
      <c r="O150" s="454"/>
      <c r="P150" s="454"/>
      <c r="Q150" s="454"/>
      <c r="R150" s="454"/>
      <c r="S150" s="455">
        <v>600000</v>
      </c>
    </row>
    <row r="151" spans="1:19" s="468" customFormat="1">
      <c r="A151" s="446">
        <v>40</v>
      </c>
      <c r="B151" s="473" t="s">
        <v>3996</v>
      </c>
      <c r="C151" s="462"/>
      <c r="D151" s="462"/>
      <c r="E151" s="463"/>
      <c r="F151" s="464"/>
      <c r="G151" s="465"/>
      <c r="H151" s="465" t="s">
        <v>2970</v>
      </c>
      <c r="I151" s="440">
        <v>100000</v>
      </c>
      <c r="J151" s="440"/>
      <c r="K151" s="467"/>
      <c r="M151" s="469">
        <f t="shared" si="3"/>
        <v>500000</v>
      </c>
      <c r="N151" s="453"/>
      <c r="O151" s="454"/>
      <c r="P151" s="454"/>
      <c r="Q151" s="454"/>
      <c r="R151" s="454"/>
      <c r="S151" s="455">
        <v>500000</v>
      </c>
    </row>
    <row r="152" spans="1:19" s="468" customFormat="1">
      <c r="A152" s="446">
        <v>41</v>
      </c>
      <c r="B152" s="473" t="s">
        <v>3997</v>
      </c>
      <c r="C152" s="462"/>
      <c r="D152" s="462"/>
      <c r="E152" s="463"/>
      <c r="F152" s="464"/>
      <c r="G152" s="465"/>
      <c r="H152" s="465" t="s">
        <v>2970</v>
      </c>
      <c r="I152" s="440">
        <v>110000</v>
      </c>
      <c r="J152" s="440"/>
      <c r="K152" s="467"/>
      <c r="M152" s="469">
        <f t="shared" si="3"/>
        <v>500000</v>
      </c>
      <c r="N152" s="453"/>
      <c r="O152" s="454"/>
      <c r="P152" s="454"/>
      <c r="Q152" s="454"/>
      <c r="R152" s="454"/>
      <c r="S152" s="455">
        <v>500000</v>
      </c>
    </row>
    <row r="153" spans="1:19" s="468" customFormat="1">
      <c r="A153" s="446">
        <v>42</v>
      </c>
      <c r="B153" s="473" t="s">
        <v>3998</v>
      </c>
      <c r="C153" s="462"/>
      <c r="D153" s="462"/>
      <c r="E153" s="463"/>
      <c r="F153" s="464"/>
      <c r="G153" s="465"/>
      <c r="H153" s="465" t="s">
        <v>2970</v>
      </c>
      <c r="I153" s="440">
        <v>95000</v>
      </c>
      <c r="J153" s="440"/>
      <c r="K153" s="467"/>
      <c r="M153" s="469">
        <f t="shared" si="3"/>
        <v>400000</v>
      </c>
      <c r="N153" s="453"/>
      <c r="O153" s="454"/>
      <c r="P153" s="454"/>
      <c r="Q153" s="454"/>
      <c r="R153" s="454"/>
      <c r="S153" s="455">
        <v>400000</v>
      </c>
    </row>
    <row r="154" spans="1:19" s="468" customFormat="1">
      <c r="A154" s="446">
        <v>43</v>
      </c>
      <c r="B154" s="473" t="s">
        <v>4005</v>
      </c>
      <c r="C154" s="462"/>
      <c r="D154" s="462"/>
      <c r="E154" s="463"/>
      <c r="F154" s="464"/>
      <c r="G154" s="465"/>
      <c r="H154" s="465" t="s">
        <v>2970</v>
      </c>
      <c r="I154" s="440">
        <v>95000</v>
      </c>
      <c r="J154" s="440"/>
      <c r="K154" s="467"/>
      <c r="M154" s="469"/>
      <c r="N154" s="453"/>
      <c r="O154" s="454"/>
      <c r="P154" s="454"/>
      <c r="Q154" s="454"/>
      <c r="R154" s="454"/>
      <c r="S154" s="455"/>
    </row>
    <row r="155" spans="1:19" s="468" customFormat="1">
      <c r="A155" s="446">
        <v>44</v>
      </c>
      <c r="B155" s="473" t="s">
        <v>4006</v>
      </c>
      <c r="C155" s="462"/>
      <c r="D155" s="462"/>
      <c r="E155" s="463"/>
      <c r="F155" s="464"/>
      <c r="G155" s="465"/>
      <c r="H155" s="465" t="s">
        <v>2970</v>
      </c>
      <c r="I155" s="440">
        <v>56000</v>
      </c>
      <c r="J155" s="440"/>
      <c r="K155" s="467"/>
      <c r="M155" s="469"/>
      <c r="N155" s="453"/>
      <c r="O155" s="454"/>
      <c r="P155" s="454"/>
      <c r="Q155" s="454"/>
      <c r="R155" s="454"/>
      <c r="S155" s="455"/>
    </row>
    <row r="156" spans="1:19" s="468" customFormat="1">
      <c r="A156" s="446">
        <v>45</v>
      </c>
      <c r="B156" s="473" t="s">
        <v>3007</v>
      </c>
      <c r="C156" s="462"/>
      <c r="D156" s="462"/>
      <c r="E156" s="463"/>
      <c r="F156" s="464"/>
      <c r="G156" s="465"/>
      <c r="H156" s="465" t="s">
        <v>2647</v>
      </c>
      <c r="I156" s="440">
        <v>320000</v>
      </c>
      <c r="J156" s="440"/>
      <c r="K156" s="467"/>
      <c r="M156" s="469"/>
      <c r="N156" s="453"/>
      <c r="O156" s="454"/>
      <c r="P156" s="454"/>
      <c r="Q156" s="454"/>
      <c r="R156" s="454"/>
      <c r="S156" s="455"/>
    </row>
    <row r="157" spans="1:19" s="468" customFormat="1">
      <c r="A157" s="446">
        <v>46</v>
      </c>
      <c r="B157" s="473" t="s">
        <v>3008</v>
      </c>
      <c r="C157" s="462"/>
      <c r="D157" s="462"/>
      <c r="E157" s="463"/>
      <c r="F157" s="464"/>
      <c r="G157" s="465"/>
      <c r="H157" s="465" t="s">
        <v>1423</v>
      </c>
      <c r="I157" s="440">
        <v>6800</v>
      </c>
      <c r="J157" s="440"/>
      <c r="K157" s="467"/>
      <c r="M157" s="469">
        <f t="shared" si="3"/>
        <v>2875</v>
      </c>
      <c r="N157" s="453">
        <v>3000</v>
      </c>
      <c r="O157" s="454"/>
      <c r="P157" s="454"/>
      <c r="Q157" s="454">
        <v>2500</v>
      </c>
      <c r="R157" s="454">
        <v>3000</v>
      </c>
      <c r="S157" s="455">
        <v>3000</v>
      </c>
    </row>
    <row r="158" spans="1:19" s="468" customFormat="1">
      <c r="A158" s="446">
        <v>47</v>
      </c>
      <c r="B158" s="473" t="s">
        <v>3009</v>
      </c>
      <c r="C158" s="462"/>
      <c r="D158" s="462"/>
      <c r="E158" s="463"/>
      <c r="F158" s="464"/>
      <c r="G158" s="465"/>
      <c r="H158" s="465" t="s">
        <v>2970</v>
      </c>
      <c r="I158" s="440">
        <v>10000</v>
      </c>
      <c r="J158" s="440"/>
      <c r="K158" s="467"/>
      <c r="M158" s="469"/>
      <c r="N158" s="453"/>
      <c r="O158" s="454"/>
      <c r="P158" s="454"/>
      <c r="Q158" s="454"/>
      <c r="R158" s="454"/>
      <c r="S158" s="455"/>
    </row>
    <row r="159" spans="1:19" s="468" customFormat="1">
      <c r="A159" s="446">
        <v>48</v>
      </c>
      <c r="B159" s="473" t="s">
        <v>3010</v>
      </c>
      <c r="C159" s="462"/>
      <c r="D159" s="462"/>
      <c r="E159" s="463"/>
      <c r="F159" s="464"/>
      <c r="G159" s="465"/>
      <c r="H159" s="465" t="s">
        <v>2647</v>
      </c>
      <c r="I159" s="440">
        <v>605000</v>
      </c>
      <c r="J159" s="440"/>
      <c r="K159" s="467"/>
      <c r="M159" s="469"/>
      <c r="N159" s="453"/>
      <c r="O159" s="454"/>
      <c r="P159" s="454"/>
      <c r="Q159" s="454"/>
      <c r="R159" s="454"/>
      <c r="S159" s="455"/>
    </row>
    <row r="160" spans="1:19" s="468" customFormat="1">
      <c r="A160" s="446">
        <v>49</v>
      </c>
      <c r="B160" s="473" t="s">
        <v>3011</v>
      </c>
      <c r="C160" s="462"/>
      <c r="D160" s="462"/>
      <c r="E160" s="463"/>
      <c r="F160" s="464"/>
      <c r="G160" s="465"/>
      <c r="H160" s="465" t="s">
        <v>2647</v>
      </c>
      <c r="I160" s="440">
        <v>500000</v>
      </c>
      <c r="J160" s="440"/>
      <c r="K160" s="467"/>
      <c r="M160" s="469"/>
      <c r="N160" s="453"/>
      <c r="O160" s="454"/>
      <c r="P160" s="454"/>
      <c r="Q160" s="454"/>
      <c r="R160" s="454"/>
      <c r="S160" s="455"/>
    </row>
    <row r="161" spans="1:19" s="553" customFormat="1" ht="28.5" customHeight="1">
      <c r="A161" s="446">
        <v>50</v>
      </c>
      <c r="B161" s="1237" t="s">
        <v>3012</v>
      </c>
      <c r="C161" s="1238"/>
      <c r="D161" s="1238"/>
      <c r="E161" s="1239"/>
      <c r="F161" s="550"/>
      <c r="G161" s="551"/>
      <c r="H161" s="551" t="s">
        <v>2997</v>
      </c>
      <c r="I161" s="459">
        <v>1150000</v>
      </c>
      <c r="J161" s="459"/>
      <c r="K161" s="552"/>
      <c r="M161" s="469"/>
      <c r="N161" s="542"/>
      <c r="O161" s="543"/>
      <c r="P161" s="543"/>
      <c r="Q161" s="543"/>
      <c r="R161" s="543"/>
      <c r="S161" s="544"/>
    </row>
    <row r="162" spans="1:19" s="468" customFormat="1">
      <c r="A162" s="446">
        <v>51</v>
      </c>
      <c r="B162" s="473" t="s">
        <v>3013</v>
      </c>
      <c r="C162" s="462"/>
      <c r="D162" s="462"/>
      <c r="E162" s="463"/>
      <c r="F162" s="464"/>
      <c r="G162" s="465"/>
      <c r="H162" s="465" t="s">
        <v>2647</v>
      </c>
      <c r="I162" s="440">
        <v>1050000</v>
      </c>
      <c r="J162" s="440"/>
      <c r="K162" s="467"/>
      <c r="M162" s="469"/>
      <c r="N162" s="453"/>
      <c r="O162" s="454"/>
      <c r="P162" s="454"/>
      <c r="Q162" s="454"/>
      <c r="R162" s="454"/>
      <c r="S162" s="455"/>
    </row>
    <row r="163" spans="1:19" s="553" customFormat="1" ht="30" customHeight="1">
      <c r="A163" s="446">
        <v>52</v>
      </c>
      <c r="B163" s="1237" t="s">
        <v>3014</v>
      </c>
      <c r="C163" s="1238"/>
      <c r="D163" s="1238"/>
      <c r="E163" s="1239"/>
      <c r="F163" s="550"/>
      <c r="G163" s="551"/>
      <c r="H163" s="551" t="s">
        <v>2997</v>
      </c>
      <c r="I163" s="459">
        <v>1850000</v>
      </c>
      <c r="J163" s="459"/>
      <c r="K163" s="552"/>
      <c r="M163" s="469"/>
      <c r="N163" s="542"/>
      <c r="O163" s="543"/>
      <c r="P163" s="543"/>
      <c r="Q163" s="543"/>
      <c r="R163" s="543"/>
      <c r="S163" s="544"/>
    </row>
    <row r="164" spans="1:19" s="468" customFormat="1">
      <c r="A164" s="446">
        <v>53</v>
      </c>
      <c r="B164" s="473" t="s">
        <v>3015</v>
      </c>
      <c r="C164" s="462"/>
      <c r="D164" s="462"/>
      <c r="E164" s="463"/>
      <c r="F164" s="464"/>
      <c r="G164" s="465"/>
      <c r="H164" s="465" t="s">
        <v>2647</v>
      </c>
      <c r="I164" s="440">
        <v>1825000</v>
      </c>
      <c r="J164" s="440"/>
      <c r="K164" s="467"/>
      <c r="M164" s="469"/>
      <c r="N164" s="453"/>
      <c r="O164" s="454"/>
      <c r="P164" s="454"/>
      <c r="Q164" s="454"/>
      <c r="R164" s="454"/>
      <c r="S164" s="455"/>
    </row>
    <row r="165" spans="1:19" s="468" customFormat="1">
      <c r="A165" s="446">
        <v>54</v>
      </c>
      <c r="B165" s="554" t="s">
        <v>3016</v>
      </c>
      <c r="C165" s="555"/>
      <c r="D165" s="462"/>
      <c r="E165" s="463"/>
      <c r="F165" s="464"/>
      <c r="G165" s="465"/>
      <c r="H165" s="556" t="s">
        <v>2647</v>
      </c>
      <c r="I165" s="458">
        <v>125000</v>
      </c>
      <c r="J165" s="458"/>
      <c r="K165" s="467"/>
      <c r="M165" s="469"/>
      <c r="N165" s="453"/>
      <c r="O165" s="454"/>
      <c r="P165" s="454"/>
      <c r="Q165" s="454"/>
      <c r="R165" s="454"/>
      <c r="S165" s="455"/>
    </row>
    <row r="166" spans="1:19" s="468" customFormat="1">
      <c r="A166" s="446">
        <v>55</v>
      </c>
      <c r="B166" s="554" t="s">
        <v>3017</v>
      </c>
      <c r="C166" s="555"/>
      <c r="D166" s="462"/>
      <c r="E166" s="463"/>
      <c r="F166" s="464"/>
      <c r="G166" s="465"/>
      <c r="H166" s="556" t="s">
        <v>1452</v>
      </c>
      <c r="I166" s="458">
        <v>198000</v>
      </c>
      <c r="J166" s="458"/>
      <c r="K166" s="467"/>
      <c r="M166" s="469">
        <f t="shared" si="3"/>
        <v>85000</v>
      </c>
      <c r="N166" s="453"/>
      <c r="O166" s="454"/>
      <c r="P166" s="454">
        <v>85000</v>
      </c>
      <c r="Q166" s="454"/>
      <c r="R166" s="454"/>
      <c r="S166" s="455"/>
    </row>
    <row r="167" spans="1:19" s="468" customFormat="1">
      <c r="A167" s="446">
        <v>56</v>
      </c>
      <c r="B167" s="460" t="s">
        <v>3018</v>
      </c>
      <c r="C167" s="461"/>
      <c r="D167" s="462"/>
      <c r="E167" s="463"/>
      <c r="F167" s="464"/>
      <c r="G167" s="465"/>
      <c r="H167" s="466" t="s">
        <v>3019</v>
      </c>
      <c r="I167" s="458">
        <v>26400</v>
      </c>
      <c r="J167" s="458"/>
      <c r="K167" s="467"/>
      <c r="M167" s="469"/>
      <c r="N167" s="453"/>
      <c r="O167" s="454"/>
      <c r="P167" s="454"/>
      <c r="Q167" s="454"/>
      <c r="R167" s="454"/>
      <c r="S167" s="455"/>
    </row>
    <row r="168" spans="1:19" s="468" customFormat="1">
      <c r="A168" s="446">
        <v>57</v>
      </c>
      <c r="B168" s="460" t="s">
        <v>3449</v>
      </c>
      <c r="C168" s="461"/>
      <c r="D168" s="462"/>
      <c r="E168" s="463"/>
      <c r="F168" s="464"/>
      <c r="G168" s="465"/>
      <c r="H168" s="466" t="s">
        <v>2647</v>
      </c>
      <c r="I168" s="458">
        <v>350000</v>
      </c>
      <c r="J168" s="458"/>
      <c r="K168" s="467"/>
      <c r="M168" s="469"/>
      <c r="N168" s="453"/>
      <c r="O168" s="454"/>
      <c r="P168" s="454"/>
      <c r="Q168" s="454"/>
      <c r="R168" s="454"/>
      <c r="S168" s="455"/>
    </row>
    <row r="169" spans="1:19" s="468" customFormat="1">
      <c r="A169" s="446">
        <v>58</v>
      </c>
      <c r="B169" s="460" t="s">
        <v>4009</v>
      </c>
      <c r="C169" s="461"/>
      <c r="D169" s="462"/>
      <c r="E169" s="463"/>
      <c r="F169" s="464"/>
      <c r="G169" s="465"/>
      <c r="H169" s="466" t="s">
        <v>2647</v>
      </c>
      <c r="I169" s="458">
        <v>350000</v>
      </c>
      <c r="J169" s="458"/>
      <c r="K169" s="467"/>
      <c r="M169" s="469"/>
      <c r="N169" s="453"/>
      <c r="O169" s="454"/>
      <c r="P169" s="454"/>
      <c r="Q169" s="454"/>
      <c r="R169" s="454"/>
      <c r="S169" s="455"/>
    </row>
    <row r="170" spans="1:19" s="468" customFormat="1">
      <c r="A170" s="446">
        <v>59</v>
      </c>
      <c r="B170" s="460" t="s">
        <v>3999</v>
      </c>
      <c r="C170" s="461"/>
      <c r="D170" s="462"/>
      <c r="E170" s="463"/>
      <c r="F170" s="464"/>
      <c r="G170" s="465"/>
      <c r="H170" s="466" t="s">
        <v>2970</v>
      </c>
      <c r="I170" s="458">
        <v>20000</v>
      </c>
      <c r="J170" s="458"/>
      <c r="K170" s="467"/>
      <c r="M170" s="469"/>
      <c r="N170" s="453"/>
      <c r="O170" s="454"/>
      <c r="P170" s="454"/>
      <c r="Q170" s="454"/>
      <c r="R170" s="454"/>
      <c r="S170" s="455"/>
    </row>
    <row r="171" spans="1:19" s="468" customFormat="1">
      <c r="A171" s="446">
        <v>60</v>
      </c>
      <c r="B171" s="460" t="s">
        <v>3459</v>
      </c>
      <c r="C171" s="461"/>
      <c r="D171" s="462"/>
      <c r="E171" s="463"/>
      <c r="F171" s="464"/>
      <c r="G171" s="465"/>
      <c r="H171" s="466" t="s">
        <v>2647</v>
      </c>
      <c r="I171" s="458">
        <v>450000</v>
      </c>
      <c r="J171" s="458"/>
      <c r="K171" s="467"/>
      <c r="M171" s="469">
        <f t="shared" si="3"/>
        <v>20000</v>
      </c>
      <c r="N171" s="453"/>
      <c r="O171" s="454"/>
      <c r="P171" s="454"/>
      <c r="Q171" s="454"/>
      <c r="R171" s="454">
        <v>20000</v>
      </c>
      <c r="S171" s="455"/>
    </row>
    <row r="172" spans="1:19" s="468" customFormat="1">
      <c r="A172" s="446">
        <v>61</v>
      </c>
      <c r="B172" s="460" t="s">
        <v>3465</v>
      </c>
      <c r="C172" s="461"/>
      <c r="D172" s="462"/>
      <c r="E172" s="463"/>
      <c r="F172" s="464"/>
      <c r="G172" s="465"/>
      <c r="H172" s="466" t="s">
        <v>2970</v>
      </c>
      <c r="I172" s="458">
        <f>13500*1.05</f>
        <v>14175</v>
      </c>
      <c r="J172" s="458"/>
      <c r="K172" s="467"/>
      <c r="M172" s="469">
        <f t="shared" si="3"/>
        <v>85000</v>
      </c>
      <c r="N172" s="453"/>
      <c r="O172" s="454"/>
      <c r="P172" s="454"/>
      <c r="Q172" s="454"/>
      <c r="R172" s="454">
        <v>85000</v>
      </c>
      <c r="S172" s="455"/>
    </row>
    <row r="173" spans="1:19" s="468" customFormat="1">
      <c r="A173" s="446">
        <v>62</v>
      </c>
      <c r="B173" s="460" t="s">
        <v>3983</v>
      </c>
      <c r="C173" s="461"/>
      <c r="D173" s="462"/>
      <c r="E173" s="463"/>
      <c r="F173" s="464"/>
      <c r="G173" s="465"/>
      <c r="H173" s="466" t="s">
        <v>853</v>
      </c>
      <c r="I173" s="458">
        <f>7500*1.05</f>
        <v>7875</v>
      </c>
      <c r="J173" s="458"/>
      <c r="K173" s="467"/>
      <c r="M173" s="469">
        <f t="shared" ref="M173" si="4">AVERAGE(N173:S173)</f>
        <v>40000</v>
      </c>
      <c r="N173" s="453"/>
      <c r="O173" s="454"/>
      <c r="P173" s="454"/>
      <c r="Q173" s="454"/>
      <c r="R173" s="454">
        <v>40000</v>
      </c>
      <c r="S173" s="455"/>
    </row>
    <row r="174" spans="1:19" s="468" customFormat="1">
      <c r="A174" s="446">
        <v>63</v>
      </c>
      <c r="B174" s="460" t="s">
        <v>3634</v>
      </c>
      <c r="C174" s="461"/>
      <c r="D174" s="462"/>
      <c r="E174" s="463"/>
      <c r="F174" s="464"/>
      <c r="G174" s="465"/>
      <c r="H174" s="466" t="s">
        <v>853</v>
      </c>
      <c r="I174" s="458">
        <v>150000</v>
      </c>
      <c r="J174" s="458"/>
      <c r="K174" s="467"/>
      <c r="M174" s="469"/>
      <c r="N174" s="453"/>
      <c r="O174" s="454"/>
      <c r="P174" s="454"/>
      <c r="Q174" s="454"/>
      <c r="R174" s="454"/>
      <c r="S174" s="455"/>
    </row>
    <row r="175" spans="1:19" s="468" customFormat="1">
      <c r="A175" s="446">
        <v>64</v>
      </c>
      <c r="B175" s="460" t="s">
        <v>4756</v>
      </c>
      <c r="C175" s="461"/>
      <c r="D175" s="462"/>
      <c r="E175" s="463"/>
      <c r="F175" s="464"/>
      <c r="G175" s="465"/>
      <c r="H175" s="466" t="s">
        <v>853</v>
      </c>
      <c r="I175" s="458">
        <v>5000</v>
      </c>
      <c r="J175" s="458"/>
      <c r="K175" s="467"/>
      <c r="M175" s="469"/>
      <c r="N175" s="453"/>
      <c r="O175" s="454"/>
      <c r="P175" s="454"/>
      <c r="Q175" s="454"/>
      <c r="R175" s="454"/>
      <c r="S175" s="455"/>
    </row>
    <row r="176" spans="1:19" s="468" customFormat="1">
      <c r="A176" s="446">
        <v>65</v>
      </c>
      <c r="B176" s="460" t="s">
        <v>3635</v>
      </c>
      <c r="C176" s="461"/>
      <c r="D176" s="462"/>
      <c r="E176" s="463"/>
      <c r="F176" s="464"/>
      <c r="G176" s="465"/>
      <c r="H176" s="466" t="s">
        <v>853</v>
      </c>
      <c r="I176" s="458">
        <v>10000</v>
      </c>
      <c r="J176" s="458"/>
      <c r="K176" s="467"/>
      <c r="M176" s="469"/>
      <c r="N176" s="453"/>
      <c r="O176" s="454"/>
      <c r="P176" s="454"/>
      <c r="Q176" s="454"/>
      <c r="R176" s="454"/>
      <c r="S176" s="455"/>
    </row>
    <row r="177" spans="1:19" s="468" customFormat="1">
      <c r="A177" s="446">
        <v>66</v>
      </c>
      <c r="B177" s="460" t="s">
        <v>4592</v>
      </c>
      <c r="C177" s="461"/>
      <c r="D177" s="462"/>
      <c r="E177" s="463"/>
      <c r="F177" s="464"/>
      <c r="G177" s="465"/>
      <c r="H177" s="466" t="s">
        <v>2647</v>
      </c>
      <c r="I177" s="458">
        <v>121500</v>
      </c>
      <c r="J177" s="458">
        <f>101000*1.2</f>
        <v>121200</v>
      </c>
      <c r="K177" s="467"/>
      <c r="M177" s="469"/>
      <c r="N177" s="453"/>
      <c r="O177" s="454"/>
      <c r="P177" s="454"/>
      <c r="Q177" s="454"/>
      <c r="R177" s="454"/>
      <c r="S177" s="455"/>
    </row>
    <row r="178" spans="1:19" s="468" customFormat="1">
      <c r="A178" s="446">
        <v>67</v>
      </c>
      <c r="B178" s="460" t="s">
        <v>4593</v>
      </c>
      <c r="C178" s="461"/>
      <c r="D178" s="462"/>
      <c r="E178" s="463"/>
      <c r="F178" s="464"/>
      <c r="G178" s="465"/>
      <c r="H178" s="466" t="s">
        <v>853</v>
      </c>
      <c r="I178" s="458">
        <v>12500</v>
      </c>
      <c r="J178" s="458">
        <f>(115000*1.1)/10</f>
        <v>12650.000000000002</v>
      </c>
      <c r="K178" s="467"/>
      <c r="M178" s="470" t="s">
        <v>4594</v>
      </c>
      <c r="N178" s="453"/>
      <c r="O178" s="454"/>
      <c r="P178" s="454"/>
      <c r="Q178" s="454"/>
      <c r="R178" s="454"/>
      <c r="S178" s="455"/>
    </row>
    <row r="179" spans="1:19" s="468" customFormat="1">
      <c r="A179" s="486"/>
      <c r="B179" s="575"/>
      <c r="C179" s="576"/>
      <c r="D179" s="545"/>
      <c r="E179" s="546"/>
      <c r="F179" s="547"/>
      <c r="G179" s="548"/>
      <c r="H179" s="577"/>
      <c r="I179" s="481"/>
      <c r="J179" s="481"/>
      <c r="K179" s="549"/>
      <c r="M179" s="469" t="s">
        <v>4595</v>
      </c>
      <c r="N179" s="453"/>
      <c r="O179" s="454"/>
      <c r="P179" s="454"/>
      <c r="Q179" s="454"/>
      <c r="R179" s="454"/>
      <c r="S179" s="455"/>
    </row>
    <row r="180" spans="1:19">
      <c r="A180" s="564"/>
      <c r="B180" s="496" t="s">
        <v>3020</v>
      </c>
      <c r="C180" s="497"/>
      <c r="D180" s="497"/>
      <c r="E180" s="565"/>
      <c r="F180" s="530"/>
      <c r="G180" s="495"/>
      <c r="H180" s="495"/>
      <c r="I180" s="444"/>
      <c r="J180" s="444"/>
      <c r="K180" s="491"/>
      <c r="M180" s="469"/>
      <c r="N180" s="453"/>
      <c r="O180" s="454"/>
      <c r="P180" s="454"/>
      <c r="Q180" s="454"/>
      <c r="R180" s="454"/>
      <c r="S180" s="455"/>
    </row>
    <row r="181" spans="1:19">
      <c r="A181" s="446">
        <v>1</v>
      </c>
      <c r="B181" s="557" t="s">
        <v>3021</v>
      </c>
      <c r="C181" s="558"/>
      <c r="D181" s="558"/>
      <c r="E181" s="449"/>
      <c r="F181" s="450"/>
      <c r="G181" s="451"/>
      <c r="H181" s="451" t="s">
        <v>2997</v>
      </c>
      <c r="I181" s="440">
        <v>2570000</v>
      </c>
      <c r="J181" s="440"/>
      <c r="K181" s="446"/>
      <c r="M181" s="469"/>
      <c r="N181" s="453"/>
      <c r="O181" s="454"/>
      <c r="P181" s="454"/>
      <c r="Q181" s="454"/>
      <c r="R181" s="454"/>
      <c r="S181" s="455"/>
    </row>
    <row r="182" spans="1:19">
      <c r="A182" s="446">
        <f t="shared" ref="A182:A205" si="5">A181+1</f>
        <v>2</v>
      </c>
      <c r="B182" s="557" t="s">
        <v>3022</v>
      </c>
      <c r="C182" s="558"/>
      <c r="D182" s="558"/>
      <c r="E182" s="449"/>
      <c r="F182" s="450"/>
      <c r="G182" s="451"/>
      <c r="H182" s="451" t="s">
        <v>2997</v>
      </c>
      <c r="I182" s="440">
        <v>1410000</v>
      </c>
      <c r="J182" s="440"/>
      <c r="K182" s="446"/>
      <c r="M182" s="469"/>
      <c r="N182" s="453"/>
      <c r="O182" s="454"/>
      <c r="P182" s="454"/>
      <c r="Q182" s="454"/>
      <c r="R182" s="454"/>
      <c r="S182" s="455"/>
    </row>
    <row r="183" spans="1:19">
      <c r="A183" s="446">
        <f t="shared" si="5"/>
        <v>3</v>
      </c>
      <c r="B183" s="557" t="s">
        <v>3023</v>
      </c>
      <c r="C183" s="558"/>
      <c r="D183" s="558"/>
      <c r="E183" s="449"/>
      <c r="F183" s="450"/>
      <c r="G183" s="451"/>
      <c r="H183" s="451" t="s">
        <v>2997</v>
      </c>
      <c r="I183" s="440">
        <v>970000</v>
      </c>
      <c r="J183" s="440"/>
      <c r="K183" s="446"/>
      <c r="M183" s="469"/>
      <c r="N183" s="453"/>
      <c r="O183" s="454"/>
      <c r="P183" s="454"/>
      <c r="Q183" s="454"/>
      <c r="R183" s="454"/>
      <c r="S183" s="455"/>
    </row>
    <row r="184" spans="1:19">
      <c r="A184" s="446">
        <f t="shared" si="5"/>
        <v>4</v>
      </c>
      <c r="B184" s="557" t="s">
        <v>3024</v>
      </c>
      <c r="C184" s="558"/>
      <c r="D184" s="558"/>
      <c r="E184" s="449"/>
      <c r="F184" s="450"/>
      <c r="G184" s="451"/>
      <c r="H184" s="451" t="s">
        <v>2997</v>
      </c>
      <c r="I184" s="440">
        <v>940000</v>
      </c>
      <c r="J184" s="440"/>
      <c r="K184" s="446"/>
      <c r="M184" s="469"/>
      <c r="N184" s="453"/>
      <c r="O184" s="454"/>
      <c r="P184" s="454"/>
      <c r="Q184" s="454"/>
      <c r="R184" s="454"/>
      <c r="S184" s="455"/>
    </row>
    <row r="185" spans="1:19">
      <c r="A185" s="446">
        <f t="shared" si="5"/>
        <v>5</v>
      </c>
      <c r="B185" s="557" t="s">
        <v>3025</v>
      </c>
      <c r="C185" s="558"/>
      <c r="D185" s="558"/>
      <c r="E185" s="449"/>
      <c r="F185" s="450"/>
      <c r="G185" s="451"/>
      <c r="H185" s="451" t="s">
        <v>2997</v>
      </c>
      <c r="I185" s="440">
        <v>640000</v>
      </c>
      <c r="J185" s="440"/>
      <c r="K185" s="446"/>
      <c r="M185" s="469"/>
      <c r="N185" s="453"/>
      <c r="O185" s="454"/>
      <c r="P185" s="454"/>
      <c r="Q185" s="454"/>
      <c r="R185" s="454"/>
      <c r="S185" s="455"/>
    </row>
    <row r="186" spans="1:19">
      <c r="A186" s="446">
        <f t="shared" si="5"/>
        <v>6</v>
      </c>
      <c r="B186" s="557" t="s">
        <v>3026</v>
      </c>
      <c r="C186" s="558"/>
      <c r="D186" s="558"/>
      <c r="E186" s="449"/>
      <c r="F186" s="450"/>
      <c r="G186" s="451"/>
      <c r="H186" s="451" t="s">
        <v>2997</v>
      </c>
      <c r="I186" s="440">
        <v>3000000</v>
      </c>
      <c r="J186" s="440"/>
      <c r="K186" s="446"/>
      <c r="M186" s="469"/>
      <c r="N186" s="453"/>
      <c r="O186" s="454"/>
      <c r="P186" s="454"/>
      <c r="Q186" s="454"/>
      <c r="R186" s="454"/>
      <c r="S186" s="455"/>
    </row>
    <row r="187" spans="1:19">
      <c r="A187" s="446">
        <f t="shared" si="5"/>
        <v>7</v>
      </c>
      <c r="B187" s="557" t="s">
        <v>3027</v>
      </c>
      <c r="C187" s="558"/>
      <c r="D187" s="558"/>
      <c r="E187" s="449"/>
      <c r="F187" s="450"/>
      <c r="G187" s="451"/>
      <c r="H187" s="451" t="s">
        <v>2997</v>
      </c>
      <c r="I187" s="440">
        <v>2300000</v>
      </c>
      <c r="J187" s="440"/>
      <c r="K187" s="446"/>
      <c r="M187" s="469"/>
      <c r="N187" s="453"/>
      <c r="O187" s="454"/>
      <c r="P187" s="454"/>
      <c r="Q187" s="454"/>
      <c r="R187" s="454"/>
      <c r="S187" s="455"/>
    </row>
    <row r="188" spans="1:19">
      <c r="A188" s="446">
        <f t="shared" si="5"/>
        <v>8</v>
      </c>
      <c r="B188" s="557" t="s">
        <v>3028</v>
      </c>
      <c r="C188" s="558"/>
      <c r="D188" s="558"/>
      <c r="E188" s="449"/>
      <c r="F188" s="450"/>
      <c r="G188" s="451"/>
      <c r="H188" s="451" t="s">
        <v>2997</v>
      </c>
      <c r="I188" s="440">
        <v>1600000</v>
      </c>
      <c r="J188" s="440"/>
      <c r="K188" s="446"/>
      <c r="M188" s="469"/>
      <c r="N188" s="453"/>
      <c r="O188" s="454"/>
      <c r="P188" s="454"/>
      <c r="Q188" s="454"/>
      <c r="R188" s="454"/>
      <c r="S188" s="455"/>
    </row>
    <row r="189" spans="1:19">
      <c r="A189" s="446">
        <f t="shared" si="5"/>
        <v>9</v>
      </c>
      <c r="B189" s="557" t="s">
        <v>3029</v>
      </c>
      <c r="C189" s="558"/>
      <c r="D189" s="558"/>
      <c r="E189" s="449"/>
      <c r="F189" s="450"/>
      <c r="G189" s="451"/>
      <c r="H189" s="451" t="s">
        <v>2997</v>
      </c>
      <c r="I189" s="440">
        <v>850000</v>
      </c>
      <c r="J189" s="440"/>
      <c r="K189" s="446"/>
      <c r="M189" s="469"/>
      <c r="N189" s="453"/>
      <c r="O189" s="454"/>
      <c r="P189" s="454"/>
      <c r="Q189" s="454"/>
      <c r="R189" s="454"/>
      <c r="S189" s="455"/>
    </row>
    <row r="190" spans="1:19">
      <c r="A190" s="446">
        <f t="shared" si="5"/>
        <v>10</v>
      </c>
      <c r="B190" s="557" t="s">
        <v>3030</v>
      </c>
      <c r="C190" s="558"/>
      <c r="D190" s="558"/>
      <c r="E190" s="449"/>
      <c r="F190" s="450"/>
      <c r="G190" s="451"/>
      <c r="H190" s="451" t="s">
        <v>2997</v>
      </c>
      <c r="I190" s="440">
        <v>1800000</v>
      </c>
      <c r="J190" s="440"/>
      <c r="K190" s="446"/>
      <c r="M190" s="469"/>
      <c r="N190" s="453"/>
      <c r="O190" s="454"/>
      <c r="P190" s="454"/>
      <c r="Q190" s="454"/>
      <c r="R190" s="454"/>
      <c r="S190" s="455"/>
    </row>
    <row r="191" spans="1:19">
      <c r="A191" s="446">
        <f t="shared" si="5"/>
        <v>11</v>
      </c>
      <c r="B191" s="557" t="s">
        <v>3031</v>
      </c>
      <c r="C191" s="558"/>
      <c r="D191" s="558"/>
      <c r="E191" s="449"/>
      <c r="F191" s="450"/>
      <c r="G191" s="451"/>
      <c r="H191" s="451" t="s">
        <v>2997</v>
      </c>
      <c r="I191" s="440">
        <v>1350000</v>
      </c>
      <c r="J191" s="440"/>
      <c r="K191" s="446"/>
      <c r="M191" s="469"/>
      <c r="N191" s="453"/>
      <c r="O191" s="454"/>
      <c r="P191" s="454"/>
      <c r="Q191" s="454"/>
      <c r="R191" s="454"/>
      <c r="S191" s="455"/>
    </row>
    <row r="192" spans="1:19">
      <c r="A192" s="446">
        <f t="shared" si="5"/>
        <v>12</v>
      </c>
      <c r="B192" s="557" t="s">
        <v>3032</v>
      </c>
      <c r="C192" s="558"/>
      <c r="D192" s="558"/>
      <c r="E192" s="449"/>
      <c r="F192" s="450"/>
      <c r="G192" s="451"/>
      <c r="H192" s="451" t="s">
        <v>2997</v>
      </c>
      <c r="I192" s="440">
        <v>921000</v>
      </c>
      <c r="J192" s="440"/>
      <c r="K192" s="446"/>
      <c r="M192" s="469"/>
      <c r="N192" s="453"/>
      <c r="O192" s="454"/>
      <c r="P192" s="454"/>
      <c r="Q192" s="454"/>
      <c r="R192" s="454"/>
      <c r="S192" s="455"/>
    </row>
    <row r="193" spans="1:19">
      <c r="A193" s="446">
        <f t="shared" si="5"/>
        <v>13</v>
      </c>
      <c r="B193" s="557" t="s">
        <v>3033</v>
      </c>
      <c r="C193" s="558"/>
      <c r="D193" s="558"/>
      <c r="E193" s="449"/>
      <c r="F193" s="450"/>
      <c r="G193" s="451"/>
      <c r="H193" s="451" t="s">
        <v>2997</v>
      </c>
      <c r="I193" s="440">
        <v>478000</v>
      </c>
      <c r="J193" s="440"/>
      <c r="K193" s="446"/>
      <c r="M193" s="469"/>
      <c r="N193" s="453"/>
      <c r="O193" s="454"/>
      <c r="P193" s="454"/>
      <c r="Q193" s="454"/>
      <c r="R193" s="454"/>
      <c r="S193" s="455"/>
    </row>
    <row r="194" spans="1:19">
      <c r="A194" s="446">
        <f t="shared" si="5"/>
        <v>14</v>
      </c>
      <c r="B194" s="557" t="s">
        <v>3034</v>
      </c>
      <c r="C194" s="558"/>
      <c r="D194" s="558"/>
      <c r="E194" s="449"/>
      <c r="F194" s="450"/>
      <c r="G194" s="451"/>
      <c r="H194" s="451" t="s">
        <v>2997</v>
      </c>
      <c r="I194" s="440">
        <v>2258000</v>
      </c>
      <c r="J194" s="440"/>
      <c r="K194" s="446"/>
      <c r="M194" s="469"/>
      <c r="N194" s="453"/>
      <c r="O194" s="454"/>
      <c r="P194" s="454"/>
      <c r="Q194" s="454"/>
      <c r="R194" s="454"/>
      <c r="S194" s="455"/>
    </row>
    <row r="195" spans="1:19">
      <c r="A195" s="446">
        <f t="shared" si="5"/>
        <v>15</v>
      </c>
      <c r="B195" s="557" t="s">
        <v>3035</v>
      </c>
      <c r="C195" s="558"/>
      <c r="D195" s="558"/>
      <c r="E195" s="449"/>
      <c r="F195" s="450"/>
      <c r="G195" s="451"/>
      <c r="H195" s="451" t="s">
        <v>2997</v>
      </c>
      <c r="I195" s="440">
        <v>1129000</v>
      </c>
      <c r="J195" s="440"/>
      <c r="K195" s="446"/>
      <c r="M195" s="469"/>
      <c r="N195" s="453"/>
      <c r="O195" s="454"/>
      <c r="P195" s="454"/>
      <c r="Q195" s="454"/>
      <c r="R195" s="454"/>
      <c r="S195" s="455"/>
    </row>
    <row r="196" spans="1:19">
      <c r="A196" s="446">
        <f t="shared" si="5"/>
        <v>16</v>
      </c>
      <c r="B196" s="557" t="s">
        <v>3036</v>
      </c>
      <c r="C196" s="558"/>
      <c r="D196" s="558"/>
      <c r="E196" s="449"/>
      <c r="F196" s="450"/>
      <c r="G196" s="451"/>
      <c r="H196" s="451" t="s">
        <v>2997</v>
      </c>
      <c r="I196" s="440">
        <v>758000</v>
      </c>
      <c r="J196" s="440"/>
      <c r="K196" s="446"/>
      <c r="M196" s="469"/>
      <c r="N196" s="453"/>
      <c r="O196" s="454"/>
      <c r="P196" s="454"/>
      <c r="Q196" s="454"/>
      <c r="R196" s="454"/>
      <c r="S196" s="455"/>
    </row>
    <row r="197" spans="1:19">
      <c r="A197" s="446">
        <f t="shared" si="5"/>
        <v>17</v>
      </c>
      <c r="B197" s="557" t="s">
        <v>3037</v>
      </c>
      <c r="C197" s="558"/>
      <c r="D197" s="558"/>
      <c r="E197" s="449"/>
      <c r="F197" s="450"/>
      <c r="G197" s="451"/>
      <c r="H197" s="451" t="s">
        <v>2997</v>
      </c>
      <c r="I197" s="440">
        <v>734000</v>
      </c>
      <c r="J197" s="440"/>
      <c r="K197" s="446"/>
      <c r="M197" s="469"/>
      <c r="N197" s="453"/>
      <c r="O197" s="454"/>
      <c r="P197" s="454"/>
      <c r="Q197" s="454"/>
      <c r="R197" s="454"/>
      <c r="S197" s="455"/>
    </row>
    <row r="198" spans="1:19">
      <c r="A198" s="446">
        <f t="shared" si="5"/>
        <v>18</v>
      </c>
      <c r="B198" s="557" t="s">
        <v>3038</v>
      </c>
      <c r="C198" s="558"/>
      <c r="D198" s="558"/>
      <c r="E198" s="449"/>
      <c r="F198" s="450"/>
      <c r="G198" s="451"/>
      <c r="H198" s="451" t="s">
        <v>2997</v>
      </c>
      <c r="I198" s="440">
        <v>2238000</v>
      </c>
      <c r="J198" s="440"/>
      <c r="K198" s="446"/>
      <c r="M198" s="469"/>
      <c r="N198" s="453"/>
      <c r="O198" s="454"/>
      <c r="P198" s="454"/>
      <c r="Q198" s="454"/>
      <c r="R198" s="454"/>
      <c r="S198" s="455"/>
    </row>
    <row r="199" spans="1:19">
      <c r="A199" s="446">
        <f t="shared" si="5"/>
        <v>19</v>
      </c>
      <c r="B199" s="557" t="s">
        <v>3039</v>
      </c>
      <c r="C199" s="558"/>
      <c r="D199" s="558"/>
      <c r="E199" s="449"/>
      <c r="F199" s="450"/>
      <c r="G199" s="451"/>
      <c r="H199" s="451" t="s">
        <v>2997</v>
      </c>
      <c r="I199" s="440">
        <v>1700000</v>
      </c>
      <c r="J199" s="440"/>
      <c r="K199" s="446"/>
      <c r="M199" s="469"/>
      <c r="N199" s="453"/>
      <c r="O199" s="454"/>
      <c r="P199" s="454"/>
      <c r="Q199" s="454"/>
      <c r="R199" s="454"/>
      <c r="S199" s="455"/>
    </row>
    <row r="200" spans="1:19">
      <c r="A200" s="446">
        <f t="shared" si="5"/>
        <v>20</v>
      </c>
      <c r="B200" s="557" t="s">
        <v>3040</v>
      </c>
      <c r="C200" s="558"/>
      <c r="D200" s="558"/>
      <c r="E200" s="449"/>
      <c r="F200" s="450"/>
      <c r="G200" s="451"/>
      <c r="H200" s="451" t="s">
        <v>2997</v>
      </c>
      <c r="I200" s="440">
        <v>1170000</v>
      </c>
      <c r="J200" s="440"/>
      <c r="K200" s="446"/>
      <c r="M200" s="469"/>
      <c r="N200" s="453"/>
      <c r="O200" s="454"/>
      <c r="P200" s="454"/>
      <c r="Q200" s="454"/>
      <c r="R200" s="454"/>
      <c r="S200" s="455"/>
    </row>
    <row r="201" spans="1:19">
      <c r="A201" s="446">
        <f t="shared" si="5"/>
        <v>21</v>
      </c>
      <c r="B201" s="557" t="s">
        <v>3041</v>
      </c>
      <c r="C201" s="558"/>
      <c r="D201" s="558"/>
      <c r="E201" s="449"/>
      <c r="F201" s="450"/>
      <c r="G201" s="451"/>
      <c r="H201" s="451" t="s">
        <v>2997</v>
      </c>
      <c r="I201" s="440">
        <v>637000</v>
      </c>
      <c r="J201" s="440"/>
      <c r="K201" s="446"/>
      <c r="M201" s="469"/>
      <c r="N201" s="453"/>
      <c r="O201" s="454"/>
      <c r="P201" s="454"/>
      <c r="Q201" s="454"/>
      <c r="R201" s="454"/>
      <c r="S201" s="455"/>
    </row>
    <row r="202" spans="1:19">
      <c r="A202" s="446">
        <f t="shared" si="5"/>
        <v>22</v>
      </c>
      <c r="B202" s="557" t="s">
        <v>3042</v>
      </c>
      <c r="C202" s="558"/>
      <c r="D202" s="558"/>
      <c r="E202" s="449"/>
      <c r="F202" s="450"/>
      <c r="G202" s="451"/>
      <c r="H202" s="451" t="s">
        <v>2997</v>
      </c>
      <c r="I202" s="440">
        <v>949000</v>
      </c>
      <c r="J202" s="440"/>
      <c r="K202" s="446"/>
      <c r="M202" s="469"/>
      <c r="N202" s="453"/>
      <c r="O202" s="454"/>
      <c r="P202" s="454"/>
      <c r="Q202" s="454"/>
      <c r="R202" s="454"/>
      <c r="S202" s="455"/>
    </row>
    <row r="203" spans="1:19">
      <c r="A203" s="446">
        <f t="shared" si="5"/>
        <v>23</v>
      </c>
      <c r="B203" s="557" t="s">
        <v>3043</v>
      </c>
      <c r="C203" s="558"/>
      <c r="D203" s="558"/>
      <c r="E203" s="449"/>
      <c r="F203" s="450"/>
      <c r="G203" s="451"/>
      <c r="H203" s="451" t="s">
        <v>2997</v>
      </c>
      <c r="I203" s="440">
        <v>720000</v>
      </c>
      <c r="J203" s="440"/>
      <c r="K203" s="446"/>
      <c r="M203" s="469"/>
      <c r="N203" s="453"/>
      <c r="O203" s="454"/>
      <c r="P203" s="454"/>
      <c r="Q203" s="454"/>
      <c r="R203" s="454"/>
      <c r="S203" s="455"/>
    </row>
    <row r="204" spans="1:19">
      <c r="A204" s="446">
        <f t="shared" si="5"/>
        <v>24</v>
      </c>
      <c r="B204" s="557" t="s">
        <v>3044</v>
      </c>
      <c r="C204" s="558"/>
      <c r="D204" s="558"/>
      <c r="E204" s="449"/>
      <c r="F204" s="450"/>
      <c r="G204" s="451"/>
      <c r="H204" s="451" t="s">
        <v>2997</v>
      </c>
      <c r="I204" s="440">
        <v>492000</v>
      </c>
      <c r="J204" s="440"/>
      <c r="K204" s="446"/>
      <c r="M204" s="469"/>
      <c r="N204" s="453"/>
      <c r="O204" s="454"/>
      <c r="P204" s="454"/>
      <c r="Q204" s="454"/>
      <c r="R204" s="454"/>
      <c r="S204" s="455"/>
    </row>
    <row r="205" spans="1:19">
      <c r="A205" s="446">
        <f t="shared" si="5"/>
        <v>25</v>
      </c>
      <c r="B205" s="557" t="s">
        <v>3045</v>
      </c>
      <c r="C205" s="558"/>
      <c r="D205" s="558"/>
      <c r="E205" s="449"/>
      <c r="F205" s="450"/>
      <c r="G205" s="451"/>
      <c r="H205" s="451" t="s">
        <v>2997</v>
      </c>
      <c r="I205" s="440">
        <v>322000</v>
      </c>
      <c r="J205" s="440"/>
      <c r="K205" s="446"/>
      <c r="M205" s="469"/>
      <c r="N205" s="453"/>
      <c r="O205" s="454"/>
      <c r="P205" s="454"/>
      <c r="Q205" s="454"/>
      <c r="R205" s="454"/>
      <c r="S205" s="455"/>
    </row>
    <row r="206" spans="1:19">
      <c r="A206" s="477"/>
      <c r="B206" s="484"/>
      <c r="C206" s="485"/>
      <c r="D206" s="485"/>
      <c r="E206" s="538"/>
      <c r="F206" s="478"/>
      <c r="G206" s="451"/>
      <c r="H206" s="451"/>
      <c r="I206" s="445"/>
      <c r="J206" s="445"/>
      <c r="K206" s="446"/>
      <c r="M206" s="469"/>
      <c r="N206" s="453"/>
      <c r="O206" s="454"/>
      <c r="P206" s="454"/>
      <c r="Q206" s="454"/>
      <c r="R206" s="454"/>
      <c r="S206" s="455"/>
    </row>
    <row r="207" spans="1:19">
      <c r="A207" s="477"/>
      <c r="B207" s="484" t="s">
        <v>3046</v>
      </c>
      <c r="C207" s="485"/>
      <c r="D207" s="485"/>
      <c r="E207" s="538"/>
      <c r="F207" s="478"/>
      <c r="G207" s="451"/>
      <c r="H207" s="451"/>
      <c r="I207" s="445"/>
      <c r="J207" s="445"/>
      <c r="K207" s="446"/>
      <c r="M207" s="469"/>
      <c r="N207" s="453"/>
      <c r="O207" s="454"/>
      <c r="P207" s="454"/>
      <c r="Q207" s="454"/>
      <c r="R207" s="454"/>
      <c r="S207" s="455"/>
    </row>
    <row r="208" spans="1:19">
      <c r="A208" s="446">
        <v>1</v>
      </c>
      <c r="B208" s="557" t="s">
        <v>3047</v>
      </c>
      <c r="C208" s="558"/>
      <c r="D208" s="558"/>
      <c r="E208" s="449" t="s">
        <v>3048</v>
      </c>
      <c r="F208" s="450"/>
      <c r="G208" s="451"/>
      <c r="H208" s="451" t="s">
        <v>2997</v>
      </c>
      <c r="I208" s="440">
        <v>3200000</v>
      </c>
      <c r="J208" s="440"/>
      <c r="K208" s="446"/>
      <c r="M208" s="469"/>
      <c r="N208" s="453"/>
      <c r="O208" s="454"/>
      <c r="P208" s="454"/>
      <c r="Q208" s="454"/>
      <c r="R208" s="454"/>
      <c r="S208" s="455"/>
    </row>
    <row r="209" spans="1:19">
      <c r="A209" s="446">
        <f t="shared" ref="A209:A232" si="6">A208+1</f>
        <v>2</v>
      </c>
      <c r="B209" s="557" t="s">
        <v>3049</v>
      </c>
      <c r="C209" s="558"/>
      <c r="D209" s="558"/>
      <c r="E209" s="449" t="s">
        <v>3048</v>
      </c>
      <c r="F209" s="450"/>
      <c r="G209" s="451"/>
      <c r="H209" s="451" t="s">
        <v>2997</v>
      </c>
      <c r="I209" s="440">
        <v>914000</v>
      </c>
      <c r="J209" s="440"/>
      <c r="K209" s="446"/>
      <c r="M209" s="469"/>
      <c r="N209" s="453"/>
      <c r="O209" s="454"/>
      <c r="P209" s="454"/>
      <c r="Q209" s="454"/>
      <c r="R209" s="454"/>
      <c r="S209" s="455"/>
    </row>
    <row r="210" spans="1:19">
      <c r="A210" s="446">
        <f t="shared" si="6"/>
        <v>3</v>
      </c>
      <c r="B210" s="557" t="s">
        <v>3050</v>
      </c>
      <c r="C210" s="558"/>
      <c r="D210" s="558"/>
      <c r="E210" s="449" t="s">
        <v>3048</v>
      </c>
      <c r="F210" s="450"/>
      <c r="G210" s="451"/>
      <c r="H210" s="451" t="s">
        <v>2997</v>
      </c>
      <c r="I210" s="440">
        <v>480000</v>
      </c>
      <c r="J210" s="440"/>
      <c r="K210" s="446"/>
      <c r="M210" s="469"/>
      <c r="N210" s="453"/>
      <c r="O210" s="454"/>
      <c r="P210" s="454"/>
      <c r="Q210" s="454"/>
      <c r="R210" s="454"/>
      <c r="S210" s="455"/>
    </row>
    <row r="211" spans="1:19">
      <c r="A211" s="446">
        <f t="shared" si="6"/>
        <v>4</v>
      </c>
      <c r="B211" s="557" t="s">
        <v>3051</v>
      </c>
      <c r="C211" s="558"/>
      <c r="D211" s="558"/>
      <c r="E211" s="449" t="s">
        <v>3048</v>
      </c>
      <c r="F211" s="450"/>
      <c r="G211" s="451"/>
      <c r="H211" s="451" t="s">
        <v>2997</v>
      </c>
      <c r="I211" s="440">
        <v>450000</v>
      </c>
      <c r="J211" s="440"/>
      <c r="K211" s="446"/>
      <c r="M211" s="469"/>
      <c r="N211" s="453"/>
      <c r="O211" s="454"/>
      <c r="P211" s="454"/>
      <c r="Q211" s="454"/>
      <c r="R211" s="454"/>
      <c r="S211" s="455"/>
    </row>
    <row r="212" spans="1:19">
      <c r="A212" s="446">
        <f t="shared" si="6"/>
        <v>5</v>
      </c>
      <c r="B212" s="557" t="s">
        <v>3052</v>
      </c>
      <c r="C212" s="558"/>
      <c r="D212" s="558"/>
      <c r="E212" s="449" t="s">
        <v>3048</v>
      </c>
      <c r="F212" s="450"/>
      <c r="G212" s="451"/>
      <c r="H212" s="451" t="s">
        <v>2997</v>
      </c>
      <c r="I212" s="440">
        <v>360000</v>
      </c>
      <c r="J212" s="440"/>
      <c r="K212" s="446"/>
      <c r="M212" s="469"/>
      <c r="N212" s="453"/>
      <c r="O212" s="454"/>
      <c r="P212" s="454"/>
      <c r="Q212" s="454"/>
      <c r="R212" s="454"/>
      <c r="S212" s="455"/>
    </row>
    <row r="213" spans="1:19">
      <c r="A213" s="446">
        <f t="shared" si="6"/>
        <v>6</v>
      </c>
      <c r="B213" s="557" t="s">
        <v>3053</v>
      </c>
      <c r="C213" s="558"/>
      <c r="D213" s="558"/>
      <c r="E213" s="449" t="s">
        <v>3048</v>
      </c>
      <c r="F213" s="450"/>
      <c r="G213" s="451"/>
      <c r="H213" s="451" t="s">
        <v>2997</v>
      </c>
      <c r="I213" s="440">
        <v>3400000</v>
      </c>
      <c r="J213" s="440"/>
      <c r="K213" s="446"/>
      <c r="M213" s="469"/>
      <c r="N213" s="453"/>
      <c r="O213" s="454"/>
      <c r="P213" s="454"/>
      <c r="Q213" s="454"/>
      <c r="R213" s="454"/>
      <c r="S213" s="455"/>
    </row>
    <row r="214" spans="1:19">
      <c r="A214" s="446">
        <f t="shared" si="6"/>
        <v>7</v>
      </c>
      <c r="B214" s="557" t="s">
        <v>3054</v>
      </c>
      <c r="C214" s="558"/>
      <c r="D214" s="558"/>
      <c r="E214" s="449" t="s">
        <v>3048</v>
      </c>
      <c r="F214" s="450"/>
      <c r="G214" s="451"/>
      <c r="H214" s="451" t="s">
        <v>2997</v>
      </c>
      <c r="I214" s="440">
        <v>3000000</v>
      </c>
      <c r="J214" s="440"/>
      <c r="K214" s="446"/>
      <c r="M214" s="469"/>
      <c r="N214" s="453"/>
      <c r="O214" s="454"/>
      <c r="P214" s="454"/>
      <c r="Q214" s="454"/>
      <c r="R214" s="454"/>
      <c r="S214" s="455"/>
    </row>
    <row r="215" spans="1:19">
      <c r="A215" s="446">
        <f t="shared" si="6"/>
        <v>8</v>
      </c>
      <c r="B215" s="557" t="s">
        <v>3055</v>
      </c>
      <c r="C215" s="558"/>
      <c r="D215" s="558"/>
      <c r="E215" s="449" t="s">
        <v>3048</v>
      </c>
      <c r="F215" s="450"/>
      <c r="G215" s="451"/>
      <c r="H215" s="451" t="s">
        <v>2997</v>
      </c>
      <c r="I215" s="440">
        <v>1900000</v>
      </c>
      <c r="J215" s="440"/>
      <c r="K215" s="446"/>
      <c r="M215" s="469"/>
      <c r="N215" s="453"/>
      <c r="O215" s="454"/>
      <c r="P215" s="454"/>
      <c r="Q215" s="454"/>
      <c r="R215" s="454"/>
      <c r="S215" s="455"/>
    </row>
    <row r="216" spans="1:19">
      <c r="A216" s="446">
        <f t="shared" si="6"/>
        <v>9</v>
      </c>
      <c r="B216" s="557" t="s">
        <v>3056</v>
      </c>
      <c r="C216" s="558"/>
      <c r="D216" s="558"/>
      <c r="E216" s="449" t="s">
        <v>3048</v>
      </c>
      <c r="F216" s="450"/>
      <c r="G216" s="451"/>
      <c r="H216" s="451" t="s">
        <v>2997</v>
      </c>
      <c r="I216" s="440">
        <v>1000000</v>
      </c>
      <c r="J216" s="440"/>
      <c r="K216" s="446"/>
      <c r="M216" s="469"/>
      <c r="N216" s="453"/>
      <c r="O216" s="454"/>
      <c r="P216" s="454"/>
      <c r="Q216" s="454"/>
      <c r="R216" s="454"/>
      <c r="S216" s="455"/>
    </row>
    <row r="217" spans="1:19">
      <c r="A217" s="446">
        <f t="shared" si="6"/>
        <v>10</v>
      </c>
      <c r="B217" s="557" t="s">
        <v>3057</v>
      </c>
      <c r="C217" s="558"/>
      <c r="D217" s="558"/>
      <c r="E217" s="449" t="s">
        <v>3048</v>
      </c>
      <c r="F217" s="450"/>
      <c r="G217" s="451"/>
      <c r="H217" s="451" t="s">
        <v>2997</v>
      </c>
      <c r="I217" s="440">
        <v>1400000</v>
      </c>
      <c r="J217" s="440"/>
      <c r="K217" s="446"/>
      <c r="M217" s="469"/>
      <c r="N217" s="453"/>
      <c r="O217" s="454"/>
      <c r="P217" s="454"/>
      <c r="Q217" s="454"/>
      <c r="R217" s="454"/>
      <c r="S217" s="455"/>
    </row>
    <row r="218" spans="1:19">
      <c r="A218" s="446">
        <f t="shared" si="6"/>
        <v>11</v>
      </c>
      <c r="B218" s="557" t="s">
        <v>3058</v>
      </c>
      <c r="C218" s="558"/>
      <c r="D218" s="558"/>
      <c r="E218" s="449" t="s">
        <v>3048</v>
      </c>
      <c r="F218" s="450"/>
      <c r="G218" s="451"/>
      <c r="H218" s="451" t="s">
        <v>2997</v>
      </c>
      <c r="I218" s="440">
        <v>1000000</v>
      </c>
      <c r="J218" s="440"/>
      <c r="K218" s="446"/>
      <c r="M218" s="469"/>
      <c r="N218" s="453"/>
      <c r="O218" s="454"/>
      <c r="P218" s="454"/>
      <c r="Q218" s="454"/>
      <c r="R218" s="454"/>
      <c r="S218" s="455"/>
    </row>
    <row r="219" spans="1:19">
      <c r="A219" s="446">
        <f t="shared" si="6"/>
        <v>12</v>
      </c>
      <c r="B219" s="557" t="s">
        <v>3059</v>
      </c>
      <c r="C219" s="558"/>
      <c r="D219" s="558"/>
      <c r="E219" s="449" t="s">
        <v>3048</v>
      </c>
      <c r="F219" s="450"/>
      <c r="G219" s="451"/>
      <c r="H219" s="451" t="s">
        <v>2997</v>
      </c>
      <c r="I219" s="440">
        <v>700000</v>
      </c>
      <c r="J219" s="440"/>
      <c r="K219" s="446"/>
      <c r="M219" s="469"/>
      <c r="N219" s="453"/>
      <c r="O219" s="454"/>
      <c r="P219" s="454"/>
      <c r="Q219" s="454"/>
      <c r="R219" s="454"/>
      <c r="S219" s="455"/>
    </row>
    <row r="220" spans="1:19">
      <c r="A220" s="446">
        <f t="shared" si="6"/>
        <v>13</v>
      </c>
      <c r="B220" s="557" t="s">
        <v>3060</v>
      </c>
      <c r="C220" s="558"/>
      <c r="D220" s="558"/>
      <c r="E220" s="449" t="s">
        <v>3048</v>
      </c>
      <c r="F220" s="450"/>
      <c r="G220" s="451"/>
      <c r="H220" s="451" t="s">
        <v>2997</v>
      </c>
      <c r="I220" s="440">
        <v>312000</v>
      </c>
      <c r="J220" s="440"/>
      <c r="K220" s="446"/>
      <c r="M220" s="469"/>
      <c r="N220" s="453"/>
      <c r="O220" s="454"/>
      <c r="P220" s="454"/>
      <c r="Q220" s="454"/>
      <c r="R220" s="454"/>
      <c r="S220" s="455"/>
    </row>
    <row r="221" spans="1:19">
      <c r="A221" s="446">
        <f t="shared" si="6"/>
        <v>14</v>
      </c>
      <c r="B221" s="557" t="s">
        <v>3061</v>
      </c>
      <c r="C221" s="558"/>
      <c r="D221" s="558"/>
      <c r="E221" s="449" t="s">
        <v>3048</v>
      </c>
      <c r="F221" s="450"/>
      <c r="G221" s="451"/>
      <c r="H221" s="451" t="s">
        <v>2997</v>
      </c>
      <c r="I221" s="440">
        <v>3200000</v>
      </c>
      <c r="J221" s="440"/>
      <c r="K221" s="446"/>
      <c r="M221" s="469"/>
      <c r="N221" s="453"/>
      <c r="O221" s="454"/>
      <c r="P221" s="454"/>
      <c r="Q221" s="454"/>
      <c r="R221" s="454"/>
      <c r="S221" s="455"/>
    </row>
    <row r="222" spans="1:19">
      <c r="A222" s="446">
        <f t="shared" si="6"/>
        <v>15</v>
      </c>
      <c r="B222" s="557" t="s">
        <v>3062</v>
      </c>
      <c r="C222" s="558"/>
      <c r="D222" s="558"/>
      <c r="E222" s="449" t="s">
        <v>3048</v>
      </c>
      <c r="F222" s="450"/>
      <c r="G222" s="451"/>
      <c r="H222" s="451" t="s">
        <v>2997</v>
      </c>
      <c r="I222" s="440">
        <v>914000</v>
      </c>
      <c r="J222" s="440"/>
      <c r="K222" s="446"/>
      <c r="M222" s="469"/>
      <c r="N222" s="453"/>
      <c r="O222" s="454"/>
      <c r="P222" s="454"/>
      <c r="Q222" s="454"/>
      <c r="R222" s="454"/>
      <c r="S222" s="455"/>
    </row>
    <row r="223" spans="1:19">
      <c r="A223" s="446">
        <f t="shared" si="6"/>
        <v>16</v>
      </c>
      <c r="B223" s="557" t="s">
        <v>3063</v>
      </c>
      <c r="C223" s="558"/>
      <c r="D223" s="558"/>
      <c r="E223" s="449" t="s">
        <v>3048</v>
      </c>
      <c r="F223" s="450"/>
      <c r="G223" s="451"/>
      <c r="H223" s="451" t="s">
        <v>2997</v>
      </c>
      <c r="I223" s="440">
        <v>480000</v>
      </c>
      <c r="J223" s="440"/>
      <c r="K223" s="446"/>
      <c r="M223" s="469"/>
      <c r="N223" s="453"/>
      <c r="O223" s="454"/>
      <c r="P223" s="454"/>
      <c r="Q223" s="454"/>
      <c r="R223" s="454"/>
      <c r="S223" s="455"/>
    </row>
    <row r="224" spans="1:19">
      <c r="A224" s="446">
        <f t="shared" si="6"/>
        <v>17</v>
      </c>
      <c r="B224" s="557" t="s">
        <v>3064</v>
      </c>
      <c r="C224" s="558"/>
      <c r="D224" s="558"/>
      <c r="E224" s="449" t="s">
        <v>3048</v>
      </c>
      <c r="F224" s="450"/>
      <c r="G224" s="451"/>
      <c r="H224" s="451" t="s">
        <v>2997</v>
      </c>
      <c r="I224" s="440">
        <v>450000</v>
      </c>
      <c r="J224" s="440"/>
      <c r="K224" s="446"/>
      <c r="M224" s="469"/>
      <c r="N224" s="453"/>
      <c r="O224" s="454"/>
      <c r="P224" s="454"/>
      <c r="Q224" s="454"/>
      <c r="R224" s="454"/>
      <c r="S224" s="455"/>
    </row>
    <row r="225" spans="1:19">
      <c r="A225" s="446">
        <f t="shared" si="6"/>
        <v>18</v>
      </c>
      <c r="B225" s="557" t="s">
        <v>3065</v>
      </c>
      <c r="C225" s="558"/>
      <c r="D225" s="558"/>
      <c r="E225" s="449" t="s">
        <v>3048</v>
      </c>
      <c r="F225" s="450"/>
      <c r="G225" s="451"/>
      <c r="H225" s="451" t="s">
        <v>2997</v>
      </c>
      <c r="I225" s="440">
        <v>360000</v>
      </c>
      <c r="J225" s="440"/>
      <c r="K225" s="446"/>
      <c r="M225" s="469"/>
      <c r="N225" s="453"/>
      <c r="O225" s="454"/>
      <c r="P225" s="454"/>
      <c r="Q225" s="454"/>
      <c r="R225" s="454"/>
      <c r="S225" s="455"/>
    </row>
    <row r="226" spans="1:19">
      <c r="A226" s="446">
        <f t="shared" si="6"/>
        <v>19</v>
      </c>
      <c r="B226" s="557" t="s">
        <v>3066</v>
      </c>
      <c r="C226" s="558"/>
      <c r="D226" s="558"/>
      <c r="E226" s="449" t="s">
        <v>3048</v>
      </c>
      <c r="F226" s="450"/>
      <c r="G226" s="451"/>
      <c r="H226" s="451" t="s">
        <v>2997</v>
      </c>
      <c r="I226" s="440">
        <v>3400000</v>
      </c>
      <c r="J226" s="440"/>
      <c r="K226" s="446"/>
      <c r="M226" s="469"/>
      <c r="N226" s="453"/>
      <c r="O226" s="454"/>
      <c r="P226" s="454"/>
      <c r="Q226" s="454"/>
      <c r="R226" s="454"/>
      <c r="S226" s="455"/>
    </row>
    <row r="227" spans="1:19">
      <c r="A227" s="446">
        <f t="shared" si="6"/>
        <v>20</v>
      </c>
      <c r="B227" s="557" t="s">
        <v>3067</v>
      </c>
      <c r="C227" s="558"/>
      <c r="D227" s="558"/>
      <c r="E227" s="449" t="s">
        <v>3048</v>
      </c>
      <c r="F227" s="450"/>
      <c r="G227" s="451"/>
      <c r="H227" s="451" t="s">
        <v>2997</v>
      </c>
      <c r="I227" s="440">
        <v>3000000</v>
      </c>
      <c r="J227" s="440"/>
      <c r="K227" s="446"/>
      <c r="M227" s="469"/>
      <c r="N227" s="453"/>
      <c r="O227" s="454"/>
      <c r="P227" s="454"/>
      <c r="Q227" s="454"/>
      <c r="R227" s="454"/>
      <c r="S227" s="455"/>
    </row>
    <row r="228" spans="1:19">
      <c r="A228" s="446">
        <f t="shared" si="6"/>
        <v>21</v>
      </c>
      <c r="B228" s="557" t="s">
        <v>3068</v>
      </c>
      <c r="C228" s="558"/>
      <c r="D228" s="558"/>
      <c r="E228" s="449" t="s">
        <v>3048</v>
      </c>
      <c r="F228" s="450"/>
      <c r="G228" s="451"/>
      <c r="H228" s="451" t="s">
        <v>2997</v>
      </c>
      <c r="I228" s="440">
        <v>1900000</v>
      </c>
      <c r="J228" s="440"/>
      <c r="K228" s="446"/>
      <c r="M228" s="469"/>
      <c r="N228" s="453"/>
      <c r="O228" s="454"/>
      <c r="P228" s="454"/>
      <c r="Q228" s="454"/>
      <c r="R228" s="454"/>
      <c r="S228" s="455"/>
    </row>
    <row r="229" spans="1:19">
      <c r="A229" s="446">
        <f t="shared" si="6"/>
        <v>22</v>
      </c>
      <c r="B229" s="557" t="s">
        <v>3069</v>
      </c>
      <c r="C229" s="558"/>
      <c r="D229" s="558"/>
      <c r="E229" s="449" t="s">
        <v>3048</v>
      </c>
      <c r="F229" s="450"/>
      <c r="G229" s="451"/>
      <c r="H229" s="451" t="s">
        <v>2997</v>
      </c>
      <c r="I229" s="440">
        <v>1000000</v>
      </c>
      <c r="J229" s="440"/>
      <c r="K229" s="446"/>
      <c r="M229" s="469"/>
      <c r="N229" s="453"/>
      <c r="O229" s="454"/>
      <c r="P229" s="454"/>
      <c r="Q229" s="454"/>
      <c r="R229" s="454"/>
      <c r="S229" s="455"/>
    </row>
    <row r="230" spans="1:19">
      <c r="A230" s="446">
        <f t="shared" si="6"/>
        <v>23</v>
      </c>
      <c r="B230" s="557" t="s">
        <v>3070</v>
      </c>
      <c r="C230" s="558"/>
      <c r="D230" s="558"/>
      <c r="E230" s="449" t="s">
        <v>3048</v>
      </c>
      <c r="F230" s="450"/>
      <c r="G230" s="451"/>
      <c r="H230" s="451" t="s">
        <v>2997</v>
      </c>
      <c r="I230" s="440">
        <v>1400000</v>
      </c>
      <c r="J230" s="440"/>
      <c r="K230" s="446"/>
      <c r="M230" s="469"/>
      <c r="N230" s="453"/>
      <c r="O230" s="454"/>
      <c r="P230" s="454"/>
      <c r="Q230" s="454"/>
      <c r="R230" s="454"/>
      <c r="S230" s="455"/>
    </row>
    <row r="231" spans="1:19">
      <c r="A231" s="446">
        <f t="shared" si="6"/>
        <v>24</v>
      </c>
      <c r="B231" s="557" t="s">
        <v>3071</v>
      </c>
      <c r="C231" s="558"/>
      <c r="D231" s="558"/>
      <c r="E231" s="449" t="s">
        <v>3048</v>
      </c>
      <c r="F231" s="450"/>
      <c r="G231" s="451"/>
      <c r="H231" s="451" t="s">
        <v>2997</v>
      </c>
      <c r="I231" s="440">
        <v>1000000</v>
      </c>
      <c r="J231" s="440"/>
      <c r="K231" s="446"/>
      <c r="M231" s="469"/>
      <c r="N231" s="453"/>
      <c r="O231" s="454"/>
      <c r="P231" s="454"/>
      <c r="Q231" s="454"/>
      <c r="R231" s="454"/>
      <c r="S231" s="455"/>
    </row>
    <row r="232" spans="1:19">
      <c r="A232" s="446">
        <f t="shared" si="6"/>
        <v>25</v>
      </c>
      <c r="B232" s="557" t="s">
        <v>3072</v>
      </c>
      <c r="C232" s="558"/>
      <c r="D232" s="558"/>
      <c r="E232" s="449" t="s">
        <v>3048</v>
      </c>
      <c r="F232" s="450"/>
      <c r="G232" s="451"/>
      <c r="H232" s="451" t="s">
        <v>2997</v>
      </c>
      <c r="I232" s="440">
        <v>700000</v>
      </c>
      <c r="J232" s="440"/>
      <c r="K232" s="446"/>
      <c r="M232" s="469"/>
      <c r="N232" s="453"/>
      <c r="O232" s="454"/>
      <c r="P232" s="454"/>
      <c r="Q232" s="454"/>
      <c r="R232" s="454"/>
      <c r="S232" s="455"/>
    </row>
    <row r="233" spans="1:19">
      <c r="A233" s="559"/>
      <c r="B233" s="560"/>
      <c r="C233" s="561"/>
      <c r="D233" s="561"/>
      <c r="E233" s="562"/>
      <c r="F233" s="563"/>
      <c r="G233" s="490"/>
      <c r="H233" s="490"/>
      <c r="I233" s="471"/>
      <c r="J233" s="471"/>
      <c r="K233" s="486"/>
      <c r="M233" s="469"/>
      <c r="N233" s="453"/>
      <c r="O233" s="454"/>
      <c r="P233" s="454"/>
      <c r="Q233" s="454"/>
      <c r="R233" s="454"/>
      <c r="S233" s="455"/>
    </row>
    <row r="234" spans="1:19">
      <c r="A234" s="564"/>
      <c r="B234" s="496" t="s">
        <v>3073</v>
      </c>
      <c r="C234" s="497"/>
      <c r="D234" s="497"/>
      <c r="E234" s="565"/>
      <c r="F234" s="530"/>
      <c r="G234" s="495"/>
      <c r="H234" s="495"/>
      <c r="I234" s="444"/>
      <c r="J234" s="444"/>
      <c r="K234" s="491"/>
      <c r="M234" s="469"/>
      <c r="N234" s="453"/>
      <c r="O234" s="454"/>
      <c r="P234" s="454"/>
      <c r="Q234" s="454"/>
      <c r="R234" s="454"/>
      <c r="S234" s="455"/>
    </row>
    <row r="235" spans="1:19">
      <c r="A235" s="446">
        <v>1</v>
      </c>
      <c r="B235" s="447" t="s">
        <v>3476</v>
      </c>
      <c r="C235" s="485"/>
      <c r="D235" s="485"/>
      <c r="E235" s="538"/>
      <c r="F235" s="478"/>
      <c r="G235" s="451"/>
      <c r="H235" s="451" t="s">
        <v>1423</v>
      </c>
      <c r="I235" s="445">
        <v>4000</v>
      </c>
      <c r="J235" s="445"/>
      <c r="K235" s="446"/>
      <c r="M235" s="469"/>
      <c r="N235" s="453"/>
      <c r="O235" s="454"/>
      <c r="P235" s="454"/>
      <c r="Q235" s="454"/>
      <c r="R235" s="454"/>
      <c r="S235" s="455"/>
    </row>
    <row r="236" spans="1:19">
      <c r="A236" s="446">
        <v>2</v>
      </c>
      <c r="B236" s="447" t="s">
        <v>3474</v>
      </c>
      <c r="C236" s="485"/>
      <c r="D236" s="485"/>
      <c r="E236" s="538"/>
      <c r="F236" s="478"/>
      <c r="G236" s="451"/>
      <c r="H236" s="451" t="s">
        <v>1423</v>
      </c>
      <c r="I236" s="445">
        <v>3000</v>
      </c>
      <c r="J236" s="445"/>
      <c r="K236" s="446"/>
      <c r="M236" s="469"/>
      <c r="N236" s="453"/>
      <c r="O236" s="454"/>
      <c r="P236" s="454"/>
      <c r="Q236" s="454"/>
      <c r="R236" s="454"/>
      <c r="S236" s="455"/>
    </row>
    <row r="237" spans="1:19">
      <c r="A237" s="446">
        <v>3</v>
      </c>
      <c r="B237" s="447" t="s">
        <v>3475</v>
      </c>
      <c r="C237" s="485"/>
      <c r="D237" s="485"/>
      <c r="E237" s="538"/>
      <c r="F237" s="478"/>
      <c r="G237" s="451"/>
      <c r="H237" s="451" t="s">
        <v>1423</v>
      </c>
      <c r="I237" s="445">
        <v>2000</v>
      </c>
      <c r="J237" s="445"/>
      <c r="K237" s="446"/>
      <c r="M237" s="469"/>
      <c r="N237" s="453"/>
      <c r="O237" s="454"/>
      <c r="P237" s="454"/>
      <c r="Q237" s="454"/>
      <c r="R237" s="454"/>
      <c r="S237" s="455"/>
    </row>
    <row r="238" spans="1:19">
      <c r="A238" s="446">
        <v>4</v>
      </c>
      <c r="B238" s="447" t="s">
        <v>3477</v>
      </c>
      <c r="C238" s="485"/>
      <c r="D238" s="485"/>
      <c r="E238" s="538"/>
      <c r="F238" s="478"/>
      <c r="G238" s="451"/>
      <c r="H238" s="451" t="s">
        <v>1423</v>
      </c>
      <c r="I238" s="445">
        <v>5000</v>
      </c>
      <c r="J238" s="445"/>
      <c r="K238" s="446"/>
      <c r="M238" s="469"/>
      <c r="N238" s="453"/>
      <c r="O238" s="454"/>
      <c r="P238" s="454"/>
      <c r="Q238" s="454"/>
      <c r="R238" s="454"/>
      <c r="S238" s="455"/>
    </row>
    <row r="239" spans="1:19">
      <c r="A239" s="446">
        <v>5</v>
      </c>
      <c r="B239" s="447" t="s">
        <v>3478</v>
      </c>
      <c r="C239" s="485"/>
      <c r="D239" s="485"/>
      <c r="E239" s="538"/>
      <c r="F239" s="478"/>
      <c r="G239" s="451"/>
      <c r="H239" s="451" t="s">
        <v>1423</v>
      </c>
      <c r="I239" s="445">
        <v>4000</v>
      </c>
      <c r="J239" s="445"/>
      <c r="K239" s="446"/>
      <c r="M239" s="469"/>
      <c r="N239" s="453"/>
      <c r="O239" s="454"/>
      <c r="P239" s="454"/>
      <c r="Q239" s="454"/>
      <c r="R239" s="454"/>
      <c r="S239" s="455"/>
    </row>
    <row r="240" spans="1:19">
      <c r="A240" s="446">
        <v>6</v>
      </c>
      <c r="B240" s="447" t="s">
        <v>3479</v>
      </c>
      <c r="C240" s="485"/>
      <c r="D240" s="485"/>
      <c r="E240" s="538"/>
      <c r="F240" s="478"/>
      <c r="G240" s="451"/>
      <c r="H240" s="451" t="s">
        <v>1423</v>
      </c>
      <c r="I240" s="445">
        <v>3000</v>
      </c>
      <c r="J240" s="445"/>
      <c r="K240" s="446"/>
      <c r="M240" s="469"/>
      <c r="N240" s="453"/>
      <c r="O240" s="454"/>
      <c r="P240" s="454"/>
      <c r="Q240" s="454"/>
      <c r="R240" s="454"/>
      <c r="S240" s="455"/>
    </row>
    <row r="241" spans="1:19">
      <c r="A241" s="446">
        <v>7</v>
      </c>
      <c r="B241" s="447" t="s">
        <v>3626</v>
      </c>
      <c r="C241" s="485"/>
      <c r="D241" s="485"/>
      <c r="E241" s="538"/>
      <c r="F241" s="478"/>
      <c r="G241" s="451"/>
      <c r="H241" s="451" t="s">
        <v>1423</v>
      </c>
      <c r="I241" s="445">
        <v>50000</v>
      </c>
      <c r="J241" s="445"/>
      <c r="K241" s="446"/>
      <c r="M241" s="469"/>
      <c r="N241" s="453"/>
      <c r="O241" s="454"/>
      <c r="P241" s="454"/>
      <c r="Q241" s="454"/>
      <c r="R241" s="454"/>
      <c r="S241" s="455"/>
    </row>
    <row r="242" spans="1:19">
      <c r="A242" s="446">
        <v>8</v>
      </c>
      <c r="B242" s="447" t="s">
        <v>3627</v>
      </c>
      <c r="C242" s="485"/>
      <c r="D242" s="485"/>
      <c r="E242" s="538"/>
      <c r="F242" s="478"/>
      <c r="G242" s="451"/>
      <c r="H242" s="451" t="s">
        <v>1423</v>
      </c>
      <c r="I242" s="445">
        <v>40000</v>
      </c>
      <c r="J242" s="445"/>
      <c r="K242" s="446"/>
      <c r="M242" s="469"/>
      <c r="N242" s="453"/>
      <c r="O242" s="454"/>
      <c r="P242" s="454"/>
      <c r="Q242" s="454"/>
      <c r="R242" s="454"/>
      <c r="S242" s="455"/>
    </row>
    <row r="243" spans="1:19" hidden="1">
      <c r="A243" s="446">
        <v>9</v>
      </c>
      <c r="B243" s="447"/>
      <c r="C243" s="485"/>
      <c r="D243" s="485"/>
      <c r="E243" s="538"/>
      <c r="F243" s="478"/>
      <c r="G243" s="451"/>
      <c r="H243" s="451"/>
      <c r="I243" s="445"/>
      <c r="J243" s="445"/>
      <c r="K243" s="446"/>
      <c r="M243" s="469"/>
      <c r="N243" s="453"/>
      <c r="O243" s="454"/>
      <c r="P243" s="454"/>
      <c r="Q243" s="454"/>
      <c r="R243" s="454"/>
      <c r="S243" s="455"/>
    </row>
    <row r="244" spans="1:19">
      <c r="A244" s="446">
        <v>10</v>
      </c>
      <c r="B244" s="447" t="s">
        <v>3074</v>
      </c>
      <c r="C244" s="448"/>
      <c r="D244" s="448"/>
      <c r="E244" s="449"/>
      <c r="F244" s="450"/>
      <c r="G244" s="451"/>
      <c r="H244" s="451" t="s">
        <v>1423</v>
      </c>
      <c r="I244" s="440">
        <v>1600</v>
      </c>
      <c r="J244" s="440"/>
      <c r="K244" s="446"/>
      <c r="M244" s="469"/>
      <c r="N244" s="453"/>
      <c r="O244" s="454"/>
      <c r="P244" s="454"/>
      <c r="Q244" s="454"/>
      <c r="R244" s="454"/>
      <c r="S244" s="455"/>
    </row>
    <row r="245" spans="1:19">
      <c r="A245" s="446">
        <v>11</v>
      </c>
      <c r="B245" s="447" t="s">
        <v>3075</v>
      </c>
      <c r="C245" s="448"/>
      <c r="D245" s="448"/>
      <c r="E245" s="449"/>
      <c r="F245" s="450"/>
      <c r="G245" s="451"/>
      <c r="H245" s="451" t="s">
        <v>1423</v>
      </c>
      <c r="I245" s="440">
        <v>1900</v>
      </c>
      <c r="J245" s="440"/>
      <c r="K245" s="446"/>
      <c r="M245" s="469">
        <f t="shared" ref="M245:M307" si="7">AVERAGE(N245:S245)</f>
        <v>1800</v>
      </c>
      <c r="N245" s="453"/>
      <c r="O245" s="454"/>
      <c r="P245" s="454">
        <v>1800</v>
      </c>
      <c r="Q245" s="454"/>
      <c r="R245" s="454"/>
      <c r="S245" s="455"/>
    </row>
    <row r="246" spans="1:19">
      <c r="A246" s="446">
        <v>12</v>
      </c>
      <c r="B246" s="447" t="s">
        <v>3076</v>
      </c>
      <c r="C246" s="448"/>
      <c r="D246" s="448"/>
      <c r="E246" s="449"/>
      <c r="F246" s="450"/>
      <c r="G246" s="451"/>
      <c r="H246" s="451" t="s">
        <v>690</v>
      </c>
      <c r="I246" s="440">
        <v>3750</v>
      </c>
      <c r="J246" s="440"/>
      <c r="K246" s="446"/>
      <c r="M246" s="469"/>
      <c r="N246" s="453"/>
      <c r="O246" s="454"/>
      <c r="P246" s="454"/>
      <c r="Q246" s="454"/>
      <c r="R246" s="454"/>
      <c r="S246" s="455"/>
    </row>
    <row r="247" spans="1:19">
      <c r="A247" s="446">
        <v>13</v>
      </c>
      <c r="B247" s="447" t="s">
        <v>3481</v>
      </c>
      <c r="C247" s="448"/>
      <c r="D247" s="448"/>
      <c r="E247" s="449"/>
      <c r="F247" s="450"/>
      <c r="G247" s="451"/>
      <c r="H247" s="451" t="s">
        <v>1423</v>
      </c>
      <c r="I247" s="440">
        <v>1000</v>
      </c>
      <c r="J247" s="440"/>
      <c r="K247" s="446"/>
      <c r="M247" s="469"/>
      <c r="N247" s="453"/>
      <c r="O247" s="454"/>
      <c r="P247" s="454"/>
      <c r="Q247" s="454"/>
      <c r="R247" s="454"/>
      <c r="S247" s="455"/>
    </row>
    <row r="248" spans="1:19">
      <c r="A248" s="446">
        <v>14</v>
      </c>
      <c r="B248" s="447" t="s">
        <v>3480</v>
      </c>
      <c r="C248" s="448"/>
      <c r="D248" s="448"/>
      <c r="E248" s="449"/>
      <c r="F248" s="450"/>
      <c r="G248" s="451"/>
      <c r="H248" s="451" t="s">
        <v>1423</v>
      </c>
      <c r="I248" s="440">
        <v>1800</v>
      </c>
      <c r="J248" s="440"/>
      <c r="K248" s="446"/>
      <c r="M248" s="469"/>
      <c r="N248" s="453"/>
      <c r="O248" s="454"/>
      <c r="P248" s="454"/>
      <c r="Q248" s="454"/>
      <c r="R248" s="454"/>
      <c r="S248" s="455"/>
    </row>
    <row r="249" spans="1:19">
      <c r="A249" s="446">
        <v>15</v>
      </c>
      <c r="B249" s="447" t="s">
        <v>3077</v>
      </c>
      <c r="C249" s="448"/>
      <c r="D249" s="448"/>
      <c r="E249" s="449"/>
      <c r="F249" s="450"/>
      <c r="G249" s="451"/>
      <c r="H249" s="451" t="s">
        <v>1423</v>
      </c>
      <c r="I249" s="440">
        <v>2250</v>
      </c>
      <c r="J249" s="440"/>
      <c r="K249" s="446"/>
      <c r="M249" s="469">
        <f t="shared" si="7"/>
        <v>4450</v>
      </c>
      <c r="N249" s="453">
        <v>4500</v>
      </c>
      <c r="O249" s="454"/>
      <c r="P249" s="454"/>
      <c r="Q249" s="454"/>
      <c r="R249" s="454"/>
      <c r="S249" s="455">
        <v>4400</v>
      </c>
    </row>
    <row r="250" spans="1:19">
      <c r="A250" s="446">
        <v>16</v>
      </c>
      <c r="B250" s="447" t="s">
        <v>3078</v>
      </c>
      <c r="C250" s="448"/>
      <c r="D250" s="448"/>
      <c r="E250" s="449"/>
      <c r="F250" s="450"/>
      <c r="G250" s="451"/>
      <c r="H250" s="451" t="s">
        <v>1423</v>
      </c>
      <c r="I250" s="440">
        <v>3500</v>
      </c>
      <c r="J250" s="440"/>
      <c r="K250" s="446"/>
      <c r="M250" s="469"/>
      <c r="N250" s="453"/>
      <c r="O250" s="454"/>
      <c r="P250" s="454"/>
      <c r="Q250" s="454"/>
      <c r="R250" s="454"/>
      <c r="S250" s="455"/>
    </row>
    <row r="251" spans="1:19">
      <c r="A251" s="446">
        <v>17</v>
      </c>
      <c r="B251" s="447" t="s">
        <v>3544</v>
      </c>
      <c r="C251" s="448"/>
      <c r="D251" s="448"/>
      <c r="E251" s="449"/>
      <c r="F251" s="450"/>
      <c r="G251" s="451"/>
      <c r="H251" s="451" t="s">
        <v>1423</v>
      </c>
      <c r="I251" s="440">
        <v>6000</v>
      </c>
      <c r="J251" s="440"/>
      <c r="K251" s="446"/>
      <c r="M251" s="469">
        <f t="shared" si="7"/>
        <v>6400</v>
      </c>
      <c r="N251" s="453"/>
      <c r="O251" s="454"/>
      <c r="P251" s="454"/>
      <c r="Q251" s="454"/>
      <c r="R251" s="454"/>
      <c r="S251" s="455">
        <v>6400</v>
      </c>
    </row>
    <row r="252" spans="1:19">
      <c r="A252" s="446">
        <v>18</v>
      </c>
      <c r="B252" s="447" t="s">
        <v>3079</v>
      </c>
      <c r="C252" s="448"/>
      <c r="D252" s="448"/>
      <c r="E252" s="449"/>
      <c r="F252" s="450"/>
      <c r="G252" s="451"/>
      <c r="H252" s="451" t="s">
        <v>1423</v>
      </c>
      <c r="I252" s="440">
        <v>6650</v>
      </c>
      <c r="J252" s="440"/>
      <c r="K252" s="472"/>
      <c r="M252" s="469">
        <f t="shared" si="7"/>
        <v>23250</v>
      </c>
      <c r="N252" s="453">
        <v>6500</v>
      </c>
      <c r="O252" s="454"/>
      <c r="P252" s="454">
        <v>40000</v>
      </c>
      <c r="Q252" s="454"/>
      <c r="R252" s="454"/>
      <c r="S252" s="455"/>
    </row>
    <row r="253" spans="1:19">
      <c r="A253" s="446">
        <v>19</v>
      </c>
      <c r="B253" s="447" t="s">
        <v>4552</v>
      </c>
      <c r="C253" s="448"/>
      <c r="D253" s="448"/>
      <c r="E253" s="449"/>
      <c r="F253" s="450"/>
      <c r="G253" s="451"/>
      <c r="H253" s="451" t="s">
        <v>1423</v>
      </c>
      <c r="I253" s="440">
        <v>23700</v>
      </c>
      <c r="J253" s="440"/>
      <c r="K253" s="472"/>
      <c r="M253" s="469" t="s">
        <v>4571</v>
      </c>
      <c r="N253" s="453"/>
      <c r="O253" s="454"/>
      <c r="P253" s="454"/>
      <c r="Q253" s="454"/>
      <c r="R253" s="454"/>
      <c r="S253" s="455"/>
    </row>
    <row r="254" spans="1:19">
      <c r="A254" s="446">
        <v>20</v>
      </c>
      <c r="B254" s="447" t="s">
        <v>3482</v>
      </c>
      <c r="C254" s="448"/>
      <c r="D254" s="448"/>
      <c r="E254" s="449"/>
      <c r="F254" s="450"/>
      <c r="G254" s="451"/>
      <c r="H254" s="451" t="s">
        <v>1423</v>
      </c>
      <c r="I254" s="440">
        <v>7310</v>
      </c>
      <c r="J254" s="440"/>
      <c r="K254" s="446"/>
      <c r="M254" s="469">
        <f t="shared" si="7"/>
        <v>9375</v>
      </c>
      <c r="N254" s="453"/>
      <c r="O254" s="454"/>
      <c r="P254" s="454"/>
      <c r="Q254" s="454"/>
      <c r="R254" s="454"/>
      <c r="S254" s="455">
        <v>9375</v>
      </c>
    </row>
    <row r="255" spans="1:19">
      <c r="A255" s="446">
        <v>21</v>
      </c>
      <c r="B255" s="447" t="s">
        <v>3992</v>
      </c>
      <c r="C255" s="448"/>
      <c r="D255" s="448"/>
      <c r="E255" s="449"/>
      <c r="F255" s="450"/>
      <c r="G255" s="451"/>
      <c r="H255" s="451" t="s">
        <v>1423</v>
      </c>
      <c r="I255" s="440">
        <v>5375</v>
      </c>
      <c r="J255" s="440"/>
      <c r="K255" s="446"/>
      <c r="M255" s="469">
        <f t="shared" si="7"/>
        <v>26933.333333333332</v>
      </c>
      <c r="N255" s="453">
        <v>9500</v>
      </c>
      <c r="O255" s="454"/>
      <c r="P255" s="454"/>
      <c r="Q255" s="454"/>
      <c r="R255" s="454">
        <v>63000</v>
      </c>
      <c r="S255" s="455">
        <v>8300</v>
      </c>
    </row>
    <row r="256" spans="1:19">
      <c r="A256" s="446">
        <v>22</v>
      </c>
      <c r="B256" s="447" t="s">
        <v>3080</v>
      </c>
      <c r="C256" s="448"/>
      <c r="D256" s="448"/>
      <c r="E256" s="449"/>
      <c r="F256" s="450"/>
      <c r="G256" s="451"/>
      <c r="H256" s="451" t="s">
        <v>1423</v>
      </c>
      <c r="I256" s="440">
        <v>10750</v>
      </c>
      <c r="J256" s="440"/>
      <c r="K256" s="446"/>
      <c r="M256" s="469">
        <f t="shared" si="7"/>
        <v>10880</v>
      </c>
      <c r="N256" s="453">
        <v>8500</v>
      </c>
      <c r="O256" s="454">
        <v>12500</v>
      </c>
      <c r="P256" s="454">
        <v>13000</v>
      </c>
      <c r="Q256" s="454"/>
      <c r="R256" s="454">
        <v>8400</v>
      </c>
      <c r="S256" s="455">
        <v>12000</v>
      </c>
    </row>
    <row r="257" spans="1:21">
      <c r="A257" s="446">
        <v>23</v>
      </c>
      <c r="B257" s="447" t="s">
        <v>3993</v>
      </c>
      <c r="C257" s="448"/>
      <c r="D257" s="448"/>
      <c r="E257" s="449"/>
      <c r="F257" s="450"/>
      <c r="G257" s="451"/>
      <c r="H257" s="451" t="s">
        <v>1423</v>
      </c>
      <c r="I257" s="440">
        <v>8755</v>
      </c>
      <c r="J257" s="440"/>
      <c r="K257" s="446"/>
      <c r="M257" s="469">
        <f t="shared" si="7"/>
        <v>36666.666666666664</v>
      </c>
      <c r="N257" s="453">
        <v>12500</v>
      </c>
      <c r="O257" s="454"/>
      <c r="P257" s="454"/>
      <c r="Q257" s="454"/>
      <c r="R257" s="454">
        <v>65000</v>
      </c>
      <c r="S257" s="455">
        <v>32500</v>
      </c>
    </row>
    <row r="258" spans="1:21">
      <c r="A258" s="446">
        <v>24</v>
      </c>
      <c r="B258" s="447" t="s">
        <v>3081</v>
      </c>
      <c r="C258" s="448"/>
      <c r="D258" s="448"/>
      <c r="E258" s="449"/>
      <c r="F258" s="450"/>
      <c r="G258" s="451"/>
      <c r="H258" s="451" t="s">
        <v>1423</v>
      </c>
      <c r="I258" s="440">
        <v>56100</v>
      </c>
      <c r="J258" s="440"/>
      <c r="K258" s="446"/>
      <c r="M258" s="469">
        <f t="shared" si="7"/>
        <v>35000</v>
      </c>
      <c r="N258" s="453">
        <v>33000</v>
      </c>
      <c r="O258" s="454"/>
      <c r="P258" s="454"/>
      <c r="Q258" s="454"/>
      <c r="R258" s="454">
        <v>47000</v>
      </c>
      <c r="S258" s="455">
        <v>25000</v>
      </c>
      <c r="U258" s="452">
        <f>1/(0.6*0.6)</f>
        <v>2.7777777777777777</v>
      </c>
    </row>
    <row r="259" spans="1:21">
      <c r="A259" s="446">
        <v>25</v>
      </c>
      <c r="B259" s="447" t="s">
        <v>3082</v>
      </c>
      <c r="C259" s="448"/>
      <c r="D259" s="448"/>
      <c r="E259" s="449"/>
      <c r="F259" s="450"/>
      <c r="G259" s="451"/>
      <c r="H259" s="451" t="s">
        <v>1423</v>
      </c>
      <c r="I259" s="440">
        <v>51000</v>
      </c>
      <c r="J259" s="440"/>
      <c r="K259" s="446"/>
      <c r="M259" s="469">
        <f t="shared" si="7"/>
        <v>34333.333333333336</v>
      </c>
      <c r="N259" s="453">
        <v>25000</v>
      </c>
      <c r="O259" s="454"/>
      <c r="P259" s="454">
        <v>47000</v>
      </c>
      <c r="Q259" s="454"/>
      <c r="R259" s="454"/>
      <c r="S259" s="455">
        <v>31000</v>
      </c>
    </row>
    <row r="260" spans="1:21">
      <c r="A260" s="446">
        <v>26</v>
      </c>
      <c r="B260" s="447" t="s">
        <v>3083</v>
      </c>
      <c r="C260" s="448"/>
      <c r="D260" s="448"/>
      <c r="E260" s="449"/>
      <c r="F260" s="450"/>
      <c r="G260" s="451"/>
      <c r="H260" s="451" t="s">
        <v>1423</v>
      </c>
      <c r="I260" s="440">
        <v>63000</v>
      </c>
      <c r="J260" s="440"/>
      <c r="K260" s="446"/>
      <c r="M260" s="469">
        <f t="shared" si="7"/>
        <v>16540</v>
      </c>
      <c r="N260" s="453">
        <v>31000</v>
      </c>
      <c r="O260" s="454"/>
      <c r="P260" s="454"/>
      <c r="Q260" s="454"/>
      <c r="R260" s="454"/>
      <c r="S260" s="455">
        <v>2080</v>
      </c>
    </row>
    <row r="261" spans="1:21">
      <c r="A261" s="446">
        <v>27</v>
      </c>
      <c r="B261" s="447" t="s">
        <v>3084</v>
      </c>
      <c r="C261" s="448"/>
      <c r="D261" s="448"/>
      <c r="E261" s="449"/>
      <c r="F261" s="450"/>
      <c r="G261" s="451"/>
      <c r="H261" s="451" t="s">
        <v>1423</v>
      </c>
      <c r="I261" s="440">
        <v>2250</v>
      </c>
      <c r="J261" s="440"/>
      <c r="K261" s="446"/>
      <c r="M261" s="469">
        <f t="shared" si="7"/>
        <v>5550</v>
      </c>
      <c r="N261" s="453">
        <v>2100</v>
      </c>
      <c r="O261" s="454"/>
      <c r="P261" s="454"/>
      <c r="Q261" s="454"/>
      <c r="R261" s="454"/>
      <c r="S261" s="455">
        <v>9000</v>
      </c>
    </row>
    <row r="262" spans="1:21">
      <c r="A262" s="446">
        <v>28</v>
      </c>
      <c r="B262" s="447" t="s">
        <v>3085</v>
      </c>
      <c r="C262" s="448"/>
      <c r="D262" s="448"/>
      <c r="E262" s="449"/>
      <c r="F262" s="450"/>
      <c r="G262" s="451"/>
      <c r="H262" s="451" t="s">
        <v>2970</v>
      </c>
      <c r="I262" s="440">
        <v>11000</v>
      </c>
      <c r="J262" s="440"/>
      <c r="K262" s="446"/>
      <c r="M262" s="469">
        <f t="shared" si="7"/>
        <v>10750</v>
      </c>
      <c r="N262" s="453">
        <v>9500</v>
      </c>
      <c r="O262" s="454">
        <v>12000</v>
      </c>
      <c r="P262" s="454"/>
      <c r="Q262" s="454"/>
      <c r="R262" s="454"/>
      <c r="S262" s="455"/>
    </row>
    <row r="263" spans="1:21">
      <c r="A263" s="446">
        <v>29</v>
      </c>
      <c r="B263" s="473" t="s">
        <v>3086</v>
      </c>
      <c r="C263" s="462"/>
      <c r="D263" s="462"/>
      <c r="E263" s="463"/>
      <c r="F263" s="464"/>
      <c r="G263" s="465"/>
      <c r="H263" s="451" t="s">
        <v>2647</v>
      </c>
      <c r="I263" s="440">
        <v>59500</v>
      </c>
      <c r="J263" s="440"/>
      <c r="K263" s="467"/>
      <c r="M263" s="469"/>
      <c r="N263" s="453"/>
      <c r="O263" s="454"/>
      <c r="P263" s="454"/>
      <c r="Q263" s="454"/>
      <c r="R263" s="454"/>
      <c r="S263" s="455"/>
    </row>
    <row r="264" spans="1:21">
      <c r="A264" s="446">
        <v>30</v>
      </c>
      <c r="B264" s="473" t="s">
        <v>3087</v>
      </c>
      <c r="C264" s="462"/>
      <c r="D264" s="462"/>
      <c r="E264" s="463"/>
      <c r="F264" s="464"/>
      <c r="G264" s="465"/>
      <c r="H264" s="451" t="s">
        <v>2647</v>
      </c>
      <c r="I264" s="440">
        <v>46750</v>
      </c>
      <c r="J264" s="440"/>
      <c r="K264" s="467"/>
      <c r="M264" s="469"/>
      <c r="N264" s="453"/>
      <c r="O264" s="454"/>
      <c r="P264" s="454"/>
      <c r="Q264" s="454"/>
      <c r="R264" s="454"/>
      <c r="S264" s="455"/>
    </row>
    <row r="265" spans="1:21">
      <c r="A265" s="446">
        <v>31</v>
      </c>
      <c r="B265" s="473" t="s">
        <v>3985</v>
      </c>
      <c r="C265" s="462"/>
      <c r="D265" s="462"/>
      <c r="E265" s="463"/>
      <c r="F265" s="464"/>
      <c r="G265" s="465"/>
      <c r="H265" s="451" t="s">
        <v>2647</v>
      </c>
      <c r="I265" s="440">
        <v>52000</v>
      </c>
      <c r="J265" s="440"/>
      <c r="K265" s="467"/>
      <c r="M265" s="469"/>
      <c r="N265" s="453"/>
      <c r="O265" s="454"/>
      <c r="P265" s="454"/>
      <c r="Q265" s="454"/>
      <c r="R265" s="454"/>
      <c r="S265" s="455"/>
    </row>
    <row r="266" spans="1:21">
      <c r="A266" s="446">
        <v>32</v>
      </c>
      <c r="B266" s="447" t="s">
        <v>3088</v>
      </c>
      <c r="C266" s="448"/>
      <c r="D266" s="448"/>
      <c r="E266" s="449"/>
      <c r="F266" s="450"/>
      <c r="G266" s="451"/>
      <c r="H266" s="451" t="s">
        <v>1423</v>
      </c>
      <c r="I266" s="440">
        <v>25500</v>
      </c>
      <c r="J266" s="440"/>
      <c r="K266" s="446"/>
      <c r="M266" s="469"/>
      <c r="N266" s="453"/>
      <c r="O266" s="454"/>
      <c r="P266" s="454"/>
      <c r="Q266" s="454"/>
      <c r="R266" s="454"/>
      <c r="S266" s="455"/>
    </row>
    <row r="267" spans="1:21">
      <c r="A267" s="446">
        <v>33</v>
      </c>
      <c r="B267" s="447" t="s">
        <v>3089</v>
      </c>
      <c r="C267" s="448"/>
      <c r="D267" s="448"/>
      <c r="E267" s="449"/>
      <c r="F267" s="450"/>
      <c r="G267" s="451"/>
      <c r="H267" s="451" t="s">
        <v>1423</v>
      </c>
      <c r="I267" s="440">
        <v>59500</v>
      </c>
      <c r="J267" s="440"/>
      <c r="K267" s="446"/>
      <c r="M267" s="469"/>
      <c r="N267" s="453"/>
      <c r="O267" s="454"/>
      <c r="P267" s="454"/>
      <c r="Q267" s="454"/>
      <c r="R267" s="454"/>
      <c r="S267" s="455"/>
    </row>
    <row r="268" spans="1:21">
      <c r="A268" s="446">
        <v>34</v>
      </c>
      <c r="B268" s="473" t="s">
        <v>3090</v>
      </c>
      <c r="C268" s="462"/>
      <c r="D268" s="462"/>
      <c r="E268" s="463"/>
      <c r="F268" s="464"/>
      <c r="G268" s="465"/>
      <c r="H268" s="465" t="s">
        <v>2647</v>
      </c>
      <c r="I268" s="440">
        <v>306000</v>
      </c>
      <c r="J268" s="440"/>
      <c r="K268" s="467"/>
      <c r="M268" s="469"/>
      <c r="N268" s="453"/>
      <c r="O268" s="454"/>
      <c r="P268" s="454"/>
      <c r="Q268" s="454"/>
      <c r="R268" s="454"/>
      <c r="S268" s="455"/>
    </row>
    <row r="269" spans="1:21">
      <c r="A269" s="446">
        <v>35</v>
      </c>
      <c r="B269" s="473" t="s">
        <v>3091</v>
      </c>
      <c r="C269" s="462"/>
      <c r="D269" s="462"/>
      <c r="E269" s="463"/>
      <c r="F269" s="464"/>
      <c r="G269" s="465"/>
      <c r="H269" s="465" t="s">
        <v>2647</v>
      </c>
      <c r="I269" s="440">
        <v>178500</v>
      </c>
      <c r="J269" s="440"/>
      <c r="K269" s="467"/>
      <c r="M269" s="469"/>
      <c r="N269" s="453"/>
      <c r="O269" s="454"/>
      <c r="P269" s="454"/>
      <c r="Q269" s="454"/>
      <c r="R269" s="454"/>
      <c r="S269" s="455"/>
    </row>
    <row r="270" spans="1:21">
      <c r="A270" s="446">
        <v>36</v>
      </c>
      <c r="B270" s="473" t="s">
        <v>3484</v>
      </c>
      <c r="C270" s="462"/>
      <c r="D270" s="462"/>
      <c r="E270" s="463"/>
      <c r="F270" s="464"/>
      <c r="G270" s="465"/>
      <c r="H270" s="465" t="s">
        <v>1423</v>
      </c>
      <c r="I270" s="440">
        <v>1075</v>
      </c>
      <c r="J270" s="440"/>
      <c r="K270" s="467"/>
      <c r="M270" s="469"/>
      <c r="N270" s="453"/>
      <c r="O270" s="454"/>
      <c r="P270" s="454"/>
      <c r="Q270" s="454"/>
      <c r="R270" s="454"/>
      <c r="S270" s="455"/>
    </row>
    <row r="271" spans="1:21">
      <c r="A271" s="446">
        <v>37</v>
      </c>
      <c r="B271" s="473" t="s">
        <v>3483</v>
      </c>
      <c r="C271" s="462"/>
      <c r="D271" s="462"/>
      <c r="E271" s="463"/>
      <c r="F271" s="464"/>
      <c r="G271" s="465"/>
      <c r="H271" s="465" t="s">
        <v>1423</v>
      </c>
      <c r="I271" s="440">
        <v>1700</v>
      </c>
      <c r="J271" s="440"/>
      <c r="K271" s="467"/>
      <c r="M271" s="469"/>
      <c r="N271" s="453"/>
      <c r="O271" s="454"/>
      <c r="P271" s="454"/>
      <c r="Q271" s="454"/>
      <c r="R271" s="454"/>
      <c r="S271" s="455"/>
    </row>
    <row r="272" spans="1:21">
      <c r="A272" s="446">
        <v>38</v>
      </c>
      <c r="B272" s="473" t="s">
        <v>3092</v>
      </c>
      <c r="C272" s="462"/>
      <c r="D272" s="462"/>
      <c r="E272" s="463"/>
      <c r="F272" s="464"/>
      <c r="G272" s="465"/>
      <c r="H272" s="465" t="s">
        <v>1423</v>
      </c>
      <c r="I272" s="440">
        <v>2210</v>
      </c>
      <c r="J272" s="440"/>
      <c r="K272" s="467"/>
      <c r="M272" s="469">
        <f t="shared" si="7"/>
        <v>2000</v>
      </c>
      <c r="N272" s="453"/>
      <c r="O272" s="454"/>
      <c r="P272" s="454">
        <v>2000</v>
      </c>
      <c r="Q272" s="454"/>
      <c r="R272" s="454"/>
      <c r="S272" s="455"/>
    </row>
    <row r="273" spans="1:19">
      <c r="A273" s="446">
        <v>39</v>
      </c>
      <c r="B273" s="473" t="s">
        <v>3093</v>
      </c>
      <c r="C273" s="462"/>
      <c r="D273" s="462"/>
      <c r="E273" s="463"/>
      <c r="F273" s="464"/>
      <c r="G273" s="465"/>
      <c r="H273" s="465" t="s">
        <v>1423</v>
      </c>
      <c r="I273" s="440">
        <v>3230</v>
      </c>
      <c r="J273" s="440"/>
      <c r="K273" s="467"/>
      <c r="M273" s="469">
        <f t="shared" si="7"/>
        <v>3000</v>
      </c>
      <c r="N273" s="453"/>
      <c r="O273" s="454"/>
      <c r="P273" s="454">
        <v>3000</v>
      </c>
      <c r="Q273" s="454"/>
      <c r="R273" s="454"/>
      <c r="S273" s="455"/>
    </row>
    <row r="274" spans="1:19">
      <c r="A274" s="446">
        <v>40</v>
      </c>
      <c r="B274" s="473" t="s">
        <v>3094</v>
      </c>
      <c r="C274" s="462"/>
      <c r="D274" s="462"/>
      <c r="E274" s="463"/>
      <c r="F274" s="464"/>
      <c r="G274" s="465"/>
      <c r="H274" s="465" t="s">
        <v>1423</v>
      </c>
      <c r="I274" s="440">
        <v>8415</v>
      </c>
      <c r="J274" s="440"/>
      <c r="K274" s="467"/>
      <c r="M274" s="469"/>
      <c r="N274" s="453"/>
      <c r="O274" s="454"/>
      <c r="P274" s="454"/>
      <c r="Q274" s="454"/>
      <c r="R274" s="454"/>
      <c r="S274" s="455"/>
    </row>
    <row r="275" spans="1:19">
      <c r="A275" s="446">
        <v>41</v>
      </c>
      <c r="B275" s="473" t="s">
        <v>3628</v>
      </c>
      <c r="C275" s="462"/>
      <c r="D275" s="462"/>
      <c r="E275" s="463"/>
      <c r="F275" s="464"/>
      <c r="G275" s="465"/>
      <c r="H275" s="465" t="s">
        <v>1423</v>
      </c>
      <c r="I275" s="440">
        <v>1000</v>
      </c>
      <c r="J275" s="440"/>
      <c r="K275" s="467"/>
      <c r="M275" s="469"/>
      <c r="N275" s="453"/>
      <c r="O275" s="454"/>
      <c r="P275" s="454"/>
      <c r="Q275" s="454"/>
      <c r="R275" s="454"/>
      <c r="S275" s="455"/>
    </row>
    <row r="276" spans="1:19">
      <c r="A276" s="446">
        <v>42</v>
      </c>
      <c r="B276" s="473" t="s">
        <v>3095</v>
      </c>
      <c r="C276" s="462"/>
      <c r="D276" s="462"/>
      <c r="E276" s="463"/>
      <c r="F276" s="464"/>
      <c r="G276" s="465"/>
      <c r="H276" s="465" t="s">
        <v>2970</v>
      </c>
      <c r="I276" s="440">
        <v>20000</v>
      </c>
      <c r="J276" s="440"/>
      <c r="K276" s="467"/>
      <c r="M276" s="469"/>
      <c r="N276" s="453"/>
      <c r="O276" s="454"/>
      <c r="P276" s="454"/>
      <c r="Q276" s="454"/>
      <c r="R276" s="454"/>
      <c r="S276" s="455"/>
    </row>
    <row r="277" spans="1:19">
      <c r="A277" s="446">
        <v>43</v>
      </c>
      <c r="B277" s="473" t="s">
        <v>3096</v>
      </c>
      <c r="C277" s="462"/>
      <c r="D277" s="462"/>
      <c r="E277" s="463"/>
      <c r="F277" s="464"/>
      <c r="G277" s="465"/>
      <c r="H277" s="465" t="s">
        <v>2970</v>
      </c>
      <c r="I277" s="440">
        <v>25000</v>
      </c>
      <c r="J277" s="440"/>
      <c r="K277" s="467"/>
      <c r="M277" s="469"/>
      <c r="N277" s="453"/>
      <c r="O277" s="454"/>
      <c r="P277" s="454"/>
      <c r="Q277" s="454"/>
      <c r="R277" s="454"/>
      <c r="S277" s="455"/>
    </row>
    <row r="278" spans="1:19">
      <c r="A278" s="446">
        <v>44</v>
      </c>
      <c r="B278" s="473" t="s">
        <v>1151</v>
      </c>
      <c r="C278" s="462"/>
      <c r="D278" s="462"/>
      <c r="E278" s="463"/>
      <c r="F278" s="464"/>
      <c r="G278" s="465"/>
      <c r="H278" s="465" t="s">
        <v>2647</v>
      </c>
      <c r="I278" s="440">
        <v>850000</v>
      </c>
      <c r="J278" s="440"/>
      <c r="K278" s="467"/>
      <c r="M278" s="469"/>
      <c r="N278" s="453"/>
      <c r="O278" s="454"/>
      <c r="P278" s="454"/>
      <c r="Q278" s="454"/>
      <c r="R278" s="454"/>
      <c r="S278" s="455"/>
    </row>
    <row r="279" spans="1:19">
      <c r="A279" s="446">
        <v>45</v>
      </c>
      <c r="B279" s="473" t="s">
        <v>1174</v>
      </c>
      <c r="C279" s="462"/>
      <c r="D279" s="462"/>
      <c r="E279" s="463"/>
      <c r="F279" s="464"/>
      <c r="G279" s="465"/>
      <c r="H279" s="465" t="s">
        <v>1423</v>
      </c>
      <c r="I279" s="440">
        <v>850</v>
      </c>
      <c r="J279" s="440"/>
      <c r="K279" s="467"/>
      <c r="M279" s="469"/>
      <c r="N279" s="453"/>
      <c r="O279" s="454"/>
      <c r="P279" s="454"/>
      <c r="Q279" s="454"/>
      <c r="R279" s="454"/>
      <c r="S279" s="455"/>
    </row>
    <row r="280" spans="1:19">
      <c r="A280" s="446">
        <v>46</v>
      </c>
      <c r="B280" s="473" t="s">
        <v>3489</v>
      </c>
      <c r="C280" s="462"/>
      <c r="D280" s="462"/>
      <c r="E280" s="463"/>
      <c r="F280" s="464"/>
      <c r="G280" s="465"/>
      <c r="H280" s="465" t="s">
        <v>2647</v>
      </c>
      <c r="I280" s="440">
        <v>18000</v>
      </c>
      <c r="J280" s="440"/>
      <c r="K280" s="467"/>
      <c r="M280" s="469"/>
      <c r="N280" s="453"/>
      <c r="O280" s="454"/>
      <c r="P280" s="454"/>
      <c r="Q280" s="454"/>
      <c r="R280" s="454"/>
      <c r="S280" s="455"/>
    </row>
    <row r="281" spans="1:19">
      <c r="A281" s="446">
        <v>47</v>
      </c>
      <c r="B281" s="473" t="s">
        <v>4573</v>
      </c>
      <c r="C281" s="462"/>
      <c r="D281" s="462"/>
      <c r="E281" s="463"/>
      <c r="F281" s="464"/>
      <c r="G281" s="465"/>
      <c r="H281" s="465" t="s">
        <v>2647</v>
      </c>
      <c r="I281" s="440">
        <v>80000</v>
      </c>
      <c r="J281" s="440"/>
      <c r="K281" s="467"/>
      <c r="M281" s="469"/>
      <c r="N281" s="453"/>
      <c r="O281" s="454"/>
      <c r="P281" s="454"/>
      <c r="Q281" s="454"/>
      <c r="R281" s="454"/>
      <c r="S281" s="455"/>
    </row>
    <row r="282" spans="1:19">
      <c r="A282" s="446">
        <v>48</v>
      </c>
      <c r="B282" s="473" t="s">
        <v>4622</v>
      </c>
      <c r="C282" s="462"/>
      <c r="D282" s="462"/>
      <c r="E282" s="463"/>
      <c r="F282" s="464"/>
      <c r="G282" s="465"/>
      <c r="H282" s="465" t="s">
        <v>3106</v>
      </c>
      <c r="I282" s="440">
        <v>260000</v>
      </c>
      <c r="J282" s="440"/>
      <c r="K282" s="467"/>
      <c r="M282" s="469"/>
      <c r="N282" s="453"/>
      <c r="O282" s="454"/>
      <c r="P282" s="454"/>
      <c r="Q282" s="454"/>
      <c r="R282" s="454"/>
      <c r="S282" s="455"/>
    </row>
    <row r="283" spans="1:19">
      <c r="A283" s="446">
        <v>49</v>
      </c>
      <c r="B283" s="473" t="s">
        <v>4608</v>
      </c>
      <c r="C283" s="462"/>
      <c r="D283" s="462"/>
      <c r="E283" s="463"/>
      <c r="F283" s="464"/>
      <c r="G283" s="465"/>
      <c r="H283" s="465" t="s">
        <v>2647</v>
      </c>
      <c r="I283" s="440">
        <v>550000</v>
      </c>
      <c r="J283" s="440"/>
      <c r="K283" s="467"/>
      <c r="M283" s="469"/>
      <c r="N283" s="453"/>
      <c r="O283" s="454"/>
      <c r="P283" s="454"/>
      <c r="Q283" s="454"/>
      <c r="R283" s="454"/>
      <c r="S283" s="455"/>
    </row>
    <row r="284" spans="1:19">
      <c r="A284" s="446">
        <v>50</v>
      </c>
      <c r="B284" s="473" t="s">
        <v>4751</v>
      </c>
      <c r="C284" s="462"/>
      <c r="D284" s="462"/>
      <c r="E284" s="463"/>
      <c r="F284" s="464"/>
      <c r="G284" s="465"/>
      <c r="H284" s="465" t="s">
        <v>2647</v>
      </c>
      <c r="I284" s="440">
        <v>75000</v>
      </c>
      <c r="J284" s="440"/>
      <c r="K284" s="467"/>
      <c r="M284" s="469"/>
      <c r="N284" s="453"/>
      <c r="O284" s="454"/>
      <c r="P284" s="454"/>
      <c r="Q284" s="454"/>
      <c r="R284" s="454"/>
      <c r="S284" s="455"/>
    </row>
    <row r="285" spans="1:19">
      <c r="A285" s="446">
        <v>51</v>
      </c>
      <c r="B285" s="473" t="s">
        <v>4674</v>
      </c>
      <c r="C285" s="462"/>
      <c r="D285" s="462"/>
      <c r="E285" s="463"/>
      <c r="F285" s="464"/>
      <c r="G285" s="465"/>
      <c r="H285" s="465" t="s">
        <v>2647</v>
      </c>
      <c r="I285" s="440">
        <v>22500</v>
      </c>
      <c r="J285" s="440"/>
      <c r="K285" s="467"/>
      <c r="M285" s="469"/>
      <c r="N285" s="453"/>
      <c r="O285" s="454"/>
      <c r="P285" s="454"/>
      <c r="Q285" s="454"/>
      <c r="R285" s="454"/>
      <c r="S285" s="455"/>
    </row>
    <row r="286" spans="1:19">
      <c r="A286" s="446"/>
      <c r="B286" s="473"/>
      <c r="C286" s="462"/>
      <c r="D286" s="462"/>
      <c r="E286" s="463"/>
      <c r="F286" s="464"/>
      <c r="G286" s="465"/>
      <c r="H286" s="465"/>
      <c r="I286" s="440"/>
      <c r="J286" s="440"/>
      <c r="K286" s="566"/>
      <c r="M286" s="469"/>
      <c r="N286" s="453"/>
      <c r="O286" s="454"/>
      <c r="P286" s="454"/>
      <c r="Q286" s="454"/>
      <c r="R286" s="454"/>
      <c r="S286" s="455"/>
    </row>
    <row r="287" spans="1:19">
      <c r="A287" s="446"/>
      <c r="B287" s="484" t="s">
        <v>3097</v>
      </c>
      <c r="C287" s="485"/>
      <c r="D287" s="485"/>
      <c r="E287" s="449"/>
      <c r="F287" s="450"/>
      <c r="G287" s="451"/>
      <c r="H287" s="451"/>
      <c r="I287" s="440"/>
      <c r="J287" s="440"/>
      <c r="K287" s="446"/>
      <c r="M287" s="469"/>
      <c r="N287" s="453"/>
      <c r="O287" s="454"/>
      <c r="P287" s="454"/>
      <c r="Q287" s="454"/>
      <c r="R287" s="454"/>
      <c r="S287" s="455"/>
    </row>
    <row r="288" spans="1:19">
      <c r="A288" s="446">
        <v>1</v>
      </c>
      <c r="B288" s="447" t="s">
        <v>3098</v>
      </c>
      <c r="C288" s="448"/>
      <c r="D288" s="448"/>
      <c r="E288" s="449"/>
      <c r="F288" s="450"/>
      <c r="G288" s="451"/>
      <c r="H288" s="451" t="s">
        <v>2647</v>
      </c>
      <c r="I288" s="474">
        <v>122500</v>
      </c>
      <c r="J288" s="474"/>
      <c r="K288" s="446"/>
      <c r="M288" s="469">
        <f t="shared" si="7"/>
        <v>99833.333333333328</v>
      </c>
      <c r="N288" s="453">
        <v>90000</v>
      </c>
      <c r="O288" s="454"/>
      <c r="P288" s="454">
        <v>120000</v>
      </c>
      <c r="Q288" s="454"/>
      <c r="R288" s="454"/>
      <c r="S288" s="455">
        <v>89500</v>
      </c>
    </row>
    <row r="289" spans="1:19">
      <c r="A289" s="446">
        <f>A288+1</f>
        <v>2</v>
      </c>
      <c r="B289" s="447" t="s">
        <v>3456</v>
      </c>
      <c r="C289" s="448"/>
      <c r="D289" s="448"/>
      <c r="E289" s="449"/>
      <c r="F289" s="450"/>
      <c r="G289" s="451"/>
      <c r="H289" s="451" t="s">
        <v>2647</v>
      </c>
      <c r="I289" s="474">
        <v>160000</v>
      </c>
      <c r="J289" s="474"/>
      <c r="K289" s="446"/>
      <c r="M289" s="469">
        <f t="shared" si="7"/>
        <v>126500</v>
      </c>
      <c r="N289" s="453">
        <v>127000</v>
      </c>
      <c r="O289" s="454"/>
      <c r="P289" s="454"/>
      <c r="Q289" s="454"/>
      <c r="R289" s="454"/>
      <c r="S289" s="455">
        <v>126000</v>
      </c>
    </row>
    <row r="290" spans="1:19">
      <c r="A290" s="446">
        <f t="shared" ref="A290:A296" si="8">A289+1</f>
        <v>3</v>
      </c>
      <c r="B290" s="447" t="s">
        <v>3099</v>
      </c>
      <c r="C290" s="448"/>
      <c r="D290" s="448"/>
      <c r="E290" s="449"/>
      <c r="F290" s="450"/>
      <c r="G290" s="451"/>
      <c r="H290" s="451" t="s">
        <v>2647</v>
      </c>
      <c r="I290" s="474">
        <v>105000</v>
      </c>
      <c r="J290" s="474"/>
      <c r="K290" s="446"/>
      <c r="M290" s="469">
        <f t="shared" si="7"/>
        <v>79166.666666666672</v>
      </c>
      <c r="N290" s="453">
        <v>68000</v>
      </c>
      <c r="O290" s="454"/>
      <c r="P290" s="454">
        <v>102000</v>
      </c>
      <c r="Q290" s="454"/>
      <c r="R290" s="454"/>
      <c r="S290" s="455">
        <v>67500</v>
      </c>
    </row>
    <row r="291" spans="1:19">
      <c r="A291" s="446">
        <f t="shared" si="8"/>
        <v>4</v>
      </c>
      <c r="B291" s="447" t="s">
        <v>3100</v>
      </c>
      <c r="C291" s="448"/>
      <c r="D291" s="448"/>
      <c r="E291" s="449"/>
      <c r="F291" s="450"/>
      <c r="G291" s="451"/>
      <c r="H291" s="451" t="s">
        <v>2647</v>
      </c>
      <c r="I291" s="474">
        <v>270000</v>
      </c>
      <c r="J291" s="474"/>
      <c r="K291" s="446"/>
      <c r="M291" s="469">
        <f t="shared" si="7"/>
        <v>172500</v>
      </c>
      <c r="N291" s="453">
        <v>129000</v>
      </c>
      <c r="O291" s="454"/>
      <c r="P291" s="454">
        <v>260000</v>
      </c>
      <c r="Q291" s="454"/>
      <c r="R291" s="454"/>
      <c r="S291" s="455">
        <v>128500</v>
      </c>
    </row>
    <row r="292" spans="1:19">
      <c r="A292" s="486">
        <f t="shared" si="8"/>
        <v>5</v>
      </c>
      <c r="B292" s="487" t="s">
        <v>3101</v>
      </c>
      <c r="C292" s="488"/>
      <c r="D292" s="488"/>
      <c r="E292" s="489"/>
      <c r="F292" s="536"/>
      <c r="G292" s="490"/>
      <c r="H292" s="490" t="s">
        <v>2647</v>
      </c>
      <c r="I292" s="475">
        <v>125000</v>
      </c>
      <c r="J292" s="475"/>
      <c r="K292" s="486"/>
      <c r="M292" s="469">
        <f t="shared" si="7"/>
        <v>127250</v>
      </c>
      <c r="N292" s="453">
        <v>127500</v>
      </c>
      <c r="O292" s="454"/>
      <c r="P292" s="454"/>
      <c r="Q292" s="454"/>
      <c r="R292" s="454"/>
      <c r="S292" s="455">
        <v>127000</v>
      </c>
    </row>
    <row r="293" spans="1:19">
      <c r="A293" s="491">
        <f t="shared" si="8"/>
        <v>6</v>
      </c>
      <c r="B293" s="492" t="s">
        <v>3502</v>
      </c>
      <c r="C293" s="493"/>
      <c r="D293" s="493"/>
      <c r="E293" s="494"/>
      <c r="F293" s="537"/>
      <c r="G293" s="495"/>
      <c r="H293" s="495" t="s">
        <v>2647</v>
      </c>
      <c r="I293" s="476">
        <v>800000</v>
      </c>
      <c r="J293" s="476"/>
      <c r="K293" s="491"/>
      <c r="M293" s="469">
        <f t="shared" si="7"/>
        <v>516000</v>
      </c>
      <c r="N293" s="453">
        <v>517000</v>
      </c>
      <c r="O293" s="454"/>
      <c r="P293" s="454"/>
      <c r="Q293" s="454"/>
      <c r="R293" s="454"/>
      <c r="S293" s="455">
        <v>515000</v>
      </c>
    </row>
    <row r="294" spans="1:19">
      <c r="A294" s="446">
        <f t="shared" si="8"/>
        <v>7</v>
      </c>
      <c r="B294" s="447" t="s">
        <v>1362</v>
      </c>
      <c r="C294" s="448"/>
      <c r="D294" s="448"/>
      <c r="E294" s="449"/>
      <c r="F294" s="450"/>
      <c r="G294" s="451"/>
      <c r="H294" s="451" t="s">
        <v>2647</v>
      </c>
      <c r="I294" s="474">
        <v>180000</v>
      </c>
      <c r="J294" s="474"/>
      <c r="K294" s="446"/>
      <c r="M294" s="469">
        <f t="shared" si="7"/>
        <v>196000</v>
      </c>
      <c r="N294" s="453">
        <v>197000</v>
      </c>
      <c r="O294" s="454"/>
      <c r="P294" s="454"/>
      <c r="Q294" s="454"/>
      <c r="R294" s="454"/>
      <c r="S294" s="455">
        <v>195000</v>
      </c>
    </row>
    <row r="295" spans="1:19">
      <c r="A295" s="446">
        <f t="shared" si="8"/>
        <v>8</v>
      </c>
      <c r="B295" s="447" t="s">
        <v>3102</v>
      </c>
      <c r="C295" s="448"/>
      <c r="D295" s="448"/>
      <c r="E295" s="449"/>
      <c r="F295" s="450"/>
      <c r="G295" s="451"/>
      <c r="H295" s="451" t="s">
        <v>2647</v>
      </c>
      <c r="I295" s="474">
        <v>185000</v>
      </c>
      <c r="J295" s="474"/>
      <c r="K295" s="446"/>
      <c r="M295" s="469">
        <f t="shared" si="7"/>
        <v>321500</v>
      </c>
      <c r="N295" s="453">
        <v>323000</v>
      </c>
      <c r="O295" s="454"/>
      <c r="P295" s="454"/>
      <c r="Q295" s="454"/>
      <c r="R295" s="454"/>
      <c r="S295" s="455">
        <v>320000</v>
      </c>
    </row>
    <row r="296" spans="1:19">
      <c r="A296" s="446">
        <f t="shared" si="8"/>
        <v>9</v>
      </c>
      <c r="B296" s="447" t="s">
        <v>3103</v>
      </c>
      <c r="C296" s="448"/>
      <c r="D296" s="448"/>
      <c r="E296" s="449"/>
      <c r="F296" s="450"/>
      <c r="G296" s="451"/>
      <c r="H296" s="451" t="s">
        <v>1423</v>
      </c>
      <c r="I296" s="474">
        <v>25000</v>
      </c>
      <c r="J296" s="474"/>
      <c r="K296" s="446"/>
      <c r="M296" s="469">
        <f t="shared" si="7"/>
        <v>21625</v>
      </c>
      <c r="N296" s="453">
        <v>20000</v>
      </c>
      <c r="O296" s="454">
        <v>25000</v>
      </c>
      <c r="P296" s="454">
        <v>22000</v>
      </c>
      <c r="Q296" s="454"/>
      <c r="R296" s="454"/>
      <c r="S296" s="455">
        <v>19500</v>
      </c>
    </row>
    <row r="297" spans="1:19">
      <c r="A297" s="477"/>
      <c r="B297" s="484"/>
      <c r="C297" s="485"/>
      <c r="D297" s="485"/>
      <c r="E297" s="538"/>
      <c r="F297" s="478"/>
      <c r="G297" s="451"/>
      <c r="H297" s="451"/>
      <c r="I297" s="445"/>
      <c r="J297" s="445"/>
      <c r="K297" s="446"/>
      <c r="M297" s="469"/>
      <c r="N297" s="453"/>
      <c r="O297" s="454"/>
      <c r="P297" s="454"/>
      <c r="Q297" s="454"/>
      <c r="R297" s="454"/>
      <c r="S297" s="455"/>
    </row>
    <row r="298" spans="1:19">
      <c r="A298" s="477"/>
      <c r="B298" s="484" t="s">
        <v>3104</v>
      </c>
      <c r="C298" s="485"/>
      <c r="D298" s="485"/>
      <c r="E298" s="538"/>
      <c r="F298" s="478"/>
      <c r="G298" s="451"/>
      <c r="H298" s="451"/>
      <c r="I298" s="445"/>
      <c r="J298" s="445"/>
      <c r="K298" s="446"/>
      <c r="M298" s="469"/>
      <c r="N298" s="453"/>
      <c r="O298" s="454"/>
      <c r="P298" s="454"/>
      <c r="Q298" s="454"/>
      <c r="R298" s="454"/>
      <c r="S298" s="455"/>
    </row>
    <row r="299" spans="1:19">
      <c r="A299" s="446">
        <v>1</v>
      </c>
      <c r="B299" s="447" t="s">
        <v>3105</v>
      </c>
      <c r="C299" s="448"/>
      <c r="D299" s="448"/>
      <c r="E299" s="449"/>
      <c r="F299" s="450"/>
      <c r="G299" s="451"/>
      <c r="H299" s="451" t="s">
        <v>3106</v>
      </c>
      <c r="I299" s="474">
        <v>34892</v>
      </c>
      <c r="J299" s="474"/>
      <c r="K299" s="446"/>
      <c r="M299" s="469">
        <f t="shared" si="7"/>
        <v>77166.666666666672</v>
      </c>
      <c r="N299" s="453">
        <v>97000</v>
      </c>
      <c r="O299" s="454"/>
      <c r="P299" s="454"/>
      <c r="Q299" s="454"/>
      <c r="R299" s="454">
        <v>38500</v>
      </c>
      <c r="S299" s="455">
        <v>96000</v>
      </c>
    </row>
    <row r="300" spans="1:19">
      <c r="A300" s="446">
        <f t="shared" ref="A300:A333" si="9">A299+1</f>
        <v>2</v>
      </c>
      <c r="B300" s="447" t="s">
        <v>3107</v>
      </c>
      <c r="C300" s="448"/>
      <c r="D300" s="448"/>
      <c r="E300" s="449"/>
      <c r="F300" s="450"/>
      <c r="G300" s="451"/>
      <c r="H300" s="451" t="s">
        <v>3108</v>
      </c>
      <c r="I300" s="474">
        <v>11475</v>
      </c>
      <c r="J300" s="474"/>
      <c r="K300" s="446"/>
      <c r="M300" s="469">
        <f t="shared" si="7"/>
        <v>208333.33333333334</v>
      </c>
      <c r="N300" s="453">
        <v>295000</v>
      </c>
      <c r="O300" s="454"/>
      <c r="P300" s="454"/>
      <c r="Q300" s="454"/>
      <c r="R300" s="454">
        <v>37000</v>
      </c>
      <c r="S300" s="455">
        <v>293000</v>
      </c>
    </row>
    <row r="301" spans="1:19">
      <c r="A301" s="446">
        <f t="shared" si="9"/>
        <v>3</v>
      </c>
      <c r="B301" s="447" t="s">
        <v>3109</v>
      </c>
      <c r="C301" s="448"/>
      <c r="D301" s="448"/>
      <c r="E301" s="449"/>
      <c r="F301" s="450"/>
      <c r="G301" s="451"/>
      <c r="H301" s="451" t="s">
        <v>3108</v>
      </c>
      <c r="I301" s="474">
        <v>17850</v>
      </c>
      <c r="J301" s="474"/>
      <c r="K301" s="446"/>
      <c r="M301" s="469"/>
      <c r="N301" s="453"/>
      <c r="O301" s="454"/>
      <c r="P301" s="454"/>
      <c r="Q301" s="454"/>
      <c r="R301" s="454"/>
      <c r="S301" s="455"/>
    </row>
    <row r="302" spans="1:19">
      <c r="A302" s="446">
        <f t="shared" si="9"/>
        <v>4</v>
      </c>
      <c r="B302" s="447" t="s">
        <v>3110</v>
      </c>
      <c r="C302" s="448"/>
      <c r="D302" s="448"/>
      <c r="E302" s="449"/>
      <c r="F302" s="450"/>
      <c r="G302" s="451"/>
      <c r="H302" s="451" t="s">
        <v>2976</v>
      </c>
      <c r="I302" s="474">
        <v>53550</v>
      </c>
      <c r="J302" s="474"/>
      <c r="K302" s="446"/>
      <c r="M302" s="469">
        <f t="shared" si="7"/>
        <v>70500</v>
      </c>
      <c r="N302" s="453"/>
      <c r="O302" s="454"/>
      <c r="P302" s="454"/>
      <c r="Q302" s="454"/>
      <c r="R302" s="454"/>
      <c r="S302" s="455">
        <v>70500</v>
      </c>
    </row>
    <row r="303" spans="1:19">
      <c r="A303" s="446">
        <f t="shared" si="9"/>
        <v>5</v>
      </c>
      <c r="B303" s="447" t="s">
        <v>3111</v>
      </c>
      <c r="C303" s="448"/>
      <c r="D303" s="448"/>
      <c r="E303" s="449"/>
      <c r="F303" s="450"/>
      <c r="G303" s="451"/>
      <c r="H303" s="451" t="s">
        <v>2647</v>
      </c>
      <c r="I303" s="474">
        <v>82000</v>
      </c>
      <c r="J303" s="474"/>
      <c r="K303" s="446"/>
      <c r="M303" s="469">
        <f t="shared" si="7"/>
        <v>41666.666666666664</v>
      </c>
      <c r="N303" s="453">
        <v>39000</v>
      </c>
      <c r="O303" s="454"/>
      <c r="P303" s="454"/>
      <c r="Q303" s="454"/>
      <c r="R303" s="454">
        <v>48000</v>
      </c>
      <c r="S303" s="455">
        <v>38000</v>
      </c>
    </row>
    <row r="304" spans="1:19">
      <c r="A304" s="446">
        <f>A303+1</f>
        <v>6</v>
      </c>
      <c r="B304" s="447" t="s">
        <v>3112</v>
      </c>
      <c r="C304" s="448"/>
      <c r="D304" s="448"/>
      <c r="E304" s="449"/>
      <c r="F304" s="450"/>
      <c r="G304" s="451"/>
      <c r="H304" s="451" t="s">
        <v>3113</v>
      </c>
      <c r="I304" s="474">
        <v>15000</v>
      </c>
      <c r="J304" s="474"/>
      <c r="K304" s="446"/>
      <c r="M304" s="469">
        <f t="shared" si="7"/>
        <v>13833.333333333334</v>
      </c>
      <c r="N304" s="453">
        <v>11000</v>
      </c>
      <c r="O304" s="454"/>
      <c r="P304" s="454">
        <v>20000</v>
      </c>
      <c r="Q304" s="454"/>
      <c r="R304" s="454"/>
      <c r="S304" s="455">
        <v>10500</v>
      </c>
    </row>
    <row r="305" spans="1:19">
      <c r="A305" s="446">
        <f t="shared" si="9"/>
        <v>7</v>
      </c>
      <c r="B305" s="447" t="s">
        <v>3114</v>
      </c>
      <c r="C305" s="448"/>
      <c r="D305" s="448"/>
      <c r="E305" s="449"/>
      <c r="F305" s="450"/>
      <c r="G305" s="451"/>
      <c r="H305" s="451" t="s">
        <v>3113</v>
      </c>
      <c r="I305" s="474">
        <v>6850</v>
      </c>
      <c r="J305" s="474"/>
      <c r="K305" s="446"/>
      <c r="M305" s="469">
        <f t="shared" si="7"/>
        <v>7750</v>
      </c>
      <c r="N305" s="453">
        <v>8000</v>
      </c>
      <c r="O305" s="454"/>
      <c r="P305" s="454"/>
      <c r="Q305" s="454"/>
      <c r="R305" s="454"/>
      <c r="S305" s="455">
        <v>7500</v>
      </c>
    </row>
    <row r="306" spans="1:19">
      <c r="A306" s="446">
        <f t="shared" si="9"/>
        <v>8</v>
      </c>
      <c r="B306" s="447" t="s">
        <v>3115</v>
      </c>
      <c r="C306" s="448"/>
      <c r="D306" s="448"/>
      <c r="E306" s="449"/>
      <c r="F306" s="450"/>
      <c r="G306" s="451"/>
      <c r="H306" s="451" t="s">
        <v>3113</v>
      </c>
      <c r="I306" s="474">
        <v>10200</v>
      </c>
      <c r="J306" s="474"/>
      <c r="K306" s="446"/>
      <c r="M306" s="469">
        <f t="shared" si="7"/>
        <v>2975</v>
      </c>
      <c r="N306" s="453">
        <v>3000</v>
      </c>
      <c r="O306" s="454"/>
      <c r="P306" s="454"/>
      <c r="Q306" s="454"/>
      <c r="R306" s="454"/>
      <c r="S306" s="455">
        <v>2950</v>
      </c>
    </row>
    <row r="307" spans="1:19">
      <c r="A307" s="446">
        <f t="shared" si="9"/>
        <v>9</v>
      </c>
      <c r="B307" s="447" t="s">
        <v>3116</v>
      </c>
      <c r="C307" s="448"/>
      <c r="D307" s="448"/>
      <c r="E307" s="449"/>
      <c r="F307" s="450"/>
      <c r="G307" s="451"/>
      <c r="H307" s="451" t="s">
        <v>2970</v>
      </c>
      <c r="I307" s="474">
        <v>44000</v>
      </c>
      <c r="J307" s="474"/>
      <c r="K307" s="446"/>
      <c r="M307" s="469">
        <f t="shared" si="7"/>
        <v>25000</v>
      </c>
      <c r="N307" s="453"/>
      <c r="O307" s="454"/>
      <c r="P307" s="454"/>
      <c r="Q307" s="454"/>
      <c r="R307" s="454">
        <v>25000</v>
      </c>
      <c r="S307" s="455"/>
    </row>
    <row r="308" spans="1:19">
      <c r="A308" s="446">
        <f t="shared" si="9"/>
        <v>10</v>
      </c>
      <c r="B308" s="447" t="s">
        <v>3560</v>
      </c>
      <c r="C308" s="448"/>
      <c r="D308" s="448"/>
      <c r="E308" s="449"/>
      <c r="F308" s="450"/>
      <c r="G308" s="451"/>
      <c r="H308" s="451" t="s">
        <v>2970</v>
      </c>
      <c r="I308" s="474">
        <v>33000</v>
      </c>
      <c r="J308" s="474"/>
      <c r="K308" s="446"/>
      <c r="M308" s="469"/>
      <c r="N308" s="453"/>
      <c r="O308" s="454"/>
      <c r="P308" s="454"/>
      <c r="Q308" s="454"/>
      <c r="R308" s="454"/>
      <c r="S308" s="455"/>
    </row>
    <row r="309" spans="1:19">
      <c r="A309" s="446">
        <f t="shared" si="9"/>
        <v>11</v>
      </c>
      <c r="B309" s="447" t="s">
        <v>3559</v>
      </c>
      <c r="C309" s="448"/>
      <c r="D309" s="448"/>
      <c r="E309" s="449"/>
      <c r="F309" s="450"/>
      <c r="G309" s="451"/>
      <c r="H309" s="451" t="s">
        <v>2970</v>
      </c>
      <c r="I309" s="474">
        <v>26350</v>
      </c>
      <c r="J309" s="474"/>
      <c r="K309" s="446"/>
      <c r="M309" s="469"/>
      <c r="N309" s="453"/>
      <c r="O309" s="454"/>
      <c r="P309" s="454"/>
      <c r="Q309" s="454"/>
      <c r="R309" s="454"/>
      <c r="S309" s="455"/>
    </row>
    <row r="310" spans="1:19">
      <c r="A310" s="446">
        <f t="shared" si="9"/>
        <v>12</v>
      </c>
      <c r="B310" s="447" t="s">
        <v>3117</v>
      </c>
      <c r="C310" s="448"/>
      <c r="D310" s="448"/>
      <c r="E310" s="449"/>
      <c r="F310" s="450"/>
      <c r="G310" s="451"/>
      <c r="H310" s="451" t="s">
        <v>2976</v>
      </c>
      <c r="I310" s="474">
        <v>20500</v>
      </c>
      <c r="J310" s="474"/>
      <c r="K310" s="446"/>
      <c r="M310" s="469">
        <f t="shared" ref="M310:M376" si="10">AVERAGE(N310:S310)</f>
        <v>20000</v>
      </c>
      <c r="N310" s="453"/>
      <c r="O310" s="454"/>
      <c r="P310" s="454">
        <v>20000</v>
      </c>
      <c r="Q310" s="454"/>
      <c r="R310" s="454"/>
      <c r="S310" s="455"/>
    </row>
    <row r="311" spans="1:19">
      <c r="A311" s="446">
        <f t="shared" si="9"/>
        <v>13</v>
      </c>
      <c r="B311" s="447" t="s">
        <v>3118</v>
      </c>
      <c r="C311" s="448"/>
      <c r="D311" s="448"/>
      <c r="E311" s="449"/>
      <c r="F311" s="450"/>
      <c r="G311" s="451"/>
      <c r="H311" s="451" t="s">
        <v>2976</v>
      </c>
      <c r="I311" s="440">
        <v>34000</v>
      </c>
      <c r="J311" s="440"/>
      <c r="K311" s="446"/>
      <c r="M311" s="469"/>
      <c r="N311" s="453"/>
      <c r="O311" s="454"/>
      <c r="P311" s="454"/>
      <c r="Q311" s="454"/>
      <c r="R311" s="454"/>
      <c r="S311" s="455"/>
    </row>
    <row r="312" spans="1:19">
      <c r="A312" s="446">
        <f t="shared" si="9"/>
        <v>14</v>
      </c>
      <c r="B312" s="447" t="s">
        <v>3119</v>
      </c>
      <c r="C312" s="448"/>
      <c r="D312" s="448"/>
      <c r="E312" s="449"/>
      <c r="F312" s="450"/>
      <c r="G312" s="451"/>
      <c r="H312" s="451" t="s">
        <v>3113</v>
      </c>
      <c r="I312" s="474">
        <v>22100</v>
      </c>
      <c r="J312" s="474"/>
      <c r="K312" s="446"/>
      <c r="M312" s="469">
        <f t="shared" si="10"/>
        <v>18000</v>
      </c>
      <c r="N312" s="453"/>
      <c r="O312" s="454"/>
      <c r="P312" s="454">
        <v>18000</v>
      </c>
      <c r="Q312" s="454"/>
      <c r="R312" s="454"/>
      <c r="S312" s="455"/>
    </row>
    <row r="313" spans="1:19" hidden="1">
      <c r="A313" s="446">
        <f t="shared" si="9"/>
        <v>15</v>
      </c>
      <c r="B313" s="567" t="s">
        <v>3120</v>
      </c>
      <c r="C313" s="568"/>
      <c r="D313" s="568"/>
      <c r="E313" s="569"/>
      <c r="F313" s="570"/>
      <c r="G313" s="451"/>
      <c r="H313" s="451" t="s">
        <v>2647</v>
      </c>
      <c r="I313" s="474">
        <v>227000</v>
      </c>
      <c r="J313" s="474"/>
      <c r="K313" s="446"/>
      <c r="M313" s="469" t="e">
        <f t="shared" si="10"/>
        <v>#DIV/0!</v>
      </c>
      <c r="N313" s="453"/>
      <c r="O313" s="454"/>
      <c r="P313" s="454"/>
      <c r="Q313" s="454"/>
      <c r="R313" s="454"/>
      <c r="S313" s="455"/>
    </row>
    <row r="314" spans="1:19" hidden="1">
      <c r="A314" s="446">
        <f t="shared" si="9"/>
        <v>16</v>
      </c>
      <c r="B314" s="567" t="s">
        <v>3121</v>
      </c>
      <c r="C314" s="568"/>
      <c r="D314" s="568"/>
      <c r="E314" s="569"/>
      <c r="F314" s="570"/>
      <c r="G314" s="451"/>
      <c r="H314" s="451" t="s">
        <v>2647</v>
      </c>
      <c r="I314" s="474">
        <v>200000</v>
      </c>
      <c r="J314" s="474"/>
      <c r="K314" s="446"/>
      <c r="M314" s="469" t="e">
        <f t="shared" si="10"/>
        <v>#DIV/0!</v>
      </c>
      <c r="N314" s="453"/>
      <c r="O314" s="454"/>
      <c r="P314" s="454"/>
      <c r="Q314" s="454"/>
      <c r="R314" s="454"/>
      <c r="S314" s="455"/>
    </row>
    <row r="315" spans="1:19" hidden="1">
      <c r="A315" s="446">
        <f t="shared" si="9"/>
        <v>17</v>
      </c>
      <c r="B315" s="567" t="s">
        <v>3122</v>
      </c>
      <c r="C315" s="568"/>
      <c r="D315" s="568"/>
      <c r="E315" s="569"/>
      <c r="F315" s="570"/>
      <c r="G315" s="451"/>
      <c r="H315" s="451" t="s">
        <v>2647</v>
      </c>
      <c r="I315" s="474">
        <v>240000</v>
      </c>
      <c r="J315" s="474"/>
      <c r="K315" s="446"/>
      <c r="M315" s="469" t="e">
        <f t="shared" si="10"/>
        <v>#DIV/0!</v>
      </c>
      <c r="N315" s="453"/>
      <c r="O315" s="454"/>
      <c r="P315" s="454"/>
      <c r="Q315" s="454"/>
      <c r="R315" s="454"/>
      <c r="S315" s="455"/>
    </row>
    <row r="316" spans="1:19" hidden="1">
      <c r="A316" s="446">
        <f t="shared" si="9"/>
        <v>18</v>
      </c>
      <c r="B316" s="567" t="s">
        <v>3123</v>
      </c>
      <c r="C316" s="568"/>
      <c r="D316" s="568"/>
      <c r="E316" s="569"/>
      <c r="F316" s="570"/>
      <c r="G316" s="451"/>
      <c r="H316" s="451" t="s">
        <v>2647</v>
      </c>
      <c r="I316" s="474">
        <v>300000</v>
      </c>
      <c r="J316" s="474"/>
      <c r="K316" s="446"/>
      <c r="M316" s="469" t="e">
        <f t="shared" si="10"/>
        <v>#DIV/0!</v>
      </c>
      <c r="N316" s="453"/>
      <c r="O316" s="454"/>
      <c r="P316" s="454"/>
      <c r="Q316" s="454"/>
      <c r="R316" s="454"/>
      <c r="S316" s="455"/>
    </row>
    <row r="317" spans="1:19">
      <c r="A317" s="446">
        <f t="shared" si="9"/>
        <v>19</v>
      </c>
      <c r="B317" s="447" t="s">
        <v>3124</v>
      </c>
      <c r="C317" s="448"/>
      <c r="D317" s="448"/>
      <c r="E317" s="449"/>
      <c r="F317" s="450"/>
      <c r="G317" s="451"/>
      <c r="H317" s="451" t="s">
        <v>2976</v>
      </c>
      <c r="I317" s="474">
        <v>25500</v>
      </c>
      <c r="J317" s="474"/>
      <c r="K317" s="446"/>
      <c r="M317" s="469"/>
      <c r="N317" s="453"/>
      <c r="O317" s="454"/>
      <c r="P317" s="454"/>
      <c r="Q317" s="454"/>
      <c r="R317" s="454"/>
      <c r="S317" s="455"/>
    </row>
    <row r="318" spans="1:19">
      <c r="A318" s="446">
        <f t="shared" si="9"/>
        <v>20</v>
      </c>
      <c r="B318" s="447" t="s">
        <v>3125</v>
      </c>
      <c r="C318" s="448"/>
      <c r="D318" s="448"/>
      <c r="E318" s="449"/>
      <c r="F318" s="450"/>
      <c r="G318" s="451"/>
      <c r="H318" s="451" t="s">
        <v>2976</v>
      </c>
      <c r="I318" s="474">
        <v>48000</v>
      </c>
      <c r="J318" s="474"/>
      <c r="K318" s="446"/>
      <c r="M318" s="469"/>
      <c r="N318" s="453"/>
      <c r="O318" s="454"/>
      <c r="P318" s="454"/>
      <c r="Q318" s="454"/>
      <c r="R318" s="454"/>
      <c r="S318" s="455"/>
    </row>
    <row r="319" spans="1:19">
      <c r="A319" s="446">
        <f t="shared" si="9"/>
        <v>21</v>
      </c>
      <c r="B319" s="447" t="s">
        <v>3126</v>
      </c>
      <c r="C319" s="448"/>
      <c r="D319" s="448"/>
      <c r="E319" s="449"/>
      <c r="F319" s="450"/>
      <c r="G319" s="451"/>
      <c r="H319" s="451" t="s">
        <v>2976</v>
      </c>
      <c r="I319" s="474">
        <v>65000</v>
      </c>
      <c r="J319" s="474"/>
      <c r="K319" s="446"/>
      <c r="M319" s="469">
        <f t="shared" si="10"/>
        <v>56000</v>
      </c>
      <c r="N319" s="453"/>
      <c r="O319" s="454"/>
      <c r="P319" s="454">
        <v>56000</v>
      </c>
      <c r="Q319" s="454"/>
      <c r="R319" s="454"/>
      <c r="S319" s="455"/>
    </row>
    <row r="320" spans="1:19">
      <c r="A320" s="446">
        <f t="shared" si="9"/>
        <v>22</v>
      </c>
      <c r="B320" s="447" t="s">
        <v>3127</v>
      </c>
      <c r="C320" s="448"/>
      <c r="D320" s="448"/>
      <c r="E320" s="449"/>
      <c r="F320" s="450"/>
      <c r="G320" s="451"/>
      <c r="H320" s="451" t="s">
        <v>3128</v>
      </c>
      <c r="I320" s="474">
        <v>13400</v>
      </c>
      <c r="J320" s="474"/>
      <c r="K320" s="446"/>
      <c r="M320" s="469">
        <f t="shared" si="10"/>
        <v>56000</v>
      </c>
      <c r="N320" s="453"/>
      <c r="O320" s="454"/>
      <c r="P320" s="454">
        <v>56000</v>
      </c>
      <c r="Q320" s="454"/>
      <c r="R320" s="454"/>
      <c r="S320" s="455"/>
    </row>
    <row r="321" spans="1:19">
      <c r="A321" s="446">
        <f t="shared" si="9"/>
        <v>23</v>
      </c>
      <c r="B321" s="447" t="s">
        <v>3127</v>
      </c>
      <c r="C321" s="448"/>
      <c r="D321" s="448"/>
      <c r="E321" s="449"/>
      <c r="F321" s="450"/>
      <c r="G321" s="451"/>
      <c r="H321" s="451" t="s">
        <v>3106</v>
      </c>
      <c r="I321" s="474">
        <v>91800</v>
      </c>
      <c r="J321" s="474"/>
      <c r="K321" s="446"/>
      <c r="M321" s="469"/>
      <c r="N321" s="453"/>
      <c r="O321" s="454"/>
      <c r="P321" s="454"/>
      <c r="Q321" s="454"/>
      <c r="R321" s="454"/>
      <c r="S321" s="455"/>
    </row>
    <row r="322" spans="1:19">
      <c r="A322" s="446">
        <f t="shared" si="9"/>
        <v>24</v>
      </c>
      <c r="B322" s="447" t="s">
        <v>3521</v>
      </c>
      <c r="C322" s="448"/>
      <c r="D322" s="448"/>
      <c r="E322" s="449"/>
      <c r="F322" s="450"/>
      <c r="G322" s="451"/>
      <c r="H322" s="451" t="s">
        <v>2970</v>
      </c>
      <c r="I322" s="474">
        <v>152250</v>
      </c>
      <c r="J322" s="474"/>
      <c r="K322" s="446"/>
      <c r="M322" s="469"/>
      <c r="N322" s="453"/>
      <c r="O322" s="454"/>
      <c r="P322" s="454"/>
      <c r="Q322" s="454"/>
      <c r="R322" s="454"/>
      <c r="S322" s="455"/>
    </row>
    <row r="323" spans="1:19">
      <c r="A323" s="446">
        <f t="shared" si="9"/>
        <v>25</v>
      </c>
      <c r="B323" s="447" t="s">
        <v>3129</v>
      </c>
      <c r="C323" s="448"/>
      <c r="D323" s="448"/>
      <c r="E323" s="538"/>
      <c r="F323" s="478"/>
      <c r="G323" s="451"/>
      <c r="H323" s="451" t="s">
        <v>2647</v>
      </c>
      <c r="I323" s="474">
        <v>20000</v>
      </c>
      <c r="J323" s="474"/>
      <c r="K323" s="446"/>
      <c r="M323" s="469"/>
      <c r="N323" s="453"/>
      <c r="O323" s="454"/>
      <c r="P323" s="454"/>
      <c r="Q323" s="454"/>
      <c r="R323" s="454"/>
      <c r="S323" s="455"/>
    </row>
    <row r="324" spans="1:19">
      <c r="A324" s="446">
        <f t="shared" si="9"/>
        <v>26</v>
      </c>
      <c r="B324" s="447" t="s">
        <v>3522</v>
      </c>
      <c r="C324" s="448"/>
      <c r="D324" s="448"/>
      <c r="E324" s="538"/>
      <c r="F324" s="478"/>
      <c r="G324" s="451"/>
      <c r="H324" s="451" t="s">
        <v>2647</v>
      </c>
      <c r="I324" s="474">
        <v>260000</v>
      </c>
      <c r="J324" s="474"/>
      <c r="K324" s="446"/>
      <c r="M324" s="469"/>
      <c r="N324" s="453"/>
      <c r="O324" s="454"/>
      <c r="P324" s="454"/>
      <c r="Q324" s="454"/>
      <c r="R324" s="454"/>
      <c r="S324" s="455"/>
    </row>
    <row r="325" spans="1:19">
      <c r="A325" s="446">
        <f t="shared" si="9"/>
        <v>27</v>
      </c>
      <c r="B325" s="447" t="s">
        <v>3696</v>
      </c>
      <c r="C325" s="448"/>
      <c r="D325" s="448"/>
      <c r="E325" s="538"/>
      <c r="F325" s="478"/>
      <c r="G325" s="451"/>
      <c r="H325" s="451" t="s">
        <v>2970</v>
      </c>
      <c r="I325" s="474">
        <v>35000</v>
      </c>
      <c r="J325" s="474"/>
      <c r="K325" s="446"/>
      <c r="M325" s="469"/>
      <c r="N325" s="453"/>
      <c r="O325" s="454"/>
      <c r="P325" s="454"/>
      <c r="Q325" s="454"/>
      <c r="R325" s="454"/>
      <c r="S325" s="455"/>
    </row>
    <row r="326" spans="1:19">
      <c r="A326" s="446">
        <f t="shared" si="9"/>
        <v>28</v>
      </c>
      <c r="B326" s="447" t="s">
        <v>3561</v>
      </c>
      <c r="C326" s="448"/>
      <c r="D326" s="448"/>
      <c r="E326" s="538"/>
      <c r="F326" s="478"/>
      <c r="G326" s="451"/>
      <c r="H326" s="451" t="s">
        <v>2976</v>
      </c>
      <c r="I326" s="474">
        <v>33000</v>
      </c>
      <c r="J326" s="474"/>
      <c r="K326" s="446"/>
      <c r="M326" s="469"/>
      <c r="N326" s="453"/>
      <c r="O326" s="454"/>
      <c r="P326" s="454"/>
      <c r="Q326" s="454"/>
      <c r="R326" s="454"/>
      <c r="S326" s="455"/>
    </row>
    <row r="327" spans="1:19">
      <c r="A327" s="446">
        <f t="shared" si="9"/>
        <v>29</v>
      </c>
      <c r="B327" s="447" t="s">
        <v>3130</v>
      </c>
      <c r="C327" s="448"/>
      <c r="D327" s="448"/>
      <c r="E327" s="449"/>
      <c r="F327" s="450"/>
      <c r="G327" s="451"/>
      <c r="H327" s="451" t="s">
        <v>2976</v>
      </c>
      <c r="I327" s="440">
        <v>184000</v>
      </c>
      <c r="J327" s="440"/>
      <c r="K327" s="446"/>
      <c r="M327" s="469"/>
      <c r="N327" s="453"/>
      <c r="O327" s="454"/>
      <c r="P327" s="454"/>
      <c r="Q327" s="454"/>
      <c r="R327" s="454"/>
      <c r="S327" s="455"/>
    </row>
    <row r="328" spans="1:19">
      <c r="A328" s="446">
        <f t="shared" si="9"/>
        <v>30</v>
      </c>
      <c r="B328" s="447" t="s">
        <v>3131</v>
      </c>
      <c r="C328" s="448"/>
      <c r="D328" s="448"/>
      <c r="E328" s="538"/>
      <c r="F328" s="478"/>
      <c r="G328" s="451"/>
      <c r="H328" s="451" t="s">
        <v>2976</v>
      </c>
      <c r="I328" s="474">
        <v>74000</v>
      </c>
      <c r="J328" s="474"/>
      <c r="K328" s="446"/>
      <c r="M328" s="469"/>
      <c r="N328" s="453"/>
      <c r="O328" s="454"/>
      <c r="P328" s="454"/>
      <c r="Q328" s="454"/>
      <c r="R328" s="454"/>
      <c r="S328" s="455"/>
    </row>
    <row r="329" spans="1:19">
      <c r="A329" s="446">
        <f t="shared" si="9"/>
        <v>31</v>
      </c>
      <c r="B329" s="447" t="s">
        <v>3132</v>
      </c>
      <c r="C329" s="448"/>
      <c r="D329" s="448"/>
      <c r="E329" s="538"/>
      <c r="F329" s="478"/>
      <c r="G329" s="451"/>
      <c r="H329" s="451" t="s">
        <v>2976</v>
      </c>
      <c r="I329" s="474">
        <v>74000</v>
      </c>
      <c r="J329" s="474"/>
      <c r="K329" s="446"/>
      <c r="M329" s="469"/>
      <c r="N329" s="453"/>
      <c r="O329" s="454"/>
      <c r="P329" s="454"/>
      <c r="Q329" s="454"/>
      <c r="R329" s="454"/>
      <c r="S329" s="455"/>
    </row>
    <row r="330" spans="1:19">
      <c r="A330" s="446">
        <f t="shared" si="9"/>
        <v>32</v>
      </c>
      <c r="B330" s="447" t="s">
        <v>3133</v>
      </c>
      <c r="C330" s="448"/>
      <c r="D330" s="448"/>
      <c r="E330" s="538"/>
      <c r="F330" s="478"/>
      <c r="G330" s="451"/>
      <c r="H330" s="451" t="s">
        <v>1423</v>
      </c>
      <c r="I330" s="474">
        <v>1200</v>
      </c>
      <c r="J330" s="474"/>
      <c r="K330" s="446"/>
      <c r="M330" s="469"/>
      <c r="N330" s="453"/>
      <c r="O330" s="454"/>
      <c r="P330" s="454"/>
      <c r="Q330" s="454"/>
      <c r="R330" s="454"/>
      <c r="S330" s="455"/>
    </row>
    <row r="331" spans="1:19">
      <c r="A331" s="446">
        <f t="shared" si="9"/>
        <v>33</v>
      </c>
      <c r="B331" s="447" t="s">
        <v>3134</v>
      </c>
      <c r="C331" s="448"/>
      <c r="D331" s="448"/>
      <c r="E331" s="538"/>
      <c r="F331" s="478"/>
      <c r="G331" s="451"/>
      <c r="H331" s="451" t="s">
        <v>1423</v>
      </c>
      <c r="I331" s="474">
        <v>1200</v>
      </c>
      <c r="J331" s="474"/>
      <c r="K331" s="446"/>
      <c r="M331" s="469"/>
      <c r="N331" s="453"/>
      <c r="O331" s="454"/>
      <c r="P331" s="454"/>
      <c r="Q331" s="454"/>
      <c r="R331" s="454"/>
      <c r="S331" s="455"/>
    </row>
    <row r="332" spans="1:19">
      <c r="A332" s="446">
        <f t="shared" si="9"/>
        <v>34</v>
      </c>
      <c r="B332" s="447" t="s">
        <v>3135</v>
      </c>
      <c r="C332" s="485"/>
      <c r="D332" s="485"/>
      <c r="E332" s="538"/>
      <c r="F332" s="478"/>
      <c r="G332" s="451"/>
      <c r="H332" s="451" t="s">
        <v>2647</v>
      </c>
      <c r="I332" s="445">
        <v>45000</v>
      </c>
      <c r="J332" s="445"/>
      <c r="K332" s="446"/>
      <c r="M332" s="469"/>
      <c r="N332" s="453"/>
      <c r="O332" s="454"/>
      <c r="P332" s="454"/>
      <c r="Q332" s="454"/>
      <c r="R332" s="454"/>
      <c r="S332" s="455"/>
    </row>
    <row r="333" spans="1:19">
      <c r="A333" s="446">
        <f t="shared" si="9"/>
        <v>35</v>
      </c>
      <c r="B333" s="447" t="s">
        <v>3629</v>
      </c>
      <c r="C333" s="485"/>
      <c r="D333" s="485"/>
      <c r="E333" s="538"/>
      <c r="F333" s="478"/>
      <c r="G333" s="451"/>
      <c r="H333" s="451" t="s">
        <v>1423</v>
      </c>
      <c r="I333" s="445">
        <v>5000</v>
      </c>
      <c r="J333" s="445"/>
      <c r="K333" s="446"/>
      <c r="M333" s="469"/>
      <c r="N333" s="453"/>
      <c r="O333" s="454"/>
      <c r="P333" s="454"/>
      <c r="Q333" s="454"/>
      <c r="R333" s="454"/>
      <c r="S333" s="455"/>
    </row>
    <row r="334" spans="1:19">
      <c r="A334" s="446">
        <v>36</v>
      </c>
      <c r="B334" s="447" t="s">
        <v>3984</v>
      </c>
      <c r="C334" s="485"/>
      <c r="D334" s="485"/>
      <c r="E334" s="538"/>
      <c r="F334" s="478"/>
      <c r="G334" s="451"/>
      <c r="H334" s="451" t="s">
        <v>1423</v>
      </c>
      <c r="I334" s="445">
        <v>250</v>
      </c>
      <c r="J334" s="445"/>
      <c r="K334" s="446"/>
      <c r="M334" s="469"/>
      <c r="N334" s="453"/>
      <c r="O334" s="454"/>
      <c r="P334" s="454"/>
      <c r="Q334" s="454"/>
      <c r="R334" s="454"/>
      <c r="S334" s="455"/>
    </row>
    <row r="335" spans="1:19">
      <c r="A335" s="446"/>
      <c r="B335" s="447"/>
      <c r="C335" s="485"/>
      <c r="D335" s="485"/>
      <c r="E335" s="538"/>
      <c r="F335" s="478"/>
      <c r="G335" s="451"/>
      <c r="H335" s="451"/>
      <c r="I335" s="445"/>
      <c r="J335" s="445"/>
      <c r="K335" s="446"/>
      <c r="M335" s="469"/>
      <c r="N335" s="453"/>
      <c r="O335" s="454"/>
      <c r="P335" s="454"/>
      <c r="Q335" s="454"/>
      <c r="R335" s="454"/>
      <c r="S335" s="455"/>
    </row>
    <row r="336" spans="1:19">
      <c r="A336" s="477"/>
      <c r="B336" s="484" t="s">
        <v>3564</v>
      </c>
      <c r="C336" s="485"/>
      <c r="D336" s="485"/>
      <c r="E336" s="538"/>
      <c r="F336" s="478"/>
      <c r="G336" s="451"/>
      <c r="H336" s="451" t="s">
        <v>2647</v>
      </c>
      <c r="I336" s="445">
        <v>10000</v>
      </c>
      <c r="J336" s="445"/>
      <c r="K336" s="446"/>
      <c r="M336" s="469"/>
      <c r="N336" s="453"/>
      <c r="O336" s="454"/>
      <c r="P336" s="454"/>
      <c r="Q336" s="454"/>
      <c r="R336" s="454"/>
      <c r="S336" s="455"/>
    </row>
    <row r="337" spans="1:19">
      <c r="A337" s="477"/>
      <c r="B337" s="484" t="s">
        <v>3136</v>
      </c>
      <c r="C337" s="485"/>
      <c r="D337" s="485"/>
      <c r="E337" s="538"/>
      <c r="F337" s="478"/>
      <c r="G337" s="451"/>
      <c r="H337" s="451"/>
      <c r="I337" s="445"/>
      <c r="J337" s="445"/>
      <c r="K337" s="446"/>
      <c r="M337" s="469"/>
      <c r="N337" s="453"/>
      <c r="O337" s="454"/>
      <c r="P337" s="454"/>
      <c r="Q337" s="454"/>
      <c r="R337" s="454"/>
      <c r="S337" s="455"/>
    </row>
    <row r="338" spans="1:19">
      <c r="A338" s="446">
        <v>1</v>
      </c>
      <c r="B338" s="447" t="s">
        <v>3137</v>
      </c>
      <c r="C338" s="448"/>
      <c r="D338" s="448"/>
      <c r="E338" s="449"/>
      <c r="F338" s="450"/>
      <c r="G338" s="451"/>
      <c r="H338" s="451" t="s">
        <v>3113</v>
      </c>
      <c r="I338" s="440">
        <v>16830</v>
      </c>
      <c r="J338" s="440"/>
      <c r="K338" s="446"/>
      <c r="M338" s="469">
        <f t="shared" si="10"/>
        <v>18000</v>
      </c>
      <c r="N338" s="453"/>
      <c r="O338" s="454"/>
      <c r="P338" s="454"/>
      <c r="Q338" s="454"/>
      <c r="R338" s="454">
        <v>18000</v>
      </c>
      <c r="S338" s="455"/>
    </row>
    <row r="339" spans="1:19">
      <c r="A339" s="446">
        <f t="shared" ref="A339:A347" si="11">A338+1</f>
        <v>2</v>
      </c>
      <c r="B339" s="447" t="s">
        <v>3138</v>
      </c>
      <c r="C339" s="448"/>
      <c r="D339" s="448"/>
      <c r="E339" s="449"/>
      <c r="F339" s="450"/>
      <c r="G339" s="451"/>
      <c r="H339" s="451" t="s">
        <v>2976</v>
      </c>
      <c r="I339" s="440">
        <v>72250</v>
      </c>
      <c r="J339" s="440"/>
      <c r="K339" s="446">
        <f>I339*(10/11)</f>
        <v>65681.818181818177</v>
      </c>
      <c r="M339" s="469">
        <f t="shared" si="10"/>
        <v>53500</v>
      </c>
      <c r="N339" s="453">
        <v>58000</v>
      </c>
      <c r="O339" s="454">
        <v>17500</v>
      </c>
      <c r="P339" s="454">
        <v>70000</v>
      </c>
      <c r="Q339" s="454">
        <v>65000</v>
      </c>
      <c r="R339" s="454"/>
      <c r="S339" s="455">
        <v>57000</v>
      </c>
    </row>
    <row r="340" spans="1:19">
      <c r="A340" s="446">
        <f t="shared" si="11"/>
        <v>3</v>
      </c>
      <c r="B340" s="447" t="s">
        <v>3139</v>
      </c>
      <c r="C340" s="448"/>
      <c r="D340" s="448"/>
      <c r="E340" s="449"/>
      <c r="F340" s="450"/>
      <c r="G340" s="451"/>
      <c r="H340" s="451" t="s">
        <v>2976</v>
      </c>
      <c r="I340" s="440">
        <v>63750</v>
      </c>
      <c r="J340" s="440"/>
      <c r="K340" s="446">
        <f>I340*(10/11)</f>
        <v>57954.545454545456</v>
      </c>
      <c r="M340" s="469">
        <f t="shared" si="10"/>
        <v>74500</v>
      </c>
      <c r="N340" s="453"/>
      <c r="O340" s="454">
        <v>74500</v>
      </c>
      <c r="P340" s="454"/>
      <c r="Q340" s="454"/>
      <c r="R340" s="454"/>
      <c r="S340" s="455"/>
    </row>
    <row r="341" spans="1:19">
      <c r="A341" s="446">
        <f t="shared" si="11"/>
        <v>4</v>
      </c>
      <c r="B341" s="447" t="s">
        <v>3140</v>
      </c>
      <c r="C341" s="448"/>
      <c r="D341" s="448"/>
      <c r="E341" s="449"/>
      <c r="F341" s="450"/>
      <c r="G341" s="451"/>
      <c r="H341" s="451" t="s">
        <v>2976</v>
      </c>
      <c r="I341" s="440">
        <v>97750</v>
      </c>
      <c r="J341" s="440"/>
      <c r="K341" s="446">
        <f>I341*(10/11)</f>
        <v>88863.636363636368</v>
      </c>
      <c r="M341" s="469">
        <f t="shared" si="10"/>
        <v>65000</v>
      </c>
      <c r="N341" s="453"/>
      <c r="O341" s="454">
        <v>65000</v>
      </c>
      <c r="P341" s="454"/>
      <c r="Q341" s="454"/>
      <c r="R341" s="454"/>
      <c r="S341" s="455"/>
    </row>
    <row r="342" spans="1:19">
      <c r="A342" s="446">
        <f t="shared" si="11"/>
        <v>5</v>
      </c>
      <c r="B342" s="447" t="s">
        <v>4570</v>
      </c>
      <c r="C342" s="448"/>
      <c r="D342" s="448"/>
      <c r="E342" s="449"/>
      <c r="F342" s="450"/>
      <c r="G342" s="451"/>
      <c r="H342" s="451" t="s">
        <v>2647</v>
      </c>
      <c r="I342" s="440">
        <v>146000</v>
      </c>
      <c r="J342" s="440"/>
      <c r="K342" s="446"/>
      <c r="M342" s="469"/>
      <c r="N342" s="453"/>
      <c r="O342" s="454"/>
      <c r="P342" s="454"/>
      <c r="Q342" s="454"/>
      <c r="R342" s="454"/>
      <c r="S342" s="455"/>
    </row>
    <row r="343" spans="1:19">
      <c r="A343" s="446">
        <f t="shared" si="11"/>
        <v>6</v>
      </c>
      <c r="B343" s="447" t="s">
        <v>3141</v>
      </c>
      <c r="C343" s="448"/>
      <c r="D343" s="448"/>
      <c r="E343" s="449"/>
      <c r="F343" s="450"/>
      <c r="G343" s="451"/>
      <c r="H343" s="451" t="s">
        <v>2970</v>
      </c>
      <c r="I343" s="440">
        <v>12155</v>
      </c>
      <c r="J343" s="440"/>
      <c r="K343" s="446"/>
      <c r="M343" s="469">
        <f t="shared" si="10"/>
        <v>53000</v>
      </c>
      <c r="N343" s="453"/>
      <c r="O343" s="454">
        <v>98500</v>
      </c>
      <c r="P343" s="454">
        <v>7500</v>
      </c>
      <c r="Q343" s="454"/>
      <c r="R343" s="454"/>
      <c r="S343" s="455"/>
    </row>
    <row r="344" spans="1:19">
      <c r="A344" s="446">
        <f t="shared" si="11"/>
        <v>7</v>
      </c>
      <c r="B344" s="447" t="s">
        <v>3142</v>
      </c>
      <c r="C344" s="448"/>
      <c r="D344" s="448"/>
      <c r="E344" s="449"/>
      <c r="F344" s="450"/>
      <c r="G344" s="451"/>
      <c r="H344" s="451" t="s">
        <v>2970</v>
      </c>
      <c r="I344" s="440">
        <v>10200</v>
      </c>
      <c r="J344" s="440"/>
      <c r="K344" s="446"/>
      <c r="M344" s="469">
        <f t="shared" si="10"/>
        <v>9166.6666666666661</v>
      </c>
      <c r="N344" s="453">
        <v>6500</v>
      </c>
      <c r="O344" s="454">
        <v>15000</v>
      </c>
      <c r="P344" s="454"/>
      <c r="Q344" s="454"/>
      <c r="R344" s="454"/>
      <c r="S344" s="455">
        <v>6000</v>
      </c>
    </row>
    <row r="345" spans="1:19">
      <c r="A345" s="446">
        <f t="shared" si="11"/>
        <v>8</v>
      </c>
      <c r="B345" s="447" t="s">
        <v>3143</v>
      </c>
      <c r="C345" s="448"/>
      <c r="D345" s="448"/>
      <c r="E345" s="449"/>
      <c r="F345" s="450"/>
      <c r="G345" s="451"/>
      <c r="H345" s="451" t="s">
        <v>2970</v>
      </c>
      <c r="I345" s="440">
        <v>7012</v>
      </c>
      <c r="J345" s="440"/>
      <c r="K345" s="446"/>
      <c r="M345" s="469">
        <f t="shared" si="10"/>
        <v>12000</v>
      </c>
      <c r="N345" s="453"/>
      <c r="O345" s="454">
        <v>12000</v>
      </c>
      <c r="P345" s="454"/>
      <c r="Q345" s="454"/>
      <c r="R345" s="454"/>
      <c r="S345" s="455"/>
    </row>
    <row r="346" spans="1:19">
      <c r="A346" s="446">
        <f t="shared" si="11"/>
        <v>9</v>
      </c>
      <c r="B346" s="447" t="s">
        <v>3144</v>
      </c>
      <c r="C346" s="448"/>
      <c r="D346" s="448"/>
      <c r="E346" s="449"/>
      <c r="F346" s="450"/>
      <c r="G346" s="451"/>
      <c r="H346" s="451" t="s">
        <v>2970</v>
      </c>
      <c r="I346" s="440">
        <v>5100</v>
      </c>
      <c r="J346" s="440"/>
      <c r="K346" s="446"/>
      <c r="M346" s="469">
        <f t="shared" si="10"/>
        <v>8500</v>
      </c>
      <c r="N346" s="453"/>
      <c r="O346" s="454">
        <v>8500</v>
      </c>
      <c r="P346" s="454"/>
      <c r="Q346" s="454"/>
      <c r="R346" s="454"/>
      <c r="S346" s="455"/>
    </row>
    <row r="347" spans="1:19">
      <c r="A347" s="446">
        <f t="shared" si="11"/>
        <v>10</v>
      </c>
      <c r="B347" s="447" t="s">
        <v>4569</v>
      </c>
      <c r="C347" s="448"/>
      <c r="D347" s="448"/>
      <c r="E347" s="449"/>
      <c r="F347" s="450"/>
      <c r="G347" s="451"/>
      <c r="H347" s="451" t="s">
        <v>2970</v>
      </c>
      <c r="I347" s="440">
        <v>20500</v>
      </c>
      <c r="J347" s="440"/>
      <c r="K347" s="446"/>
      <c r="M347" s="469"/>
      <c r="N347" s="453"/>
      <c r="O347" s="454"/>
      <c r="P347" s="454"/>
      <c r="Q347" s="454"/>
      <c r="R347" s="454"/>
      <c r="S347" s="455"/>
    </row>
    <row r="348" spans="1:19">
      <c r="A348" s="446"/>
      <c r="B348" s="447"/>
      <c r="C348" s="448"/>
      <c r="D348" s="448"/>
      <c r="E348" s="449"/>
      <c r="F348" s="450"/>
      <c r="G348" s="451"/>
      <c r="H348" s="451"/>
      <c r="I348" s="440"/>
      <c r="J348" s="440"/>
      <c r="K348" s="446"/>
      <c r="M348" s="469"/>
      <c r="N348" s="453"/>
      <c r="O348" s="454"/>
      <c r="P348" s="454"/>
      <c r="Q348" s="454"/>
      <c r="R348" s="454"/>
      <c r="S348" s="455"/>
    </row>
    <row r="349" spans="1:19">
      <c r="A349" s="446"/>
      <c r="B349" s="571" t="s">
        <v>3145</v>
      </c>
      <c r="C349" s="572"/>
      <c r="D349" s="572"/>
      <c r="E349" s="449"/>
      <c r="F349" s="450"/>
      <c r="G349" s="451"/>
      <c r="H349" s="451"/>
      <c r="I349" s="440"/>
      <c r="J349" s="440"/>
      <c r="K349" s="446"/>
      <c r="M349" s="469"/>
      <c r="N349" s="453"/>
      <c r="O349" s="454"/>
      <c r="P349" s="454"/>
      <c r="Q349" s="454"/>
      <c r="R349" s="454"/>
      <c r="S349" s="455"/>
    </row>
    <row r="350" spans="1:19">
      <c r="A350" s="446">
        <v>1</v>
      </c>
      <c r="B350" s="447" t="s">
        <v>3146</v>
      </c>
      <c r="C350" s="448"/>
      <c r="D350" s="448"/>
      <c r="E350" s="449"/>
      <c r="F350" s="450"/>
      <c r="G350" s="451"/>
      <c r="H350" s="451" t="s">
        <v>2667</v>
      </c>
      <c r="I350" s="474">
        <v>25000</v>
      </c>
      <c r="J350" s="474"/>
      <c r="K350" s="446"/>
      <c r="M350" s="469">
        <f t="shared" si="10"/>
        <v>28000</v>
      </c>
      <c r="N350" s="453"/>
      <c r="O350" s="454">
        <v>28000</v>
      </c>
      <c r="P350" s="454"/>
      <c r="Q350" s="454"/>
      <c r="R350" s="454"/>
      <c r="S350" s="455"/>
    </row>
    <row r="351" spans="1:19">
      <c r="A351" s="446">
        <f t="shared" ref="A351:A361" si="12">A350+1</f>
        <v>2</v>
      </c>
      <c r="B351" s="447" t="s">
        <v>3147</v>
      </c>
      <c r="C351" s="448"/>
      <c r="D351" s="448"/>
      <c r="E351" s="449"/>
      <c r="F351" s="450"/>
      <c r="G351" s="451"/>
      <c r="H351" s="451" t="s">
        <v>2667</v>
      </c>
      <c r="I351" s="474">
        <v>18500</v>
      </c>
      <c r="J351" s="474"/>
      <c r="K351" s="446"/>
      <c r="M351" s="469"/>
      <c r="N351" s="453"/>
      <c r="O351" s="454"/>
      <c r="P351" s="454"/>
      <c r="Q351" s="454"/>
      <c r="R351" s="454"/>
      <c r="S351" s="455"/>
    </row>
    <row r="352" spans="1:19">
      <c r="A352" s="446">
        <v>2</v>
      </c>
      <c r="B352" s="447" t="s">
        <v>3148</v>
      </c>
      <c r="C352" s="448"/>
      <c r="D352" s="448"/>
      <c r="E352" s="449"/>
      <c r="F352" s="450"/>
      <c r="G352" s="451"/>
      <c r="H352" s="451" t="s">
        <v>2667</v>
      </c>
      <c r="I352" s="474">
        <v>34000</v>
      </c>
      <c r="J352" s="474"/>
      <c r="K352" s="446"/>
      <c r="M352" s="469"/>
      <c r="N352" s="453"/>
      <c r="O352" s="454"/>
      <c r="P352" s="454"/>
      <c r="Q352" s="454"/>
      <c r="R352" s="454"/>
      <c r="S352" s="455"/>
    </row>
    <row r="353" spans="1:21">
      <c r="A353" s="486">
        <f t="shared" si="12"/>
        <v>3</v>
      </c>
      <c r="B353" s="487" t="s">
        <v>3149</v>
      </c>
      <c r="C353" s="488"/>
      <c r="D353" s="488"/>
      <c r="E353" s="489"/>
      <c r="F353" s="536"/>
      <c r="G353" s="490"/>
      <c r="H353" s="490" t="s">
        <v>1423</v>
      </c>
      <c r="I353" s="475">
        <v>6350</v>
      </c>
      <c r="J353" s="475"/>
      <c r="K353" s="486"/>
      <c r="M353" s="469"/>
      <c r="N353" s="453"/>
      <c r="O353" s="454"/>
      <c r="P353" s="454"/>
      <c r="Q353" s="454"/>
      <c r="R353" s="454"/>
      <c r="S353" s="455"/>
    </row>
    <row r="354" spans="1:21">
      <c r="A354" s="491">
        <v>3</v>
      </c>
      <c r="B354" s="492" t="s">
        <v>3150</v>
      </c>
      <c r="C354" s="493"/>
      <c r="D354" s="493"/>
      <c r="E354" s="494"/>
      <c r="F354" s="537"/>
      <c r="G354" s="495"/>
      <c r="H354" s="495" t="s">
        <v>1423</v>
      </c>
      <c r="I354" s="476">
        <v>7200</v>
      </c>
      <c r="J354" s="476"/>
      <c r="K354" s="491"/>
      <c r="M354" s="469"/>
      <c r="N354" s="453"/>
      <c r="O354" s="454"/>
      <c r="P354" s="454"/>
      <c r="Q354" s="454"/>
      <c r="R354" s="454"/>
      <c r="S354" s="455"/>
    </row>
    <row r="355" spans="1:21">
      <c r="A355" s="446">
        <f t="shared" si="12"/>
        <v>4</v>
      </c>
      <c r="B355" s="447" t="s">
        <v>3151</v>
      </c>
      <c r="C355" s="448"/>
      <c r="D355" s="448"/>
      <c r="E355" s="449"/>
      <c r="F355" s="450"/>
      <c r="G355" s="451"/>
      <c r="H355" s="451" t="s">
        <v>1423</v>
      </c>
      <c r="I355" s="474">
        <v>2500</v>
      </c>
      <c r="J355" s="474"/>
      <c r="K355" s="446"/>
      <c r="M355" s="469"/>
      <c r="N355" s="453"/>
      <c r="O355" s="454"/>
      <c r="P355" s="454"/>
      <c r="Q355" s="454"/>
      <c r="R355" s="454"/>
      <c r="S355" s="455"/>
    </row>
    <row r="356" spans="1:21">
      <c r="A356" s="446">
        <v>4</v>
      </c>
      <c r="B356" s="447" t="s">
        <v>3152</v>
      </c>
      <c r="C356" s="448"/>
      <c r="D356" s="448"/>
      <c r="E356" s="449"/>
      <c r="F356" s="450"/>
      <c r="G356" s="451"/>
      <c r="H356" s="451" t="s">
        <v>1423</v>
      </c>
      <c r="I356" s="474">
        <v>2900</v>
      </c>
      <c r="J356" s="474"/>
      <c r="K356" s="446"/>
      <c r="M356" s="469">
        <f t="shared" si="10"/>
        <v>3000</v>
      </c>
      <c r="N356" s="453"/>
      <c r="O356" s="454">
        <v>3000</v>
      </c>
      <c r="P356" s="454"/>
      <c r="Q356" s="454"/>
      <c r="R356" s="454"/>
      <c r="S356" s="455"/>
    </row>
    <row r="357" spans="1:21">
      <c r="A357" s="446">
        <f t="shared" si="12"/>
        <v>5</v>
      </c>
      <c r="B357" s="447" t="s">
        <v>3153</v>
      </c>
      <c r="C357" s="448"/>
      <c r="D357" s="448"/>
      <c r="E357" s="449"/>
      <c r="F357" s="450"/>
      <c r="G357" s="451"/>
      <c r="H357" s="451" t="s">
        <v>1423</v>
      </c>
      <c r="I357" s="474">
        <v>170</v>
      </c>
      <c r="J357" s="474"/>
      <c r="K357" s="446"/>
      <c r="M357" s="469">
        <f t="shared" si="10"/>
        <v>9100</v>
      </c>
      <c r="N357" s="453"/>
      <c r="O357" s="454">
        <v>200</v>
      </c>
      <c r="P357" s="454">
        <v>18000</v>
      </c>
      <c r="Q357" s="454"/>
      <c r="R357" s="454"/>
      <c r="S357" s="455"/>
    </row>
    <row r="358" spans="1:21">
      <c r="A358" s="446">
        <v>5</v>
      </c>
      <c r="B358" s="447" t="s">
        <v>3154</v>
      </c>
      <c r="C358" s="448"/>
      <c r="D358" s="448"/>
      <c r="E358" s="449"/>
      <c r="F358" s="450"/>
      <c r="G358" s="451"/>
      <c r="H358" s="451" t="s">
        <v>3106</v>
      </c>
      <c r="I358" s="474">
        <v>30000</v>
      </c>
      <c r="J358" s="474"/>
      <c r="K358" s="446"/>
      <c r="M358" s="469"/>
      <c r="N358" s="453"/>
      <c r="O358" s="454"/>
      <c r="P358" s="454"/>
      <c r="Q358" s="454"/>
      <c r="R358" s="454"/>
      <c r="S358" s="455"/>
    </row>
    <row r="359" spans="1:21">
      <c r="A359" s="446">
        <f t="shared" si="12"/>
        <v>6</v>
      </c>
      <c r="B359" s="1243" t="s">
        <v>3490</v>
      </c>
      <c r="C359" s="1244"/>
      <c r="D359" s="1244"/>
      <c r="E359" s="1245"/>
      <c r="F359" s="450"/>
      <c r="G359" s="451"/>
      <c r="H359" s="451" t="s">
        <v>3106</v>
      </c>
      <c r="I359" s="474">
        <v>7500</v>
      </c>
      <c r="J359" s="474"/>
      <c r="K359" s="446"/>
      <c r="M359" s="469"/>
      <c r="N359" s="453"/>
      <c r="O359" s="454"/>
      <c r="P359" s="454"/>
      <c r="Q359" s="454"/>
      <c r="R359" s="454"/>
      <c r="S359" s="455"/>
    </row>
    <row r="360" spans="1:21">
      <c r="A360" s="446">
        <v>6</v>
      </c>
      <c r="B360" s="447" t="s">
        <v>3491</v>
      </c>
      <c r="C360" s="448"/>
      <c r="D360" s="448"/>
      <c r="E360" s="449"/>
      <c r="F360" s="450"/>
      <c r="G360" s="451"/>
      <c r="H360" s="451" t="s">
        <v>3106</v>
      </c>
      <c r="I360" s="474">
        <v>3750</v>
      </c>
      <c r="J360" s="474"/>
      <c r="K360" s="446"/>
      <c r="M360" s="469"/>
      <c r="N360" s="453"/>
      <c r="O360" s="454"/>
      <c r="P360" s="454"/>
      <c r="Q360" s="454"/>
      <c r="R360" s="454"/>
      <c r="S360" s="455"/>
    </row>
    <row r="361" spans="1:21" ht="12.75" customHeight="1">
      <c r="A361" s="446">
        <f t="shared" si="12"/>
        <v>7</v>
      </c>
      <c r="B361" s="573" t="s">
        <v>3155</v>
      </c>
      <c r="C361" s="574"/>
      <c r="D361" s="448"/>
      <c r="E361" s="449"/>
      <c r="F361" s="450"/>
      <c r="G361" s="451"/>
      <c r="H361" s="556" t="s">
        <v>888</v>
      </c>
      <c r="I361" s="458">
        <v>102000</v>
      </c>
      <c r="J361" s="458"/>
      <c r="K361" s="446"/>
      <c r="M361" s="469">
        <f t="shared" si="10"/>
        <v>105000</v>
      </c>
      <c r="N361" s="453"/>
      <c r="O361" s="454">
        <v>105000</v>
      </c>
      <c r="P361" s="454"/>
      <c r="Q361" s="454"/>
      <c r="R361" s="454"/>
      <c r="S361" s="455"/>
    </row>
    <row r="362" spans="1:21" ht="12.75" customHeight="1">
      <c r="A362" s="446"/>
      <c r="B362" s="573"/>
      <c r="C362" s="574"/>
      <c r="D362" s="448"/>
      <c r="E362" s="449"/>
      <c r="F362" s="450"/>
      <c r="G362" s="451"/>
      <c r="H362" s="556"/>
      <c r="I362" s="458"/>
      <c r="J362" s="458"/>
      <c r="K362" s="446"/>
      <c r="M362" s="469"/>
      <c r="N362" s="453"/>
      <c r="O362" s="454"/>
      <c r="P362" s="454"/>
      <c r="Q362" s="454"/>
      <c r="R362" s="454"/>
      <c r="S362" s="455"/>
    </row>
    <row r="363" spans="1:21">
      <c r="A363" s="477"/>
      <c r="B363" s="484" t="s">
        <v>3156</v>
      </c>
      <c r="C363" s="485"/>
      <c r="D363" s="485"/>
      <c r="E363" s="538"/>
      <c r="F363" s="478"/>
      <c r="G363" s="451"/>
      <c r="H363" s="451"/>
      <c r="I363" s="445"/>
      <c r="J363" s="445"/>
      <c r="K363" s="446"/>
      <c r="M363" s="469"/>
      <c r="N363" s="453"/>
      <c r="O363" s="454"/>
      <c r="P363" s="454"/>
      <c r="Q363" s="454"/>
      <c r="R363" s="454"/>
      <c r="S363" s="455"/>
    </row>
    <row r="364" spans="1:21">
      <c r="A364" s="446">
        <v>1</v>
      </c>
      <c r="B364" s="447" t="s">
        <v>3157</v>
      </c>
      <c r="C364" s="448"/>
      <c r="D364" s="448"/>
      <c r="E364" s="449"/>
      <c r="F364" s="450"/>
      <c r="G364" s="451"/>
      <c r="H364" s="451" t="s">
        <v>773</v>
      </c>
      <c r="I364" s="440">
        <v>70000</v>
      </c>
      <c r="J364" s="440"/>
      <c r="K364" s="446"/>
      <c r="M364" s="469">
        <f t="shared" si="10"/>
        <v>62600</v>
      </c>
      <c r="N364" s="453">
        <v>56000</v>
      </c>
      <c r="O364" s="454">
        <v>72000</v>
      </c>
      <c r="P364" s="454">
        <v>75000</v>
      </c>
      <c r="Q364" s="454"/>
      <c r="R364" s="454">
        <v>55000</v>
      </c>
      <c r="S364" s="455">
        <v>55000</v>
      </c>
    </row>
    <row r="365" spans="1:21">
      <c r="A365" s="446">
        <f t="shared" ref="A365:A387" si="13">A364+1</f>
        <v>2</v>
      </c>
      <c r="B365" s="447" t="s">
        <v>3158</v>
      </c>
      <c r="C365" s="448"/>
      <c r="D365" s="448"/>
      <c r="E365" s="449"/>
      <c r="F365" s="450"/>
      <c r="G365" s="451"/>
      <c r="H365" s="451" t="s">
        <v>773</v>
      </c>
      <c r="I365" s="440">
        <v>70000</v>
      </c>
      <c r="J365" s="440"/>
      <c r="K365" s="446"/>
      <c r="M365" s="469">
        <f t="shared" si="10"/>
        <v>50000</v>
      </c>
      <c r="N365" s="453"/>
      <c r="O365" s="454"/>
      <c r="P365" s="454"/>
      <c r="Q365" s="454"/>
      <c r="R365" s="454">
        <v>50000</v>
      </c>
      <c r="S365" s="455"/>
    </row>
    <row r="366" spans="1:21">
      <c r="A366" s="446">
        <f t="shared" si="13"/>
        <v>3</v>
      </c>
      <c r="B366" s="447" t="s">
        <v>3159</v>
      </c>
      <c r="C366" s="448"/>
      <c r="D366" s="448"/>
      <c r="E366" s="449"/>
      <c r="F366" s="450"/>
      <c r="G366" s="451"/>
      <c r="H366" s="451" t="s">
        <v>773</v>
      </c>
      <c r="I366" s="440">
        <v>25000</v>
      </c>
      <c r="J366" s="440"/>
      <c r="K366" s="446"/>
      <c r="M366" s="469">
        <f t="shared" si="10"/>
        <v>27666.666666666668</v>
      </c>
      <c r="N366" s="453">
        <v>27000</v>
      </c>
      <c r="O366" s="454" t="s">
        <v>4528</v>
      </c>
      <c r="P366" s="454"/>
      <c r="Q366" s="454">
        <v>30000</v>
      </c>
      <c r="R366" s="454"/>
      <c r="S366" s="455">
        <v>26000</v>
      </c>
      <c r="U366" s="452">
        <f>39000/5</f>
        <v>7800</v>
      </c>
    </row>
    <row r="367" spans="1:21">
      <c r="A367" s="446">
        <f t="shared" si="13"/>
        <v>4</v>
      </c>
      <c r="B367" s="447" t="s">
        <v>3160</v>
      </c>
      <c r="C367" s="448"/>
      <c r="D367" s="448"/>
      <c r="E367" s="449"/>
      <c r="F367" s="450"/>
      <c r="G367" s="451"/>
      <c r="H367" s="451" t="s">
        <v>773</v>
      </c>
      <c r="I367" s="440">
        <v>37000</v>
      </c>
      <c r="J367" s="440"/>
      <c r="K367" s="446"/>
      <c r="M367" s="469">
        <f t="shared" si="10"/>
        <v>171900</v>
      </c>
      <c r="N367" s="453">
        <v>36500</v>
      </c>
      <c r="O367" s="454" t="s">
        <v>4529</v>
      </c>
      <c r="P367" s="454">
        <v>42000</v>
      </c>
      <c r="Q367" s="454">
        <v>125000</v>
      </c>
      <c r="R367" s="454">
        <v>620000</v>
      </c>
      <c r="S367" s="455">
        <v>36000</v>
      </c>
      <c r="U367" s="452">
        <f>96000/5</f>
        <v>19200</v>
      </c>
    </row>
    <row r="368" spans="1:21">
      <c r="A368" s="446">
        <f t="shared" si="13"/>
        <v>5</v>
      </c>
      <c r="B368" s="447" t="s">
        <v>3161</v>
      </c>
      <c r="C368" s="448"/>
      <c r="D368" s="448"/>
      <c r="E368" s="449"/>
      <c r="F368" s="450"/>
      <c r="G368" s="451"/>
      <c r="H368" s="451" t="s">
        <v>773</v>
      </c>
      <c r="I368" s="440">
        <v>90000</v>
      </c>
      <c r="J368" s="440"/>
      <c r="K368" s="446"/>
      <c r="M368" s="469">
        <f t="shared" si="10"/>
        <v>37500</v>
      </c>
      <c r="N368" s="453"/>
      <c r="O368" s="454">
        <v>37500</v>
      </c>
      <c r="P368" s="454"/>
      <c r="Q368" s="454"/>
      <c r="R368" s="454"/>
      <c r="S368" s="455"/>
    </row>
    <row r="369" spans="1:19">
      <c r="A369" s="446">
        <f t="shared" si="13"/>
        <v>6</v>
      </c>
      <c r="B369" s="447" t="s">
        <v>4545</v>
      </c>
      <c r="C369" s="448"/>
      <c r="D369" s="448"/>
      <c r="E369" s="449"/>
      <c r="F369" s="450"/>
      <c r="G369" s="451"/>
      <c r="H369" s="451" t="s">
        <v>773</v>
      </c>
      <c r="I369" s="440">
        <v>52500</v>
      </c>
      <c r="J369" s="440"/>
      <c r="K369" s="446"/>
      <c r="M369" s="469"/>
      <c r="N369" s="453"/>
      <c r="O369" s="454"/>
      <c r="P369" s="454"/>
      <c r="Q369" s="454"/>
      <c r="R369" s="454"/>
      <c r="S369" s="455"/>
    </row>
    <row r="370" spans="1:19">
      <c r="A370" s="446">
        <f t="shared" si="13"/>
        <v>7</v>
      </c>
      <c r="B370" s="447" t="s">
        <v>3162</v>
      </c>
      <c r="C370" s="448"/>
      <c r="D370" s="448"/>
      <c r="E370" s="449"/>
      <c r="F370" s="450"/>
      <c r="G370" s="451"/>
      <c r="H370" s="451" t="s">
        <v>773</v>
      </c>
      <c r="I370" s="440">
        <v>61000</v>
      </c>
      <c r="J370" s="440"/>
      <c r="K370" s="446"/>
      <c r="M370" s="469">
        <f t="shared" si="10"/>
        <v>37000</v>
      </c>
      <c r="N370" s="453"/>
      <c r="O370" s="454">
        <v>49000</v>
      </c>
      <c r="P370" s="454"/>
      <c r="Q370" s="454"/>
      <c r="R370" s="454">
        <v>25000</v>
      </c>
      <c r="S370" s="455"/>
    </row>
    <row r="371" spans="1:19">
      <c r="A371" s="446">
        <f t="shared" si="13"/>
        <v>8</v>
      </c>
      <c r="B371" s="447" t="s">
        <v>3163</v>
      </c>
      <c r="C371" s="448"/>
      <c r="D371" s="448"/>
      <c r="E371" s="449"/>
      <c r="F371" s="450"/>
      <c r="G371" s="451"/>
      <c r="H371" s="451" t="s">
        <v>773</v>
      </c>
      <c r="I371" s="440">
        <v>37000</v>
      </c>
      <c r="J371" s="440"/>
      <c r="K371" s="446"/>
      <c r="M371" s="469">
        <f t="shared" si="10"/>
        <v>90000</v>
      </c>
      <c r="N371" s="453"/>
      <c r="O371" s="454"/>
      <c r="P371" s="454"/>
      <c r="Q371" s="454"/>
      <c r="R371" s="454">
        <v>90000</v>
      </c>
      <c r="S371" s="455"/>
    </row>
    <row r="372" spans="1:19">
      <c r="A372" s="446">
        <f t="shared" si="13"/>
        <v>9</v>
      </c>
      <c r="B372" s="447" t="s">
        <v>3164</v>
      </c>
      <c r="C372" s="448"/>
      <c r="D372" s="448"/>
      <c r="E372" s="449"/>
      <c r="F372" s="450"/>
      <c r="G372" s="451"/>
      <c r="H372" s="451" t="s">
        <v>773</v>
      </c>
      <c r="I372" s="440">
        <v>37000</v>
      </c>
      <c r="J372" s="440"/>
      <c r="K372" s="446"/>
      <c r="M372" s="469">
        <f t="shared" si="10"/>
        <v>45000</v>
      </c>
      <c r="N372" s="453"/>
      <c r="O372" s="454"/>
      <c r="P372" s="454"/>
      <c r="Q372" s="454">
        <v>45000</v>
      </c>
      <c r="R372" s="454"/>
      <c r="S372" s="455"/>
    </row>
    <row r="373" spans="1:19">
      <c r="A373" s="446">
        <f t="shared" si="13"/>
        <v>10</v>
      </c>
      <c r="B373" s="447" t="s">
        <v>3165</v>
      </c>
      <c r="C373" s="448"/>
      <c r="D373" s="448"/>
      <c r="E373" s="449"/>
      <c r="F373" s="450"/>
      <c r="G373" s="451"/>
      <c r="H373" s="451" t="s">
        <v>773</v>
      </c>
      <c r="I373" s="440">
        <v>35000</v>
      </c>
      <c r="J373" s="440"/>
      <c r="K373" s="446"/>
      <c r="M373" s="469">
        <f t="shared" si="10"/>
        <v>85000</v>
      </c>
      <c r="N373" s="453"/>
      <c r="O373" s="454"/>
      <c r="P373" s="454"/>
      <c r="Q373" s="454">
        <v>85000</v>
      </c>
      <c r="R373" s="454"/>
      <c r="S373" s="455"/>
    </row>
    <row r="374" spans="1:19">
      <c r="A374" s="446">
        <f t="shared" si="13"/>
        <v>11</v>
      </c>
      <c r="B374" s="447" t="s">
        <v>1378</v>
      </c>
      <c r="C374" s="448"/>
      <c r="D374" s="448"/>
      <c r="E374" s="449"/>
      <c r="F374" s="450"/>
      <c r="G374" s="451"/>
      <c r="H374" s="451" t="s">
        <v>773</v>
      </c>
      <c r="I374" s="440">
        <v>51000</v>
      </c>
      <c r="J374" s="440"/>
      <c r="K374" s="446"/>
      <c r="M374" s="469">
        <f t="shared" si="10"/>
        <v>50000</v>
      </c>
      <c r="N374" s="453"/>
      <c r="O374" s="454"/>
      <c r="P374" s="454"/>
      <c r="Q374" s="454"/>
      <c r="R374" s="454">
        <v>50000</v>
      </c>
      <c r="S374" s="455"/>
    </row>
    <row r="375" spans="1:19">
      <c r="A375" s="446">
        <f t="shared" si="13"/>
        <v>12</v>
      </c>
      <c r="B375" s="447" t="s">
        <v>3612</v>
      </c>
      <c r="C375" s="448"/>
      <c r="D375" s="448"/>
      <c r="E375" s="449"/>
      <c r="F375" s="450"/>
      <c r="G375" s="451"/>
      <c r="H375" s="451" t="s">
        <v>773</v>
      </c>
      <c r="I375" s="440">
        <v>51000</v>
      </c>
      <c r="J375" s="440"/>
      <c r="K375" s="446"/>
      <c r="M375" s="469"/>
      <c r="N375" s="453"/>
      <c r="O375" s="454"/>
      <c r="P375" s="454"/>
      <c r="Q375" s="454"/>
      <c r="R375" s="454"/>
      <c r="S375" s="455"/>
    </row>
    <row r="376" spans="1:19">
      <c r="A376" s="446">
        <f t="shared" si="13"/>
        <v>13</v>
      </c>
      <c r="B376" s="447" t="s">
        <v>1384</v>
      </c>
      <c r="C376" s="448"/>
      <c r="D376" s="448"/>
      <c r="E376" s="449"/>
      <c r="F376" s="450"/>
      <c r="G376" s="451"/>
      <c r="H376" s="451" t="s">
        <v>690</v>
      </c>
      <c r="I376" s="440">
        <v>16500</v>
      </c>
      <c r="J376" s="440"/>
      <c r="K376" s="446"/>
      <c r="M376" s="469">
        <f t="shared" si="10"/>
        <v>5000</v>
      </c>
      <c r="N376" s="453"/>
      <c r="O376" s="454"/>
      <c r="P376" s="454"/>
      <c r="Q376" s="454"/>
      <c r="R376" s="454">
        <v>5000</v>
      </c>
      <c r="S376" s="455"/>
    </row>
    <row r="377" spans="1:19">
      <c r="A377" s="446">
        <f t="shared" si="13"/>
        <v>14</v>
      </c>
      <c r="B377" s="447" t="s">
        <v>3166</v>
      </c>
      <c r="C377" s="448"/>
      <c r="D377" s="448"/>
      <c r="E377" s="449"/>
      <c r="F377" s="450"/>
      <c r="G377" s="451"/>
      <c r="H377" s="451" t="s">
        <v>773</v>
      </c>
      <c r="I377" s="440">
        <v>20000</v>
      </c>
      <c r="J377" s="440"/>
      <c r="K377" s="446"/>
      <c r="M377" s="469"/>
      <c r="N377" s="453"/>
      <c r="O377" s="454"/>
      <c r="P377" s="454"/>
      <c r="Q377" s="454"/>
      <c r="R377" s="454"/>
      <c r="S377" s="455"/>
    </row>
    <row r="378" spans="1:19">
      <c r="A378" s="446">
        <f t="shared" si="13"/>
        <v>15</v>
      </c>
      <c r="B378" s="447" t="s">
        <v>3167</v>
      </c>
      <c r="C378" s="448"/>
      <c r="D378" s="448"/>
      <c r="E378" s="449"/>
      <c r="F378" s="450"/>
      <c r="G378" s="451"/>
      <c r="H378" s="451" t="s">
        <v>773</v>
      </c>
      <c r="I378" s="440">
        <v>7500</v>
      </c>
      <c r="J378" s="440"/>
      <c r="K378" s="446"/>
      <c r="M378" s="469">
        <f t="shared" ref="M378:M440" si="14">AVERAGE(N378:S378)</f>
        <v>28500</v>
      </c>
      <c r="N378" s="453"/>
      <c r="O378" s="454"/>
      <c r="P378" s="454">
        <v>7000</v>
      </c>
      <c r="Q378" s="454"/>
      <c r="R378" s="454">
        <v>50000</v>
      </c>
      <c r="S378" s="455"/>
    </row>
    <row r="379" spans="1:19">
      <c r="A379" s="446">
        <f t="shared" si="13"/>
        <v>16</v>
      </c>
      <c r="B379" s="447" t="s">
        <v>3168</v>
      </c>
      <c r="C379" s="448"/>
      <c r="D379" s="448"/>
      <c r="E379" s="449"/>
      <c r="F379" s="450"/>
      <c r="G379" s="451"/>
      <c r="H379" s="451" t="s">
        <v>773</v>
      </c>
      <c r="I379" s="440">
        <v>37000</v>
      </c>
      <c r="J379" s="440"/>
      <c r="K379" s="446"/>
      <c r="M379" s="469">
        <f t="shared" si="14"/>
        <v>40000</v>
      </c>
      <c r="N379" s="453"/>
      <c r="O379" s="454"/>
      <c r="P379" s="454"/>
      <c r="Q379" s="454">
        <v>40000</v>
      </c>
      <c r="R379" s="454"/>
      <c r="S379" s="455"/>
    </row>
    <row r="380" spans="1:19">
      <c r="A380" s="446">
        <f t="shared" si="13"/>
        <v>17</v>
      </c>
      <c r="B380" s="447" t="s">
        <v>3169</v>
      </c>
      <c r="C380" s="448"/>
      <c r="D380" s="448"/>
      <c r="E380" s="449"/>
      <c r="F380" s="450"/>
      <c r="G380" s="451"/>
      <c r="H380" s="451" t="s">
        <v>773</v>
      </c>
      <c r="I380" s="440">
        <v>18000</v>
      </c>
      <c r="J380" s="440"/>
      <c r="K380" s="446"/>
      <c r="M380" s="469">
        <f t="shared" si="14"/>
        <v>6500</v>
      </c>
      <c r="N380" s="453"/>
      <c r="O380" s="454"/>
      <c r="P380" s="454"/>
      <c r="Q380" s="454">
        <v>8000</v>
      </c>
      <c r="R380" s="454">
        <v>5000</v>
      </c>
      <c r="S380" s="455"/>
    </row>
    <row r="381" spans="1:19">
      <c r="A381" s="446">
        <f t="shared" si="13"/>
        <v>18</v>
      </c>
      <c r="B381" s="447" t="s">
        <v>3170</v>
      </c>
      <c r="C381" s="448"/>
      <c r="D381" s="448"/>
      <c r="E381" s="449"/>
      <c r="F381" s="450"/>
      <c r="G381" s="451"/>
      <c r="H381" s="451" t="s">
        <v>2939</v>
      </c>
      <c r="I381" s="440">
        <v>8400</v>
      </c>
      <c r="J381" s="440"/>
      <c r="K381" s="446"/>
      <c r="M381" s="469"/>
      <c r="N381" s="453"/>
      <c r="O381" s="454"/>
      <c r="P381" s="454"/>
      <c r="Q381" s="454"/>
      <c r="R381" s="454"/>
      <c r="S381" s="455"/>
    </row>
    <row r="382" spans="1:19">
      <c r="A382" s="446">
        <f t="shared" si="13"/>
        <v>19</v>
      </c>
      <c r="B382" s="447" t="s">
        <v>4546</v>
      </c>
      <c r="C382" s="448"/>
      <c r="D382" s="448"/>
      <c r="E382" s="449"/>
      <c r="F382" s="450"/>
      <c r="G382" s="451"/>
      <c r="H382" s="451" t="s">
        <v>2647</v>
      </c>
      <c r="I382" s="440">
        <v>26200</v>
      </c>
      <c r="J382" s="440"/>
      <c r="K382" s="446"/>
      <c r="M382" s="469"/>
      <c r="N382" s="453"/>
      <c r="O382" s="454"/>
      <c r="P382" s="454"/>
      <c r="Q382" s="454"/>
      <c r="R382" s="454"/>
      <c r="S382" s="455"/>
    </row>
    <row r="383" spans="1:19">
      <c r="A383" s="446">
        <f t="shared" si="13"/>
        <v>20</v>
      </c>
      <c r="B383" s="447" t="s">
        <v>3503</v>
      </c>
      <c r="C383" s="448"/>
      <c r="D383" s="448"/>
      <c r="E383" s="449"/>
      <c r="F383" s="450"/>
      <c r="G383" s="451"/>
      <c r="H383" s="451" t="s">
        <v>2939</v>
      </c>
      <c r="I383" s="440">
        <v>25000</v>
      </c>
      <c r="J383" s="440"/>
      <c r="K383" s="446"/>
      <c r="M383" s="469">
        <f t="shared" si="14"/>
        <v>19666.666666666668</v>
      </c>
      <c r="N383" s="453"/>
      <c r="O383" s="454">
        <v>14000</v>
      </c>
      <c r="P383" s="454">
        <v>25000</v>
      </c>
      <c r="Q383" s="454"/>
      <c r="R383" s="454">
        <v>20000</v>
      </c>
      <c r="S383" s="455"/>
    </row>
    <row r="384" spans="1:19">
      <c r="A384" s="446">
        <f t="shared" si="13"/>
        <v>21</v>
      </c>
      <c r="B384" s="447" t="s">
        <v>1367</v>
      </c>
      <c r="C384" s="448"/>
      <c r="D384" s="448"/>
      <c r="E384" s="449"/>
      <c r="F384" s="450"/>
      <c r="G384" s="451"/>
      <c r="H384" s="451" t="s">
        <v>773</v>
      </c>
      <c r="I384" s="440">
        <v>12000</v>
      </c>
      <c r="J384" s="440"/>
      <c r="K384" s="446"/>
      <c r="M384" s="469"/>
      <c r="N384" s="453"/>
      <c r="O384" s="454"/>
      <c r="P384" s="454"/>
      <c r="Q384" s="454"/>
      <c r="R384" s="454"/>
      <c r="S384" s="455"/>
    </row>
    <row r="385" spans="1:19">
      <c r="A385" s="446">
        <f t="shared" si="13"/>
        <v>22</v>
      </c>
      <c r="B385" s="447" t="s">
        <v>3630</v>
      </c>
      <c r="C385" s="448"/>
      <c r="D385" s="448"/>
      <c r="E385" s="449"/>
      <c r="F385" s="450"/>
      <c r="G385" s="451"/>
      <c r="H385" s="451" t="s">
        <v>2939</v>
      </c>
      <c r="I385" s="440">
        <v>65000</v>
      </c>
      <c r="J385" s="440"/>
      <c r="K385" s="446"/>
      <c r="M385" s="469"/>
      <c r="N385" s="453"/>
      <c r="O385" s="454"/>
      <c r="P385" s="454"/>
      <c r="Q385" s="454"/>
      <c r="R385" s="454"/>
      <c r="S385" s="455"/>
    </row>
    <row r="386" spans="1:19">
      <c r="A386" s="446">
        <f t="shared" si="13"/>
        <v>23</v>
      </c>
      <c r="B386" s="447" t="s">
        <v>3631</v>
      </c>
      <c r="C386" s="448"/>
      <c r="D386" s="448"/>
      <c r="E386" s="449"/>
      <c r="F386" s="450"/>
      <c r="G386" s="451"/>
      <c r="H386" s="451" t="s">
        <v>773</v>
      </c>
      <c r="I386" s="440">
        <v>12000</v>
      </c>
      <c r="J386" s="440"/>
      <c r="K386" s="446"/>
      <c r="M386" s="469"/>
      <c r="N386" s="453"/>
      <c r="O386" s="454"/>
      <c r="P386" s="454"/>
      <c r="Q386" s="454"/>
      <c r="R386" s="454"/>
      <c r="S386" s="455"/>
    </row>
    <row r="387" spans="1:19">
      <c r="A387" s="446">
        <f t="shared" si="13"/>
        <v>24</v>
      </c>
      <c r="B387" s="447" t="s">
        <v>1390</v>
      </c>
      <c r="C387" s="448"/>
      <c r="D387" s="448"/>
      <c r="E387" s="449"/>
      <c r="F387" s="450"/>
      <c r="G387" s="451"/>
      <c r="H387" s="451" t="s">
        <v>3632</v>
      </c>
      <c r="I387" s="440">
        <v>10000</v>
      </c>
      <c r="J387" s="440"/>
      <c r="K387" s="446"/>
      <c r="M387" s="469"/>
      <c r="N387" s="453"/>
      <c r="O387" s="454"/>
      <c r="P387" s="454"/>
      <c r="Q387" s="454"/>
      <c r="R387" s="454"/>
      <c r="S387" s="455"/>
    </row>
    <row r="388" spans="1:19">
      <c r="A388" s="446"/>
      <c r="B388" s="447"/>
      <c r="C388" s="448"/>
      <c r="D388" s="448"/>
      <c r="E388" s="449"/>
      <c r="F388" s="450"/>
      <c r="G388" s="451"/>
      <c r="H388" s="451"/>
      <c r="I388" s="440"/>
      <c r="J388" s="440"/>
      <c r="K388" s="446"/>
      <c r="M388" s="469"/>
      <c r="N388" s="453"/>
      <c r="O388" s="454"/>
      <c r="P388" s="454"/>
      <c r="Q388" s="454"/>
      <c r="R388" s="454"/>
      <c r="S388" s="455"/>
    </row>
    <row r="389" spans="1:19">
      <c r="A389" s="477"/>
      <c r="B389" s="484" t="s">
        <v>3171</v>
      </c>
      <c r="C389" s="485"/>
      <c r="D389" s="485"/>
      <c r="E389" s="538"/>
      <c r="F389" s="478"/>
      <c r="G389" s="451"/>
      <c r="H389" s="451"/>
      <c r="I389" s="445"/>
      <c r="J389" s="445"/>
      <c r="K389" s="446"/>
      <c r="M389" s="469"/>
      <c r="N389" s="453"/>
      <c r="O389" s="454"/>
      <c r="P389" s="454"/>
      <c r="Q389" s="454"/>
      <c r="R389" s="454"/>
      <c r="S389" s="455"/>
    </row>
    <row r="390" spans="1:19">
      <c r="A390" s="446">
        <v>1</v>
      </c>
      <c r="B390" s="447" t="s">
        <v>3172</v>
      </c>
      <c r="C390" s="448"/>
      <c r="D390" s="448"/>
      <c r="E390" s="449"/>
      <c r="F390" s="450"/>
      <c r="G390" s="451"/>
      <c r="H390" s="451" t="s">
        <v>1423</v>
      </c>
      <c r="I390" s="440">
        <v>410000</v>
      </c>
      <c r="J390" s="440"/>
      <c r="K390" s="446"/>
      <c r="M390" s="469">
        <f t="shared" si="14"/>
        <v>371600</v>
      </c>
      <c r="N390" s="453">
        <v>460000</v>
      </c>
      <c r="O390" s="454">
        <v>400000</v>
      </c>
      <c r="P390" s="454">
        <v>398000</v>
      </c>
      <c r="Q390" s="454"/>
      <c r="R390" s="454">
        <v>150000</v>
      </c>
      <c r="S390" s="455">
        <v>450000</v>
      </c>
    </row>
    <row r="391" spans="1:19">
      <c r="A391" s="446">
        <v>2</v>
      </c>
      <c r="B391" s="447" t="s">
        <v>3173</v>
      </c>
      <c r="C391" s="448"/>
      <c r="D391" s="448"/>
      <c r="E391" s="449"/>
      <c r="F391" s="450"/>
      <c r="G391" s="451"/>
      <c r="H391" s="451" t="s">
        <v>2997</v>
      </c>
      <c r="I391" s="440">
        <v>790000</v>
      </c>
      <c r="J391" s="440"/>
      <c r="K391" s="446"/>
      <c r="M391" s="469">
        <f t="shared" si="14"/>
        <v>516666.66666666669</v>
      </c>
      <c r="N391" s="453"/>
      <c r="O391" s="454">
        <v>250000</v>
      </c>
      <c r="P391" s="454">
        <v>850000</v>
      </c>
      <c r="Q391" s="454"/>
      <c r="R391" s="454">
        <v>450000</v>
      </c>
      <c r="S391" s="455"/>
    </row>
    <row r="392" spans="1:19">
      <c r="A392" s="446">
        <v>3</v>
      </c>
      <c r="B392" s="447" t="s">
        <v>3174</v>
      </c>
      <c r="C392" s="448"/>
      <c r="D392" s="448"/>
      <c r="E392" s="449"/>
      <c r="F392" s="450"/>
      <c r="G392" s="451"/>
      <c r="H392" s="451" t="s">
        <v>2647</v>
      </c>
      <c r="I392" s="440">
        <v>17000</v>
      </c>
      <c r="J392" s="440"/>
      <c r="K392" s="446"/>
      <c r="M392" s="469"/>
      <c r="N392" s="453"/>
      <c r="O392" s="454"/>
      <c r="P392" s="454"/>
      <c r="Q392" s="454"/>
      <c r="R392" s="454"/>
      <c r="S392" s="455"/>
    </row>
    <row r="393" spans="1:19">
      <c r="A393" s="446">
        <v>4</v>
      </c>
      <c r="B393" s="447" t="s">
        <v>3175</v>
      </c>
      <c r="C393" s="448"/>
      <c r="D393" s="448"/>
      <c r="E393" s="449"/>
      <c r="F393" s="450"/>
      <c r="G393" s="451"/>
      <c r="H393" s="451" t="s">
        <v>1423</v>
      </c>
      <c r="I393" s="440">
        <v>28900</v>
      </c>
      <c r="J393" s="440"/>
      <c r="K393" s="446"/>
      <c r="M393" s="469">
        <f t="shared" si="14"/>
        <v>30800</v>
      </c>
      <c r="N393" s="453">
        <v>36000</v>
      </c>
      <c r="O393" s="454">
        <v>35000</v>
      </c>
      <c r="P393" s="454">
        <v>28000</v>
      </c>
      <c r="Q393" s="454"/>
      <c r="R393" s="454">
        <v>20000</v>
      </c>
      <c r="S393" s="455">
        <v>35000</v>
      </c>
    </row>
    <row r="394" spans="1:19">
      <c r="A394" s="446">
        <v>5</v>
      </c>
      <c r="B394" s="447" t="s">
        <v>3623</v>
      </c>
      <c r="C394" s="448"/>
      <c r="D394" s="448"/>
      <c r="E394" s="449"/>
      <c r="F394" s="450"/>
      <c r="G394" s="451"/>
      <c r="H394" s="451" t="s">
        <v>1423</v>
      </c>
      <c r="I394" s="440">
        <v>30000</v>
      </c>
      <c r="J394" s="440"/>
      <c r="K394" s="446"/>
      <c r="M394" s="469"/>
      <c r="N394" s="453"/>
      <c r="O394" s="454"/>
      <c r="P394" s="454"/>
      <c r="Q394" s="454"/>
      <c r="R394" s="454"/>
      <c r="S394" s="455"/>
    </row>
    <row r="395" spans="1:19">
      <c r="A395" s="446">
        <v>6</v>
      </c>
      <c r="B395" s="447" t="s">
        <v>3176</v>
      </c>
      <c r="C395" s="448"/>
      <c r="D395" s="448"/>
      <c r="E395" s="449"/>
      <c r="F395" s="450"/>
      <c r="G395" s="451"/>
      <c r="H395" s="451" t="s">
        <v>3177</v>
      </c>
      <c r="I395" s="440">
        <v>65500</v>
      </c>
      <c r="J395" s="440"/>
      <c r="K395" s="446"/>
      <c r="M395" s="469"/>
      <c r="N395" s="453"/>
      <c r="O395" s="454"/>
      <c r="P395" s="454"/>
      <c r="Q395" s="454"/>
      <c r="R395" s="454"/>
      <c r="S395" s="455"/>
    </row>
    <row r="396" spans="1:19">
      <c r="A396" s="446">
        <v>7</v>
      </c>
      <c r="B396" s="447" t="s">
        <v>3178</v>
      </c>
      <c r="C396" s="448"/>
      <c r="D396" s="448"/>
      <c r="E396" s="449"/>
      <c r="F396" s="450"/>
      <c r="G396" s="451"/>
      <c r="H396" s="451" t="s">
        <v>1423</v>
      </c>
      <c r="I396" s="474">
        <v>1500000</v>
      </c>
      <c r="J396" s="474"/>
      <c r="K396" s="446"/>
      <c r="M396" s="469">
        <f t="shared" si="14"/>
        <v>800000</v>
      </c>
      <c r="N396" s="453"/>
      <c r="O396" s="454"/>
      <c r="P396" s="454">
        <v>1500000</v>
      </c>
      <c r="Q396" s="454"/>
      <c r="R396" s="454">
        <v>100000</v>
      </c>
      <c r="S396" s="455"/>
    </row>
    <row r="397" spans="1:19">
      <c r="A397" s="446">
        <v>8</v>
      </c>
      <c r="B397" s="447" t="s">
        <v>3179</v>
      </c>
      <c r="C397" s="448"/>
      <c r="D397" s="448"/>
      <c r="E397" s="449"/>
      <c r="F397" s="450"/>
      <c r="G397" s="451"/>
      <c r="H397" s="451" t="s">
        <v>1423</v>
      </c>
      <c r="I397" s="474">
        <v>2550000</v>
      </c>
      <c r="J397" s="474"/>
      <c r="K397" s="446"/>
      <c r="M397" s="469">
        <f t="shared" si="14"/>
        <v>1600000</v>
      </c>
      <c r="N397" s="453"/>
      <c r="O397" s="454"/>
      <c r="P397" s="454">
        <v>1850000</v>
      </c>
      <c r="Q397" s="454"/>
      <c r="R397" s="454">
        <v>1350000</v>
      </c>
      <c r="S397" s="455"/>
    </row>
    <row r="398" spans="1:19">
      <c r="A398" s="446">
        <v>9</v>
      </c>
      <c r="B398" s="447" t="s">
        <v>3180</v>
      </c>
      <c r="C398" s="448"/>
      <c r="D398" s="448"/>
      <c r="E398" s="449"/>
      <c r="F398" s="450"/>
      <c r="G398" s="451"/>
      <c r="H398" s="451" t="s">
        <v>1423</v>
      </c>
      <c r="I398" s="440">
        <v>144000</v>
      </c>
      <c r="J398" s="440"/>
      <c r="K398" s="446"/>
      <c r="M398" s="469">
        <f t="shared" si="14"/>
        <v>193333.33333333334</v>
      </c>
      <c r="N398" s="453">
        <v>300000</v>
      </c>
      <c r="O398" s="454">
        <v>150000</v>
      </c>
      <c r="P398" s="454">
        <v>170000</v>
      </c>
      <c r="Q398" s="454">
        <v>120000</v>
      </c>
      <c r="R398" s="454">
        <v>120000</v>
      </c>
      <c r="S398" s="455">
        <v>300000</v>
      </c>
    </row>
    <row r="399" spans="1:19">
      <c r="A399" s="446">
        <v>10</v>
      </c>
      <c r="B399" s="447" t="s">
        <v>3615</v>
      </c>
      <c r="C399" s="448"/>
      <c r="D399" s="448"/>
      <c r="E399" s="449"/>
      <c r="F399" s="450"/>
      <c r="G399" s="451"/>
      <c r="H399" s="451" t="s">
        <v>1423</v>
      </c>
      <c r="I399" s="440">
        <v>175000</v>
      </c>
      <c r="J399" s="440"/>
      <c r="K399" s="446"/>
      <c r="M399" s="469">
        <f t="shared" si="14"/>
        <v>462500</v>
      </c>
      <c r="N399" s="453">
        <v>650000</v>
      </c>
      <c r="O399" s="454"/>
      <c r="P399" s="454">
        <v>300000</v>
      </c>
      <c r="Q399" s="454"/>
      <c r="R399" s="454">
        <v>250000</v>
      </c>
      <c r="S399" s="455">
        <v>650000</v>
      </c>
    </row>
    <row r="400" spans="1:19">
      <c r="A400" s="446">
        <v>11</v>
      </c>
      <c r="B400" s="447" t="s">
        <v>3181</v>
      </c>
      <c r="C400" s="448"/>
      <c r="D400" s="448"/>
      <c r="E400" s="449"/>
      <c r="F400" s="450"/>
      <c r="G400" s="451"/>
      <c r="H400" s="451" t="s">
        <v>1423</v>
      </c>
      <c r="I400" s="440">
        <v>2414000</v>
      </c>
      <c r="J400" s="440"/>
      <c r="K400" s="446"/>
      <c r="M400" s="469">
        <f t="shared" si="14"/>
        <v>360000</v>
      </c>
      <c r="N400" s="453"/>
      <c r="O400" s="454"/>
      <c r="P400" s="454"/>
      <c r="Q400" s="454"/>
      <c r="R400" s="454">
        <v>360000</v>
      </c>
      <c r="S400" s="455"/>
    </row>
    <row r="401" spans="1:19">
      <c r="A401" s="446">
        <v>12</v>
      </c>
      <c r="B401" s="447" t="s">
        <v>3182</v>
      </c>
      <c r="C401" s="448"/>
      <c r="D401" s="448"/>
      <c r="E401" s="449"/>
      <c r="F401" s="450"/>
      <c r="G401" s="451"/>
      <c r="H401" s="451" t="s">
        <v>1423</v>
      </c>
      <c r="I401" s="440">
        <v>14000</v>
      </c>
      <c r="J401" s="440"/>
      <c r="K401" s="446"/>
      <c r="M401" s="469">
        <f t="shared" si="14"/>
        <v>24800</v>
      </c>
      <c r="N401" s="453">
        <v>42000</v>
      </c>
      <c r="O401" s="454">
        <v>15000</v>
      </c>
      <c r="P401" s="454">
        <v>17000</v>
      </c>
      <c r="Q401" s="454"/>
      <c r="R401" s="454">
        <v>10000</v>
      </c>
      <c r="S401" s="455">
        <v>40000</v>
      </c>
    </row>
    <row r="402" spans="1:19">
      <c r="A402" s="446">
        <v>13</v>
      </c>
      <c r="B402" s="447" t="s">
        <v>3183</v>
      </c>
      <c r="C402" s="448"/>
      <c r="D402" s="448"/>
      <c r="E402" s="449"/>
      <c r="F402" s="450"/>
      <c r="G402" s="451"/>
      <c r="H402" s="451" t="s">
        <v>1423</v>
      </c>
      <c r="I402" s="440">
        <v>37400</v>
      </c>
      <c r="J402" s="440"/>
      <c r="K402" s="446"/>
      <c r="M402" s="469">
        <f t="shared" si="14"/>
        <v>10000</v>
      </c>
      <c r="N402" s="453"/>
      <c r="O402" s="454"/>
      <c r="P402" s="454"/>
      <c r="Q402" s="454"/>
      <c r="R402" s="454">
        <v>10000</v>
      </c>
      <c r="S402" s="455"/>
    </row>
    <row r="403" spans="1:19">
      <c r="A403" s="446">
        <v>14</v>
      </c>
      <c r="B403" s="447" t="s">
        <v>3184</v>
      </c>
      <c r="C403" s="448"/>
      <c r="D403" s="448"/>
      <c r="E403" s="449"/>
      <c r="F403" s="450"/>
      <c r="G403" s="451"/>
      <c r="H403" s="451" t="s">
        <v>1423</v>
      </c>
      <c r="I403" s="440">
        <v>109650</v>
      </c>
      <c r="J403" s="440"/>
      <c r="K403" s="446"/>
      <c r="M403" s="469">
        <f t="shared" si="14"/>
        <v>120000</v>
      </c>
      <c r="N403" s="453"/>
      <c r="O403" s="454"/>
      <c r="P403" s="454">
        <v>120000</v>
      </c>
      <c r="Q403" s="454"/>
      <c r="R403" s="454"/>
      <c r="S403" s="455"/>
    </row>
    <row r="404" spans="1:19">
      <c r="A404" s="446">
        <v>15</v>
      </c>
      <c r="B404" s="447" t="s">
        <v>3185</v>
      </c>
      <c r="C404" s="448"/>
      <c r="D404" s="448"/>
      <c r="E404" s="449"/>
      <c r="F404" s="450"/>
      <c r="G404" s="451"/>
      <c r="H404" s="451" t="s">
        <v>1423</v>
      </c>
      <c r="I404" s="440">
        <v>136850</v>
      </c>
      <c r="J404" s="440"/>
      <c r="K404" s="446"/>
      <c r="M404" s="469"/>
      <c r="N404" s="453"/>
      <c r="O404" s="454"/>
      <c r="P404" s="454"/>
      <c r="Q404" s="454"/>
      <c r="R404" s="454"/>
      <c r="S404" s="455"/>
    </row>
    <row r="405" spans="1:19">
      <c r="A405" s="446">
        <v>16</v>
      </c>
      <c r="B405" s="447" t="s">
        <v>3186</v>
      </c>
      <c r="C405" s="448"/>
      <c r="D405" s="448"/>
      <c r="E405" s="449"/>
      <c r="F405" s="450"/>
      <c r="G405" s="451"/>
      <c r="H405" s="451" t="s">
        <v>1423</v>
      </c>
      <c r="I405" s="440">
        <v>190000</v>
      </c>
      <c r="J405" s="440"/>
      <c r="K405" s="446"/>
      <c r="M405" s="469">
        <f t="shared" si="14"/>
        <v>311500</v>
      </c>
      <c r="N405" s="453"/>
      <c r="O405" s="454"/>
      <c r="P405" s="454">
        <v>598000</v>
      </c>
      <c r="Q405" s="454"/>
      <c r="R405" s="454">
        <v>25000</v>
      </c>
      <c r="S405" s="455"/>
    </row>
    <row r="406" spans="1:19">
      <c r="A406" s="446">
        <v>17</v>
      </c>
      <c r="B406" s="447" t="s">
        <v>3187</v>
      </c>
      <c r="C406" s="448"/>
      <c r="D406" s="448"/>
      <c r="E406" s="449"/>
      <c r="F406" s="450"/>
      <c r="G406" s="451"/>
      <c r="H406" s="451" t="s">
        <v>1423</v>
      </c>
      <c r="I406" s="440">
        <v>116000</v>
      </c>
      <c r="J406" s="440"/>
      <c r="K406" s="446"/>
      <c r="M406" s="469"/>
      <c r="N406" s="453"/>
      <c r="O406" s="454"/>
      <c r="P406" s="454"/>
      <c r="Q406" s="454"/>
      <c r="R406" s="454"/>
      <c r="S406" s="455"/>
    </row>
    <row r="407" spans="1:19">
      <c r="A407" s="446">
        <v>18</v>
      </c>
      <c r="B407" s="447" t="s">
        <v>3188</v>
      </c>
      <c r="C407" s="448"/>
      <c r="D407" s="448"/>
      <c r="E407" s="449"/>
      <c r="F407" s="450"/>
      <c r="G407" s="451"/>
      <c r="H407" s="451" t="s">
        <v>1423</v>
      </c>
      <c r="I407" s="440">
        <v>23000</v>
      </c>
      <c r="J407" s="440"/>
      <c r="K407" s="446"/>
      <c r="M407" s="469">
        <f t="shared" si="14"/>
        <v>26666.666666666668</v>
      </c>
      <c r="N407" s="453"/>
      <c r="O407" s="454"/>
      <c r="P407" s="454">
        <v>55000</v>
      </c>
      <c r="Q407" s="454">
        <v>15000</v>
      </c>
      <c r="R407" s="454">
        <v>10000</v>
      </c>
      <c r="S407" s="455"/>
    </row>
    <row r="408" spans="1:19">
      <c r="A408" s="446">
        <v>19</v>
      </c>
      <c r="B408" s="447" t="s">
        <v>4642</v>
      </c>
      <c r="C408" s="448"/>
      <c r="D408" s="448"/>
      <c r="E408" s="449"/>
      <c r="F408" s="450"/>
      <c r="G408" s="451"/>
      <c r="H408" s="451" t="s">
        <v>1423</v>
      </c>
      <c r="I408" s="440">
        <v>650000</v>
      </c>
      <c r="J408" s="440"/>
      <c r="K408" s="446"/>
      <c r="M408" s="469"/>
      <c r="N408" s="453"/>
      <c r="O408" s="454"/>
      <c r="P408" s="454"/>
      <c r="Q408" s="454"/>
      <c r="R408" s="454"/>
      <c r="S408" s="455"/>
    </row>
    <row r="409" spans="1:19">
      <c r="A409" s="446">
        <v>20</v>
      </c>
      <c r="B409" s="447" t="s">
        <v>4643</v>
      </c>
      <c r="C409" s="448"/>
      <c r="D409" s="448"/>
      <c r="E409" s="449"/>
      <c r="F409" s="450"/>
      <c r="G409" s="451"/>
      <c r="H409" s="451" t="s">
        <v>1423</v>
      </c>
      <c r="I409" s="440">
        <v>265000</v>
      </c>
      <c r="J409" s="440"/>
      <c r="K409" s="446"/>
      <c r="M409" s="469"/>
      <c r="N409" s="453"/>
      <c r="O409" s="454"/>
      <c r="P409" s="454"/>
      <c r="Q409" s="454"/>
      <c r="R409" s="454"/>
      <c r="S409" s="455"/>
    </row>
    <row r="410" spans="1:19">
      <c r="A410" s="486">
        <v>21</v>
      </c>
      <c r="B410" s="487" t="s">
        <v>3189</v>
      </c>
      <c r="C410" s="488"/>
      <c r="D410" s="488"/>
      <c r="E410" s="489"/>
      <c r="F410" s="563"/>
      <c r="G410" s="490"/>
      <c r="H410" s="490" t="s">
        <v>1423</v>
      </c>
      <c r="I410" s="456">
        <v>4235000</v>
      </c>
      <c r="J410" s="456"/>
      <c r="K410" s="486"/>
      <c r="M410" s="469"/>
      <c r="N410" s="453"/>
      <c r="O410" s="454"/>
      <c r="P410" s="454"/>
      <c r="Q410" s="454"/>
      <c r="R410" s="454"/>
      <c r="S410" s="455"/>
    </row>
    <row r="411" spans="1:19">
      <c r="A411" s="491">
        <v>22</v>
      </c>
      <c r="B411" s="492" t="s">
        <v>3190</v>
      </c>
      <c r="C411" s="493"/>
      <c r="D411" s="493"/>
      <c r="E411" s="494"/>
      <c r="F411" s="530"/>
      <c r="G411" s="495"/>
      <c r="H411" s="495" t="s">
        <v>1346</v>
      </c>
      <c r="I411" s="457">
        <v>10100000</v>
      </c>
      <c r="J411" s="457"/>
      <c r="K411" s="491"/>
      <c r="M411" s="469"/>
      <c r="N411" s="453"/>
      <c r="O411" s="454"/>
      <c r="P411" s="454"/>
      <c r="Q411" s="454"/>
      <c r="R411" s="454"/>
      <c r="S411" s="455"/>
    </row>
    <row r="412" spans="1:19">
      <c r="A412" s="446">
        <v>23</v>
      </c>
      <c r="B412" s="447" t="s">
        <v>3191</v>
      </c>
      <c r="C412" s="448"/>
      <c r="D412" s="448"/>
      <c r="E412" s="449"/>
      <c r="F412" s="450"/>
      <c r="G412" s="451"/>
      <c r="H412" s="451" t="s">
        <v>1423</v>
      </c>
      <c r="I412" s="440">
        <v>43500</v>
      </c>
      <c r="J412" s="440"/>
      <c r="K412" s="446"/>
      <c r="M412" s="469">
        <f t="shared" si="14"/>
        <v>51500</v>
      </c>
      <c r="N412" s="453"/>
      <c r="O412" s="454"/>
      <c r="P412" s="454">
        <v>38000</v>
      </c>
      <c r="Q412" s="454"/>
      <c r="R412" s="454"/>
      <c r="S412" s="455">
        <v>65000</v>
      </c>
    </row>
    <row r="413" spans="1:19">
      <c r="A413" s="446">
        <v>24</v>
      </c>
      <c r="B413" s="447" t="s">
        <v>3192</v>
      </c>
      <c r="C413" s="448"/>
      <c r="D413" s="448"/>
      <c r="E413" s="449"/>
      <c r="F413" s="450"/>
      <c r="G413" s="451"/>
      <c r="H413" s="451" t="s">
        <v>1423</v>
      </c>
      <c r="I413" s="440">
        <v>1700000</v>
      </c>
      <c r="J413" s="440"/>
      <c r="K413" s="446"/>
      <c r="M413" s="469"/>
      <c r="N413" s="453"/>
      <c r="O413" s="454"/>
      <c r="P413" s="454"/>
      <c r="Q413" s="454"/>
      <c r="R413" s="454"/>
      <c r="S413" s="455"/>
    </row>
    <row r="414" spans="1:19">
      <c r="A414" s="446">
        <v>25</v>
      </c>
      <c r="B414" s="447" t="s">
        <v>3193</v>
      </c>
      <c r="C414" s="448"/>
      <c r="D414" s="448"/>
      <c r="E414" s="449"/>
      <c r="F414" s="450"/>
      <c r="G414" s="451"/>
      <c r="H414" s="451" t="s">
        <v>1423</v>
      </c>
      <c r="I414" s="440">
        <v>697000</v>
      </c>
      <c r="J414" s="440"/>
      <c r="K414" s="446"/>
      <c r="M414" s="469">
        <f t="shared" si="14"/>
        <v>250000</v>
      </c>
      <c r="N414" s="453"/>
      <c r="O414" s="454"/>
      <c r="P414" s="454"/>
      <c r="Q414" s="454">
        <v>250000</v>
      </c>
      <c r="R414" s="454"/>
      <c r="S414" s="455"/>
    </row>
    <row r="415" spans="1:19">
      <c r="A415" s="446">
        <v>26</v>
      </c>
      <c r="B415" s="447" t="s">
        <v>3194</v>
      </c>
      <c r="C415" s="448"/>
      <c r="D415" s="448"/>
      <c r="E415" s="449"/>
      <c r="F415" s="450"/>
      <c r="G415" s="451"/>
      <c r="H415" s="451" t="s">
        <v>1423</v>
      </c>
      <c r="I415" s="440">
        <v>950000</v>
      </c>
      <c r="J415" s="440"/>
      <c r="K415" s="446"/>
      <c r="M415" s="469">
        <f t="shared" si="14"/>
        <v>968000</v>
      </c>
      <c r="N415" s="453"/>
      <c r="O415" s="454"/>
      <c r="P415" s="454">
        <v>968000</v>
      </c>
      <c r="Q415" s="454"/>
      <c r="R415" s="454"/>
      <c r="S415" s="455"/>
    </row>
    <row r="416" spans="1:19">
      <c r="A416" s="446">
        <v>27</v>
      </c>
      <c r="B416" s="460" t="s">
        <v>3506</v>
      </c>
      <c r="C416" s="461"/>
      <c r="D416" s="448"/>
      <c r="E416" s="449"/>
      <c r="F416" s="450"/>
      <c r="G416" s="451"/>
      <c r="H416" s="466" t="s">
        <v>1423</v>
      </c>
      <c r="I416" s="458">
        <v>4000</v>
      </c>
      <c r="J416" s="458"/>
      <c r="K416" s="446"/>
      <c r="M416" s="469">
        <f t="shared" si="14"/>
        <v>3666.6666666666665</v>
      </c>
      <c r="N416" s="453"/>
      <c r="O416" s="454"/>
      <c r="P416" s="454">
        <v>4000</v>
      </c>
      <c r="Q416" s="454">
        <v>4000</v>
      </c>
      <c r="R416" s="454">
        <v>3000</v>
      </c>
      <c r="S416" s="455"/>
    </row>
    <row r="417" spans="1:19">
      <c r="A417" s="446">
        <v>28</v>
      </c>
      <c r="B417" s="460" t="s">
        <v>1414</v>
      </c>
      <c r="C417" s="461"/>
      <c r="D417" s="448"/>
      <c r="E417" s="449"/>
      <c r="F417" s="450"/>
      <c r="G417" s="451"/>
      <c r="H417" s="466" t="s">
        <v>2997</v>
      </c>
      <c r="I417" s="458">
        <v>5000000</v>
      </c>
      <c r="J417" s="458"/>
      <c r="K417" s="446"/>
      <c r="M417" s="469"/>
      <c r="N417" s="453"/>
      <c r="O417" s="454"/>
      <c r="P417" s="454"/>
      <c r="Q417" s="454"/>
      <c r="R417" s="454"/>
      <c r="S417" s="455"/>
    </row>
    <row r="418" spans="1:19">
      <c r="A418" s="446"/>
      <c r="B418" s="460"/>
      <c r="C418" s="461"/>
      <c r="D418" s="448"/>
      <c r="E418" s="449"/>
      <c r="F418" s="450"/>
      <c r="G418" s="451"/>
      <c r="H418" s="466"/>
      <c r="I418" s="458"/>
      <c r="J418" s="458"/>
      <c r="K418" s="446"/>
      <c r="M418" s="469"/>
      <c r="N418" s="453"/>
      <c r="O418" s="454"/>
      <c r="P418" s="454"/>
      <c r="Q418" s="454"/>
      <c r="R418" s="454"/>
      <c r="S418" s="455"/>
    </row>
    <row r="419" spans="1:19">
      <c r="A419" s="446"/>
      <c r="B419" s="484" t="s">
        <v>3195</v>
      </c>
      <c r="C419" s="485"/>
      <c r="D419" s="485"/>
      <c r="E419" s="449"/>
      <c r="F419" s="450"/>
      <c r="G419" s="451"/>
      <c r="H419" s="451"/>
      <c r="I419" s="440"/>
      <c r="J419" s="440"/>
      <c r="K419" s="446"/>
      <c r="M419" s="469"/>
      <c r="N419" s="453"/>
      <c r="O419" s="454"/>
      <c r="P419" s="454"/>
      <c r="Q419" s="454"/>
      <c r="R419" s="454"/>
      <c r="S419" s="455"/>
    </row>
    <row r="420" spans="1:19">
      <c r="A420" s="446">
        <v>1</v>
      </c>
      <c r="B420" s="447" t="s">
        <v>3196</v>
      </c>
      <c r="C420" s="448"/>
      <c r="D420" s="448"/>
      <c r="E420" s="449"/>
      <c r="F420" s="450"/>
      <c r="G420" s="451"/>
      <c r="H420" s="451" t="s">
        <v>3177</v>
      </c>
      <c r="I420" s="440">
        <v>121000.00000000001</v>
      </c>
      <c r="J420" s="440"/>
      <c r="K420" s="446"/>
      <c r="M420" s="469"/>
      <c r="N420" s="453"/>
      <c r="O420" s="454"/>
      <c r="P420" s="454"/>
      <c r="Q420" s="454"/>
      <c r="R420" s="454"/>
      <c r="S420" s="455"/>
    </row>
    <row r="421" spans="1:19">
      <c r="A421" s="446">
        <v>2</v>
      </c>
      <c r="B421" s="447" t="s">
        <v>3197</v>
      </c>
      <c r="C421" s="448"/>
      <c r="D421" s="448"/>
      <c r="E421" s="449"/>
      <c r="F421" s="450"/>
      <c r="G421" s="451"/>
      <c r="H421" s="451" t="s">
        <v>3177</v>
      </c>
      <c r="I421" s="440">
        <v>121000.00000000001</v>
      </c>
      <c r="J421" s="440"/>
      <c r="K421" s="446"/>
      <c r="M421" s="469"/>
      <c r="N421" s="453"/>
      <c r="O421" s="454"/>
      <c r="P421" s="454"/>
      <c r="Q421" s="454"/>
      <c r="R421" s="454"/>
      <c r="S421" s="455"/>
    </row>
    <row r="422" spans="1:19">
      <c r="A422" s="446">
        <v>3</v>
      </c>
      <c r="B422" s="447" t="s">
        <v>3198</v>
      </c>
      <c r="C422" s="448"/>
      <c r="D422" s="448"/>
      <c r="E422" s="449"/>
      <c r="F422" s="450"/>
      <c r="G422" s="451"/>
      <c r="H422" s="451" t="s">
        <v>1346</v>
      </c>
      <c r="I422" s="440">
        <v>44000</v>
      </c>
      <c r="J422" s="440"/>
      <c r="K422" s="446"/>
      <c r="M422" s="469"/>
      <c r="N422" s="453"/>
      <c r="O422" s="454"/>
      <c r="P422" s="454"/>
      <c r="Q422" s="454"/>
      <c r="R422" s="454"/>
      <c r="S422" s="455"/>
    </row>
    <row r="423" spans="1:19">
      <c r="A423" s="446">
        <v>4</v>
      </c>
      <c r="B423" s="447" t="s">
        <v>3199</v>
      </c>
      <c r="C423" s="448"/>
      <c r="D423" s="448"/>
      <c r="E423" s="449"/>
      <c r="F423" s="450"/>
      <c r="G423" s="451"/>
      <c r="H423" s="451" t="s">
        <v>1346</v>
      </c>
      <c r="I423" s="440">
        <v>35200</v>
      </c>
      <c r="J423" s="440"/>
      <c r="K423" s="446"/>
      <c r="M423" s="469"/>
      <c r="N423" s="453"/>
      <c r="O423" s="454"/>
      <c r="P423" s="454"/>
      <c r="Q423" s="454"/>
      <c r="R423" s="454"/>
      <c r="S423" s="455"/>
    </row>
    <row r="424" spans="1:19">
      <c r="A424" s="446">
        <v>5</v>
      </c>
      <c r="B424" s="447" t="s">
        <v>3200</v>
      </c>
      <c r="C424" s="448"/>
      <c r="D424" s="448"/>
      <c r="E424" s="449"/>
      <c r="F424" s="450"/>
      <c r="G424" s="451"/>
      <c r="H424" s="451" t="s">
        <v>1346</v>
      </c>
      <c r="I424" s="440">
        <v>31900.000000000004</v>
      </c>
      <c r="J424" s="440"/>
      <c r="K424" s="446"/>
      <c r="M424" s="469"/>
      <c r="N424" s="453"/>
      <c r="O424" s="454"/>
      <c r="P424" s="454"/>
      <c r="Q424" s="454"/>
      <c r="R424" s="454"/>
      <c r="S424" s="455"/>
    </row>
    <row r="425" spans="1:19">
      <c r="A425" s="446">
        <v>6</v>
      </c>
      <c r="B425" s="447" t="s">
        <v>3201</v>
      </c>
      <c r="C425" s="448"/>
      <c r="D425" s="448"/>
      <c r="E425" s="449"/>
      <c r="F425" s="450"/>
      <c r="G425" s="451"/>
      <c r="H425" s="451" t="s">
        <v>1346</v>
      </c>
      <c r="I425" s="440">
        <v>93500.000000000015</v>
      </c>
      <c r="J425" s="440"/>
      <c r="K425" s="446"/>
      <c r="M425" s="469"/>
      <c r="N425" s="453"/>
      <c r="O425" s="454"/>
      <c r="P425" s="454"/>
      <c r="Q425" s="454"/>
      <c r="R425" s="454"/>
      <c r="S425" s="455"/>
    </row>
    <row r="426" spans="1:19">
      <c r="A426" s="446">
        <v>7</v>
      </c>
      <c r="B426" s="447" t="s">
        <v>4466</v>
      </c>
      <c r="C426" s="448"/>
      <c r="D426" s="448"/>
      <c r="E426" s="449"/>
      <c r="F426" s="450"/>
      <c r="G426" s="451"/>
      <c r="H426" s="451" t="s">
        <v>1346</v>
      </c>
      <c r="I426" s="440">
        <v>143000</v>
      </c>
      <c r="J426" s="440"/>
      <c r="K426" s="446"/>
      <c r="M426" s="469"/>
      <c r="N426" s="453"/>
      <c r="O426" s="454"/>
      <c r="P426" s="454"/>
      <c r="Q426" s="454"/>
      <c r="R426" s="454"/>
      <c r="S426" s="455"/>
    </row>
    <row r="427" spans="1:19">
      <c r="A427" s="446">
        <v>8</v>
      </c>
      <c r="B427" s="447" t="s">
        <v>4467</v>
      </c>
      <c r="C427" s="448"/>
      <c r="D427" s="448"/>
      <c r="E427" s="449"/>
      <c r="F427" s="450"/>
      <c r="G427" s="451"/>
      <c r="H427" s="451" t="s">
        <v>1346</v>
      </c>
      <c r="I427" s="440">
        <v>187000.00000000003</v>
      </c>
      <c r="J427" s="440"/>
      <c r="K427" s="446"/>
      <c r="M427" s="469">
        <f t="shared" si="14"/>
        <v>190000</v>
      </c>
      <c r="N427" s="453"/>
      <c r="O427" s="454"/>
      <c r="P427" s="454">
        <v>190000</v>
      </c>
      <c r="Q427" s="454"/>
      <c r="R427" s="454"/>
      <c r="S427" s="455"/>
    </row>
    <row r="428" spans="1:19">
      <c r="A428" s="446">
        <v>9</v>
      </c>
      <c r="B428" s="447" t="s">
        <v>3202</v>
      </c>
      <c r="C428" s="448"/>
      <c r="D428" s="448"/>
      <c r="E428" s="449"/>
      <c r="F428" s="450"/>
      <c r="G428" s="451"/>
      <c r="H428" s="451" t="s">
        <v>1346</v>
      </c>
      <c r="I428" s="440">
        <v>19250</v>
      </c>
      <c r="J428" s="440"/>
      <c r="K428" s="446"/>
      <c r="M428" s="469"/>
      <c r="N428" s="453"/>
      <c r="O428" s="454"/>
      <c r="P428" s="454"/>
      <c r="Q428" s="454"/>
      <c r="R428" s="454"/>
      <c r="S428" s="455"/>
    </row>
    <row r="429" spans="1:19">
      <c r="A429" s="446">
        <v>10</v>
      </c>
      <c r="B429" s="447" t="s">
        <v>3203</v>
      </c>
      <c r="C429" s="448"/>
      <c r="D429" s="448"/>
      <c r="E429" s="449"/>
      <c r="F429" s="450"/>
      <c r="G429" s="451"/>
      <c r="H429" s="451" t="s">
        <v>1346</v>
      </c>
      <c r="I429" s="440">
        <v>24200.000000000004</v>
      </c>
      <c r="J429" s="440"/>
      <c r="K429" s="446"/>
      <c r="M429" s="469"/>
      <c r="N429" s="453"/>
      <c r="O429" s="454"/>
      <c r="P429" s="454"/>
      <c r="Q429" s="454"/>
      <c r="R429" s="454"/>
      <c r="S429" s="455"/>
    </row>
    <row r="430" spans="1:19">
      <c r="A430" s="446">
        <v>11</v>
      </c>
      <c r="B430" s="447" t="s">
        <v>3204</v>
      </c>
      <c r="C430" s="448"/>
      <c r="D430" s="448"/>
      <c r="E430" s="449"/>
      <c r="F430" s="450"/>
      <c r="G430" s="451"/>
      <c r="H430" s="451" t="s">
        <v>1346</v>
      </c>
      <c r="I430" s="440">
        <v>30250.000000000004</v>
      </c>
      <c r="J430" s="440"/>
      <c r="K430" s="446"/>
      <c r="M430" s="469"/>
      <c r="N430" s="453"/>
      <c r="O430" s="454"/>
      <c r="P430" s="454"/>
      <c r="Q430" s="454"/>
      <c r="R430" s="454"/>
      <c r="S430" s="455"/>
    </row>
    <row r="431" spans="1:19">
      <c r="A431" s="446">
        <v>12</v>
      </c>
      <c r="B431" s="447" t="s">
        <v>3205</v>
      </c>
      <c r="C431" s="448"/>
      <c r="D431" s="448"/>
      <c r="E431" s="449"/>
      <c r="F431" s="450"/>
      <c r="G431" s="451"/>
      <c r="H431" s="451" t="s">
        <v>1346</v>
      </c>
      <c r="I431" s="440">
        <v>42350</v>
      </c>
      <c r="J431" s="440"/>
      <c r="K431" s="446"/>
      <c r="M431" s="469"/>
      <c r="N431" s="453"/>
      <c r="O431" s="454"/>
      <c r="P431" s="454"/>
      <c r="Q431" s="454"/>
      <c r="R431" s="454"/>
      <c r="S431" s="455"/>
    </row>
    <row r="432" spans="1:19">
      <c r="A432" s="446">
        <v>13</v>
      </c>
      <c r="B432" s="447" t="s">
        <v>3206</v>
      </c>
      <c r="C432" s="448"/>
      <c r="D432" s="448"/>
      <c r="E432" s="449"/>
      <c r="F432" s="450"/>
      <c r="G432" s="451"/>
      <c r="H432" s="451" t="s">
        <v>1346</v>
      </c>
      <c r="I432" s="440">
        <v>49500.000000000007</v>
      </c>
      <c r="J432" s="440"/>
      <c r="K432" s="446"/>
      <c r="M432" s="469"/>
      <c r="N432" s="453"/>
      <c r="O432" s="454"/>
      <c r="P432" s="454"/>
      <c r="Q432" s="454"/>
      <c r="R432" s="454"/>
      <c r="S432" s="455"/>
    </row>
    <row r="433" spans="1:19">
      <c r="A433" s="446">
        <v>14</v>
      </c>
      <c r="B433" s="447" t="s">
        <v>3207</v>
      </c>
      <c r="C433" s="448"/>
      <c r="D433" s="448"/>
      <c r="E433" s="449"/>
      <c r="F433" s="450"/>
      <c r="G433" s="451"/>
      <c r="H433" s="451" t="s">
        <v>1423</v>
      </c>
      <c r="I433" s="440">
        <v>14300.000000000002</v>
      </c>
      <c r="J433" s="440"/>
      <c r="K433" s="446"/>
      <c r="M433" s="469">
        <f t="shared" si="14"/>
        <v>14000</v>
      </c>
      <c r="N433" s="453"/>
      <c r="O433" s="454"/>
      <c r="P433" s="454">
        <v>16000</v>
      </c>
      <c r="Q433" s="454">
        <v>12000</v>
      </c>
      <c r="R433" s="454"/>
      <c r="S433" s="455"/>
    </row>
    <row r="434" spans="1:19">
      <c r="A434" s="446">
        <v>15</v>
      </c>
      <c r="B434" s="447" t="s">
        <v>3208</v>
      </c>
      <c r="C434" s="448"/>
      <c r="D434" s="448"/>
      <c r="E434" s="449"/>
      <c r="F434" s="450"/>
      <c r="G434" s="451"/>
      <c r="H434" s="451" t="s">
        <v>1423</v>
      </c>
      <c r="I434" s="440">
        <v>18700</v>
      </c>
      <c r="J434" s="440"/>
      <c r="K434" s="446"/>
      <c r="M434" s="469">
        <f t="shared" si="14"/>
        <v>17000</v>
      </c>
      <c r="N434" s="453"/>
      <c r="O434" s="454"/>
      <c r="P434" s="454">
        <v>19000</v>
      </c>
      <c r="Q434" s="454">
        <v>15000</v>
      </c>
      <c r="R434" s="454"/>
      <c r="S434" s="455"/>
    </row>
    <row r="435" spans="1:19">
      <c r="A435" s="446">
        <v>16</v>
      </c>
      <c r="B435" s="447" t="s">
        <v>3209</v>
      </c>
      <c r="C435" s="448"/>
      <c r="D435" s="448"/>
      <c r="E435" s="449"/>
      <c r="F435" s="450"/>
      <c r="G435" s="451"/>
      <c r="H435" s="451" t="s">
        <v>1423</v>
      </c>
      <c r="I435" s="440">
        <v>22000</v>
      </c>
      <c r="J435" s="440"/>
      <c r="K435" s="446"/>
      <c r="M435" s="469">
        <f t="shared" si="14"/>
        <v>18000</v>
      </c>
      <c r="N435" s="453"/>
      <c r="O435" s="454"/>
      <c r="P435" s="454">
        <v>21000</v>
      </c>
      <c r="Q435" s="454">
        <v>15000</v>
      </c>
      <c r="R435" s="454"/>
      <c r="S435" s="455"/>
    </row>
    <row r="436" spans="1:19">
      <c r="A436" s="446">
        <v>17</v>
      </c>
      <c r="B436" s="447" t="s">
        <v>3210</v>
      </c>
      <c r="C436" s="448"/>
      <c r="D436" s="448"/>
      <c r="E436" s="449"/>
      <c r="F436" s="450"/>
      <c r="G436" s="451"/>
      <c r="H436" s="451" t="s">
        <v>1423</v>
      </c>
      <c r="I436" s="440">
        <v>18150</v>
      </c>
      <c r="J436" s="440"/>
      <c r="K436" s="446"/>
      <c r="M436" s="469"/>
      <c r="N436" s="453"/>
      <c r="O436" s="454"/>
      <c r="P436" s="454"/>
      <c r="Q436" s="454"/>
      <c r="R436" s="454"/>
      <c r="S436" s="455"/>
    </row>
    <row r="437" spans="1:19">
      <c r="A437" s="446">
        <v>18</v>
      </c>
      <c r="B437" s="447" t="s">
        <v>3211</v>
      </c>
      <c r="C437" s="448"/>
      <c r="D437" s="448"/>
      <c r="E437" s="449"/>
      <c r="F437" s="450"/>
      <c r="G437" s="451"/>
      <c r="H437" s="451" t="s">
        <v>1423</v>
      </c>
      <c r="I437" s="440">
        <v>65000</v>
      </c>
      <c r="J437" s="440"/>
      <c r="K437" s="446"/>
      <c r="M437" s="469"/>
      <c r="N437" s="453"/>
      <c r="O437" s="454"/>
      <c r="P437" s="454"/>
      <c r="Q437" s="454"/>
      <c r="R437" s="454"/>
      <c r="S437" s="455"/>
    </row>
    <row r="438" spans="1:19">
      <c r="A438" s="446">
        <v>19</v>
      </c>
      <c r="B438" s="447" t="s">
        <v>3212</v>
      </c>
      <c r="C438" s="448"/>
      <c r="D438" s="448"/>
      <c r="E438" s="449"/>
      <c r="F438" s="450"/>
      <c r="G438" s="451"/>
      <c r="H438" s="451" t="s">
        <v>1423</v>
      </c>
      <c r="I438" s="440">
        <v>42350</v>
      </c>
      <c r="J438" s="440"/>
      <c r="K438" s="446"/>
      <c r="M438" s="469"/>
      <c r="N438" s="453"/>
      <c r="O438" s="454"/>
      <c r="P438" s="454"/>
      <c r="Q438" s="454"/>
      <c r="R438" s="454"/>
      <c r="S438" s="455"/>
    </row>
    <row r="439" spans="1:19">
      <c r="A439" s="446">
        <v>20</v>
      </c>
      <c r="B439" s="447" t="s">
        <v>3213</v>
      </c>
      <c r="C439" s="448"/>
      <c r="D439" s="448"/>
      <c r="E439" s="449"/>
      <c r="F439" s="450"/>
      <c r="G439" s="451"/>
      <c r="H439" s="451" t="s">
        <v>1423</v>
      </c>
      <c r="I439" s="440">
        <v>49500.000000000007</v>
      </c>
      <c r="J439" s="440"/>
      <c r="K439" s="446"/>
      <c r="M439" s="469">
        <f t="shared" si="14"/>
        <v>50000</v>
      </c>
      <c r="N439" s="453"/>
      <c r="O439" s="454"/>
      <c r="P439" s="454">
        <v>50000</v>
      </c>
      <c r="Q439" s="454"/>
      <c r="R439" s="454"/>
      <c r="S439" s="455"/>
    </row>
    <row r="440" spans="1:19">
      <c r="A440" s="446">
        <v>21</v>
      </c>
      <c r="B440" s="447" t="s">
        <v>3214</v>
      </c>
      <c r="C440" s="448"/>
      <c r="D440" s="448"/>
      <c r="E440" s="449"/>
      <c r="F440" s="450"/>
      <c r="G440" s="451"/>
      <c r="H440" s="451" t="s">
        <v>1423</v>
      </c>
      <c r="I440" s="440">
        <v>77000</v>
      </c>
      <c r="J440" s="440"/>
      <c r="K440" s="446"/>
      <c r="M440" s="469">
        <f t="shared" si="14"/>
        <v>77000</v>
      </c>
      <c r="N440" s="453"/>
      <c r="O440" s="454"/>
      <c r="P440" s="454">
        <v>77000</v>
      </c>
      <c r="Q440" s="454"/>
      <c r="R440" s="454"/>
      <c r="S440" s="455"/>
    </row>
    <row r="441" spans="1:19">
      <c r="A441" s="446">
        <v>22</v>
      </c>
      <c r="B441" s="447" t="s">
        <v>3215</v>
      </c>
      <c r="C441" s="448"/>
      <c r="D441" s="448"/>
      <c r="E441" s="449"/>
      <c r="F441" s="450"/>
      <c r="G441" s="451"/>
      <c r="H441" s="451" t="s">
        <v>1423</v>
      </c>
      <c r="I441" s="440">
        <v>104500.00000000001</v>
      </c>
      <c r="J441" s="440"/>
      <c r="K441" s="446"/>
      <c r="M441" s="469"/>
      <c r="N441" s="453"/>
      <c r="O441" s="454"/>
      <c r="P441" s="454"/>
      <c r="Q441" s="454"/>
      <c r="R441" s="454"/>
      <c r="S441" s="455"/>
    </row>
    <row r="442" spans="1:19">
      <c r="A442" s="446">
        <v>23</v>
      </c>
      <c r="B442" s="447" t="s">
        <v>3216</v>
      </c>
      <c r="C442" s="448"/>
      <c r="D442" s="448"/>
      <c r="E442" s="449"/>
      <c r="F442" s="450"/>
      <c r="G442" s="451"/>
      <c r="H442" s="451" t="s">
        <v>2997</v>
      </c>
      <c r="I442" s="440">
        <v>49500.000000000007</v>
      </c>
      <c r="J442" s="440"/>
      <c r="K442" s="446"/>
      <c r="M442" s="469"/>
      <c r="N442" s="453"/>
      <c r="O442" s="454"/>
      <c r="P442" s="454"/>
      <c r="Q442" s="454"/>
      <c r="R442" s="454"/>
      <c r="S442" s="455"/>
    </row>
    <row r="443" spans="1:19">
      <c r="A443" s="446">
        <v>24</v>
      </c>
      <c r="B443" s="447" t="s">
        <v>3217</v>
      </c>
      <c r="C443" s="448"/>
      <c r="D443" s="448"/>
      <c r="E443" s="449"/>
      <c r="F443" s="450"/>
      <c r="G443" s="451"/>
      <c r="H443" s="451" t="s">
        <v>2997</v>
      </c>
      <c r="I443" s="440">
        <v>60500.000000000007</v>
      </c>
      <c r="J443" s="440"/>
      <c r="K443" s="446"/>
      <c r="M443" s="469"/>
      <c r="N443" s="453"/>
      <c r="O443" s="454"/>
      <c r="P443" s="454"/>
      <c r="Q443" s="454"/>
      <c r="R443" s="454"/>
      <c r="S443" s="455"/>
    </row>
    <row r="444" spans="1:19">
      <c r="A444" s="446">
        <v>25</v>
      </c>
      <c r="B444" s="447" t="s">
        <v>3218</v>
      </c>
      <c r="C444" s="448"/>
      <c r="D444" s="448"/>
      <c r="E444" s="449"/>
      <c r="F444" s="450"/>
      <c r="G444" s="451"/>
      <c r="H444" s="451" t="s">
        <v>2997</v>
      </c>
      <c r="I444" s="440">
        <v>66000</v>
      </c>
      <c r="J444" s="440"/>
      <c r="K444" s="446"/>
      <c r="M444" s="469"/>
      <c r="N444" s="453"/>
      <c r="O444" s="454"/>
      <c r="P444" s="454"/>
      <c r="Q444" s="454"/>
      <c r="R444" s="454"/>
      <c r="S444" s="455"/>
    </row>
    <row r="445" spans="1:19">
      <c r="A445" s="446">
        <v>26</v>
      </c>
      <c r="B445" s="447" t="s">
        <v>3219</v>
      </c>
      <c r="C445" s="448"/>
      <c r="D445" s="448"/>
      <c r="E445" s="449"/>
      <c r="F445" s="450"/>
      <c r="G445" s="451"/>
      <c r="H445" s="451" t="s">
        <v>2997</v>
      </c>
      <c r="I445" s="440">
        <v>71500</v>
      </c>
      <c r="J445" s="440"/>
      <c r="K445" s="446"/>
      <c r="M445" s="469"/>
      <c r="N445" s="453"/>
      <c r="O445" s="454"/>
      <c r="P445" s="454">
        <v>255000</v>
      </c>
      <c r="Q445" s="454"/>
      <c r="R445" s="454"/>
      <c r="S445" s="455"/>
    </row>
    <row r="446" spans="1:19">
      <c r="A446" s="446">
        <v>27</v>
      </c>
      <c r="B446" s="447" t="s">
        <v>3220</v>
      </c>
      <c r="C446" s="448"/>
      <c r="D446" s="448"/>
      <c r="E446" s="449"/>
      <c r="F446" s="450"/>
      <c r="G446" s="451"/>
      <c r="H446" s="451" t="s">
        <v>2970</v>
      </c>
      <c r="I446" s="440">
        <v>3300.0000000000005</v>
      </c>
      <c r="J446" s="440"/>
      <c r="K446" s="446"/>
      <c r="M446" s="469" t="s">
        <v>4687</v>
      </c>
      <c r="N446" s="453"/>
      <c r="O446" s="454"/>
      <c r="P446" s="454"/>
      <c r="Q446" s="454"/>
      <c r="R446" s="454">
        <v>2000</v>
      </c>
      <c r="S446" s="455"/>
    </row>
    <row r="447" spans="1:19">
      <c r="A447" s="446">
        <v>28</v>
      </c>
      <c r="B447" s="447" t="s">
        <v>3221</v>
      </c>
      <c r="C447" s="448"/>
      <c r="D447" s="448"/>
      <c r="E447" s="449"/>
      <c r="F447" s="450"/>
      <c r="G447" s="451"/>
      <c r="H447" s="451" t="s">
        <v>2970</v>
      </c>
      <c r="I447" s="440">
        <v>7150.0000000000009</v>
      </c>
      <c r="J447" s="440"/>
      <c r="K447" s="446"/>
      <c r="M447" s="469" t="s">
        <v>4688</v>
      </c>
      <c r="N447" s="453"/>
      <c r="O447" s="454"/>
      <c r="P447" s="454"/>
      <c r="Q447" s="454"/>
      <c r="R447" s="454">
        <v>3000</v>
      </c>
      <c r="S447" s="455"/>
    </row>
    <row r="448" spans="1:19">
      <c r="A448" s="446">
        <v>29</v>
      </c>
      <c r="B448" s="447" t="s">
        <v>3222</v>
      </c>
      <c r="C448" s="448"/>
      <c r="D448" s="448"/>
      <c r="E448" s="449"/>
      <c r="F448" s="450"/>
      <c r="G448" s="451"/>
      <c r="H448" s="451" t="s">
        <v>2970</v>
      </c>
      <c r="I448" s="440">
        <v>12100.000000000002</v>
      </c>
      <c r="J448" s="440"/>
      <c r="K448" s="446"/>
      <c r="M448" s="469" t="s">
        <v>4689</v>
      </c>
      <c r="N448" s="453"/>
      <c r="O448" s="454"/>
      <c r="P448" s="454"/>
      <c r="Q448" s="454"/>
      <c r="R448" s="454"/>
      <c r="S448" s="455"/>
    </row>
    <row r="449" spans="1:19">
      <c r="A449" s="446">
        <v>30</v>
      </c>
      <c r="B449" s="447" t="s">
        <v>3223</v>
      </c>
      <c r="C449" s="448"/>
      <c r="D449" s="448"/>
      <c r="E449" s="449"/>
      <c r="F449" s="450"/>
      <c r="G449" s="451"/>
      <c r="H449" s="451" t="s">
        <v>2970</v>
      </c>
      <c r="I449" s="440">
        <v>6800</v>
      </c>
      <c r="J449" s="440"/>
      <c r="K449" s="446"/>
      <c r="M449" s="469" t="s">
        <v>4675</v>
      </c>
      <c r="N449" s="453"/>
      <c r="O449" s="454"/>
      <c r="P449" s="454"/>
      <c r="Q449" s="454">
        <v>8000</v>
      </c>
      <c r="R449" s="454">
        <v>10000</v>
      </c>
      <c r="S449" s="455"/>
    </row>
    <row r="450" spans="1:19">
      <c r="A450" s="446">
        <v>31</v>
      </c>
      <c r="B450" s="447" t="s">
        <v>3224</v>
      </c>
      <c r="C450" s="448"/>
      <c r="D450" s="448"/>
      <c r="E450" s="449"/>
      <c r="F450" s="450"/>
      <c r="G450" s="451"/>
      <c r="H450" s="451" t="s">
        <v>2970</v>
      </c>
      <c r="I450" s="440">
        <v>13200</v>
      </c>
      <c r="J450" s="440"/>
      <c r="K450" s="446"/>
      <c r="M450" s="469" t="s">
        <v>4679</v>
      </c>
      <c r="N450" s="453"/>
      <c r="O450" s="454"/>
      <c r="P450" s="454">
        <v>12000</v>
      </c>
      <c r="Q450" s="454">
        <v>10000</v>
      </c>
      <c r="R450" s="454">
        <v>8000</v>
      </c>
      <c r="S450" s="455"/>
    </row>
    <row r="451" spans="1:19">
      <c r="A451" s="446">
        <v>32</v>
      </c>
      <c r="B451" s="447" t="s">
        <v>4677</v>
      </c>
      <c r="C451" s="448"/>
      <c r="D451" s="448"/>
      <c r="E451" s="449"/>
      <c r="F451" s="450"/>
      <c r="G451" s="451"/>
      <c r="H451" s="451" t="s">
        <v>2970</v>
      </c>
      <c r="I451" s="440">
        <v>8400</v>
      </c>
      <c r="J451" s="440"/>
      <c r="K451" s="446"/>
      <c r="M451" s="469" t="s">
        <v>4678</v>
      </c>
      <c r="N451" s="453"/>
      <c r="O451" s="454"/>
      <c r="P451" s="454"/>
      <c r="Q451" s="454"/>
      <c r="R451" s="454"/>
      <c r="S451" s="455"/>
    </row>
    <row r="452" spans="1:19">
      <c r="A452" s="446">
        <v>33</v>
      </c>
      <c r="B452" s="447" t="s">
        <v>4676</v>
      </c>
      <c r="C452" s="448"/>
      <c r="D452" s="448"/>
      <c r="E452" s="449"/>
      <c r="F452" s="450"/>
      <c r="G452" s="451"/>
      <c r="H452" s="451" t="s">
        <v>2970</v>
      </c>
      <c r="I452" s="440">
        <v>14300</v>
      </c>
      <c r="J452" s="440"/>
      <c r="K452" s="446"/>
      <c r="M452" s="469" t="s">
        <v>4680</v>
      </c>
      <c r="N452" s="453"/>
      <c r="O452" s="454"/>
      <c r="P452" s="454"/>
      <c r="Q452" s="454"/>
      <c r="R452" s="454"/>
      <c r="S452" s="455"/>
    </row>
    <row r="453" spans="1:19">
      <c r="A453" s="446">
        <v>34</v>
      </c>
      <c r="B453" s="447" t="s">
        <v>3225</v>
      </c>
      <c r="C453" s="448"/>
      <c r="D453" s="448"/>
      <c r="E453" s="449"/>
      <c r="F453" s="450"/>
      <c r="G453" s="451"/>
      <c r="H453" s="451" t="s">
        <v>2970</v>
      </c>
      <c r="I453" s="440">
        <v>24200.000000000004</v>
      </c>
      <c r="J453" s="440"/>
      <c r="K453" s="446"/>
      <c r="M453" s="469"/>
      <c r="N453" s="453"/>
      <c r="O453" s="454"/>
      <c r="P453" s="454"/>
      <c r="Q453" s="454"/>
      <c r="R453" s="454"/>
      <c r="S453" s="455"/>
    </row>
    <row r="454" spans="1:19">
      <c r="A454" s="446">
        <v>35</v>
      </c>
      <c r="B454" s="460" t="s">
        <v>3226</v>
      </c>
      <c r="C454" s="461"/>
      <c r="D454" s="448"/>
      <c r="E454" s="449"/>
      <c r="F454" s="478"/>
      <c r="G454" s="451"/>
      <c r="H454" s="466" t="s">
        <v>3019</v>
      </c>
      <c r="I454" s="458">
        <v>104500.00000000001</v>
      </c>
      <c r="J454" s="458"/>
      <c r="K454" s="446"/>
      <c r="M454" s="469"/>
      <c r="N454" s="453"/>
      <c r="O454" s="454"/>
      <c r="P454" s="454"/>
      <c r="Q454" s="454"/>
      <c r="R454" s="454"/>
      <c r="S454" s="455"/>
    </row>
    <row r="455" spans="1:19">
      <c r="A455" s="446">
        <v>36</v>
      </c>
      <c r="B455" s="460" t="s">
        <v>3227</v>
      </c>
      <c r="C455" s="461"/>
      <c r="D455" s="448"/>
      <c r="E455" s="449"/>
      <c r="F455" s="478"/>
      <c r="G455" s="451"/>
      <c r="H455" s="466" t="s">
        <v>3228</v>
      </c>
      <c r="I455" s="458">
        <v>9350</v>
      </c>
      <c r="J455" s="458"/>
      <c r="K455" s="446"/>
      <c r="M455" s="469"/>
      <c r="N455" s="453"/>
      <c r="O455" s="454"/>
      <c r="P455" s="454"/>
      <c r="Q455" s="454"/>
      <c r="R455" s="454"/>
      <c r="S455" s="455"/>
    </row>
    <row r="456" spans="1:19">
      <c r="A456" s="446">
        <v>37</v>
      </c>
      <c r="B456" s="460" t="s">
        <v>3229</v>
      </c>
      <c r="C456" s="461"/>
      <c r="D456" s="448"/>
      <c r="E456" s="449"/>
      <c r="F456" s="478"/>
      <c r="G456" s="451"/>
      <c r="H456" s="466" t="s">
        <v>3019</v>
      </c>
      <c r="I456" s="458">
        <v>291500</v>
      </c>
      <c r="J456" s="458"/>
      <c r="K456" s="446"/>
      <c r="M456" s="469"/>
      <c r="N456" s="453"/>
      <c r="O456" s="454"/>
      <c r="P456" s="454"/>
      <c r="Q456" s="454"/>
      <c r="R456" s="454"/>
      <c r="S456" s="455"/>
    </row>
    <row r="457" spans="1:19">
      <c r="A457" s="477"/>
      <c r="B457" s="460"/>
      <c r="C457" s="461"/>
      <c r="D457" s="448"/>
      <c r="E457" s="449"/>
      <c r="F457" s="478"/>
      <c r="G457" s="451"/>
      <c r="H457" s="466"/>
      <c r="I457" s="458"/>
      <c r="J457" s="458"/>
      <c r="K457" s="446"/>
      <c r="M457" s="469"/>
      <c r="N457" s="453"/>
      <c r="O457" s="454"/>
      <c r="P457" s="454"/>
      <c r="Q457" s="454"/>
      <c r="R457" s="454"/>
      <c r="S457" s="455"/>
    </row>
    <row r="458" spans="1:19">
      <c r="A458" s="446"/>
      <c r="B458" s="479" t="s">
        <v>3979</v>
      </c>
      <c r="C458" s="461"/>
      <c r="D458" s="448"/>
      <c r="E458" s="449"/>
      <c r="F458" s="478"/>
      <c r="G458" s="451"/>
      <c r="H458" s="466"/>
      <c r="I458" s="458"/>
      <c r="J458" s="458"/>
      <c r="K458" s="446"/>
      <c r="M458" s="469"/>
      <c r="N458" s="453"/>
      <c r="O458" s="454"/>
      <c r="P458" s="454"/>
      <c r="Q458" s="454"/>
      <c r="R458" s="454"/>
      <c r="S458" s="455"/>
    </row>
    <row r="459" spans="1:19">
      <c r="A459" s="446"/>
      <c r="B459" s="460" t="s">
        <v>3806</v>
      </c>
      <c r="C459" s="461"/>
      <c r="D459" s="448"/>
      <c r="E459" s="449"/>
      <c r="F459" s="478"/>
      <c r="G459" s="451"/>
      <c r="H459" s="466"/>
      <c r="I459" s="458"/>
      <c r="J459" s="458"/>
      <c r="K459" s="446"/>
      <c r="M459" s="469"/>
      <c r="N459" s="453"/>
      <c r="O459" s="454"/>
      <c r="P459" s="454"/>
      <c r="Q459" s="454"/>
      <c r="R459" s="454"/>
      <c r="S459" s="455"/>
    </row>
    <row r="460" spans="1:19">
      <c r="A460" s="446">
        <v>1</v>
      </c>
      <c r="B460" s="460" t="s">
        <v>3807</v>
      </c>
      <c r="C460" s="461"/>
      <c r="D460" s="448"/>
      <c r="E460" s="449"/>
      <c r="F460" s="478"/>
      <c r="G460" s="451"/>
      <c r="H460" s="466" t="s">
        <v>3808</v>
      </c>
      <c r="I460" s="458">
        <v>969</v>
      </c>
      <c r="J460" s="458"/>
      <c r="K460" s="446"/>
      <c r="M460" s="469"/>
      <c r="N460" s="453"/>
      <c r="O460" s="454"/>
      <c r="P460" s="454"/>
      <c r="Q460" s="454"/>
      <c r="R460" s="454"/>
      <c r="S460" s="455"/>
    </row>
    <row r="461" spans="1:19">
      <c r="A461" s="446">
        <v>2</v>
      </c>
      <c r="B461" s="460" t="s">
        <v>3809</v>
      </c>
      <c r="C461" s="461"/>
      <c r="D461" s="448"/>
      <c r="E461" s="449"/>
      <c r="F461" s="478"/>
      <c r="G461" s="451"/>
      <c r="H461" s="466" t="s">
        <v>3808</v>
      </c>
      <c r="I461" s="458">
        <v>165</v>
      </c>
      <c r="J461" s="458"/>
      <c r="K461" s="446"/>
      <c r="M461" s="469"/>
      <c r="N461" s="453"/>
      <c r="O461" s="454"/>
      <c r="P461" s="454"/>
      <c r="Q461" s="454"/>
      <c r="R461" s="454"/>
      <c r="S461" s="455"/>
    </row>
    <row r="462" spans="1:19">
      <c r="A462" s="446">
        <v>3</v>
      </c>
      <c r="B462" s="460" t="s">
        <v>3810</v>
      </c>
      <c r="C462" s="461"/>
      <c r="D462" s="448"/>
      <c r="E462" s="449"/>
      <c r="F462" s="478"/>
      <c r="G462" s="451"/>
      <c r="H462" s="466" t="s">
        <v>3808</v>
      </c>
      <c r="I462" s="458">
        <v>30</v>
      </c>
      <c r="J462" s="458"/>
      <c r="K462" s="446"/>
      <c r="M462" s="469"/>
      <c r="N462" s="453"/>
      <c r="O462" s="454"/>
      <c r="P462" s="454"/>
      <c r="Q462" s="454"/>
      <c r="R462" s="454"/>
      <c r="S462" s="455"/>
    </row>
    <row r="463" spans="1:19">
      <c r="A463" s="446">
        <v>4</v>
      </c>
      <c r="B463" s="460" t="s">
        <v>3811</v>
      </c>
      <c r="C463" s="461"/>
      <c r="D463" s="448"/>
      <c r="E463" s="449"/>
      <c r="F463" s="478"/>
      <c r="G463" s="451"/>
      <c r="H463" s="466" t="s">
        <v>3808</v>
      </c>
      <c r="I463" s="458">
        <v>50</v>
      </c>
      <c r="J463" s="458"/>
      <c r="K463" s="446"/>
      <c r="M463" s="469"/>
      <c r="N463" s="453"/>
      <c r="O463" s="454"/>
      <c r="P463" s="454"/>
      <c r="Q463" s="454"/>
      <c r="R463" s="454"/>
      <c r="S463" s="455"/>
    </row>
    <row r="464" spans="1:19">
      <c r="A464" s="446"/>
      <c r="B464" s="460"/>
      <c r="C464" s="461"/>
      <c r="D464" s="448"/>
      <c r="E464" s="449"/>
      <c r="F464" s="478"/>
      <c r="G464" s="451"/>
      <c r="H464" s="466"/>
      <c r="I464" s="458"/>
      <c r="J464" s="458"/>
      <c r="K464" s="446"/>
      <c r="M464" s="469"/>
      <c r="N464" s="453"/>
      <c r="O464" s="454"/>
      <c r="P464" s="454"/>
      <c r="Q464" s="454"/>
      <c r="R464" s="454"/>
      <c r="S464" s="455"/>
    </row>
    <row r="465" spans="1:19">
      <c r="A465" s="446"/>
      <c r="B465" s="460" t="s">
        <v>3812</v>
      </c>
      <c r="C465" s="461"/>
      <c r="D465" s="448"/>
      <c r="E465" s="449"/>
      <c r="F465" s="478"/>
      <c r="G465" s="451"/>
      <c r="H465" s="466"/>
      <c r="I465" s="458"/>
      <c r="J465" s="458"/>
      <c r="K465" s="446"/>
      <c r="M465" s="469"/>
      <c r="N465" s="453"/>
      <c r="O465" s="454"/>
      <c r="P465" s="454"/>
      <c r="Q465" s="454"/>
      <c r="R465" s="454"/>
      <c r="S465" s="455"/>
    </row>
    <row r="466" spans="1:19">
      <c r="A466" s="446">
        <v>1</v>
      </c>
      <c r="B466" s="460" t="s">
        <v>3813</v>
      </c>
      <c r="C466" s="461"/>
      <c r="D466" s="448"/>
      <c r="E466" s="449"/>
      <c r="F466" s="478"/>
      <c r="G466" s="451"/>
      <c r="H466" s="466" t="s">
        <v>1346</v>
      </c>
      <c r="I466" s="458">
        <v>1500000</v>
      </c>
      <c r="J466" s="458"/>
      <c r="K466" s="446"/>
      <c r="M466" s="469"/>
      <c r="N466" s="453"/>
      <c r="O466" s="454"/>
      <c r="P466" s="454"/>
      <c r="Q466" s="454"/>
      <c r="R466" s="454"/>
      <c r="S466" s="455"/>
    </row>
    <row r="467" spans="1:19">
      <c r="A467" s="446">
        <v>2</v>
      </c>
      <c r="B467" s="460" t="s">
        <v>3814</v>
      </c>
      <c r="C467" s="461"/>
      <c r="D467" s="448"/>
      <c r="E467" s="449"/>
      <c r="F467" s="478"/>
      <c r="G467" s="451"/>
      <c r="H467" s="466" t="s">
        <v>2997</v>
      </c>
      <c r="I467" s="458">
        <v>2000000</v>
      </c>
      <c r="J467" s="458"/>
      <c r="K467" s="446"/>
      <c r="M467" s="469"/>
      <c r="N467" s="453"/>
      <c r="O467" s="454"/>
      <c r="P467" s="454"/>
      <c r="Q467" s="454"/>
      <c r="R467" s="454"/>
      <c r="S467" s="455"/>
    </row>
    <row r="468" spans="1:19">
      <c r="A468" s="486"/>
      <c r="B468" s="575"/>
      <c r="C468" s="576"/>
      <c r="D468" s="488"/>
      <c r="E468" s="489"/>
      <c r="F468" s="563"/>
      <c r="G468" s="490"/>
      <c r="H468" s="577"/>
      <c r="I468" s="481"/>
      <c r="J468" s="481"/>
      <c r="K468" s="486"/>
      <c r="M468" s="469"/>
      <c r="N468" s="453"/>
      <c r="O468" s="454"/>
      <c r="P468" s="454"/>
      <c r="Q468" s="454"/>
      <c r="R468" s="454"/>
      <c r="S468" s="455"/>
    </row>
    <row r="469" spans="1:19">
      <c r="A469" s="491"/>
      <c r="B469" s="581" t="s">
        <v>3815</v>
      </c>
      <c r="C469" s="582"/>
      <c r="D469" s="493"/>
      <c r="E469" s="494"/>
      <c r="F469" s="530"/>
      <c r="G469" s="495"/>
      <c r="H469" s="583"/>
      <c r="I469" s="584"/>
      <c r="J469" s="584"/>
      <c r="K469" s="491"/>
      <c r="M469" s="469"/>
      <c r="N469" s="453"/>
      <c r="O469" s="454"/>
      <c r="P469" s="454"/>
      <c r="Q469" s="454"/>
      <c r="R469" s="454"/>
      <c r="S469" s="455"/>
    </row>
    <row r="470" spans="1:19">
      <c r="A470" s="446">
        <v>1</v>
      </c>
      <c r="B470" s="460" t="s">
        <v>3816</v>
      </c>
      <c r="C470" s="461"/>
      <c r="D470" s="448"/>
      <c r="E470" s="449"/>
      <c r="F470" s="478"/>
      <c r="G470" s="451"/>
      <c r="H470" s="466" t="s">
        <v>853</v>
      </c>
      <c r="I470" s="458">
        <v>22000</v>
      </c>
      <c r="J470" s="458"/>
      <c r="K470" s="446"/>
      <c r="M470" s="469"/>
      <c r="N470" s="453"/>
      <c r="O470" s="454"/>
      <c r="P470" s="454"/>
      <c r="Q470" s="454"/>
      <c r="R470" s="454"/>
      <c r="S470" s="455"/>
    </row>
    <row r="471" spans="1:19">
      <c r="A471" s="446">
        <v>2</v>
      </c>
      <c r="B471" s="460" t="s">
        <v>3817</v>
      </c>
      <c r="C471" s="461"/>
      <c r="D471" s="448"/>
      <c r="E471" s="449"/>
      <c r="F471" s="478"/>
      <c r="G471" s="451"/>
      <c r="H471" s="466" t="s">
        <v>1346</v>
      </c>
      <c r="I471" s="458">
        <v>65000</v>
      </c>
      <c r="J471" s="458"/>
      <c r="K471" s="446"/>
      <c r="M471" s="469"/>
      <c r="N471" s="453"/>
      <c r="O471" s="454"/>
      <c r="P471" s="454"/>
      <c r="Q471" s="454"/>
      <c r="R471" s="454"/>
      <c r="S471" s="455"/>
    </row>
    <row r="472" spans="1:19">
      <c r="A472" s="446">
        <v>3</v>
      </c>
      <c r="B472" s="460" t="s">
        <v>3818</v>
      </c>
      <c r="C472" s="461"/>
      <c r="D472" s="448"/>
      <c r="E472" s="449"/>
      <c r="F472" s="478"/>
      <c r="G472" s="451"/>
      <c r="H472" s="466" t="s">
        <v>1423</v>
      </c>
      <c r="I472" s="458">
        <v>12000</v>
      </c>
      <c r="J472" s="458"/>
      <c r="K472" s="446"/>
      <c r="M472" s="469"/>
      <c r="N472" s="453"/>
      <c r="O472" s="454"/>
      <c r="P472" s="454"/>
      <c r="Q472" s="454"/>
      <c r="R472" s="454"/>
      <c r="S472" s="455"/>
    </row>
    <row r="473" spans="1:19">
      <c r="A473" s="446">
        <v>4</v>
      </c>
      <c r="B473" s="460" t="s">
        <v>3819</v>
      </c>
      <c r="C473" s="461"/>
      <c r="D473" s="448"/>
      <c r="E473" s="449"/>
      <c r="F473" s="478"/>
      <c r="G473" s="451"/>
      <c r="H473" s="466" t="s">
        <v>1423</v>
      </c>
      <c r="I473" s="458">
        <v>2250000</v>
      </c>
      <c r="J473" s="458"/>
      <c r="K473" s="446"/>
      <c r="M473" s="469"/>
      <c r="N473" s="453"/>
      <c r="O473" s="454"/>
      <c r="P473" s="454"/>
      <c r="Q473" s="454"/>
      <c r="R473" s="454"/>
      <c r="S473" s="455"/>
    </row>
    <row r="474" spans="1:19">
      <c r="A474" s="446">
        <v>5</v>
      </c>
      <c r="B474" s="460" t="s">
        <v>3820</v>
      </c>
      <c r="C474" s="461"/>
      <c r="D474" s="448"/>
      <c r="E474" s="449"/>
      <c r="F474" s="478"/>
      <c r="G474" s="451"/>
      <c r="H474" s="466" t="s">
        <v>1346</v>
      </c>
      <c r="I474" s="458">
        <v>85000</v>
      </c>
      <c r="J474" s="458"/>
      <c r="K474" s="446"/>
      <c r="M474" s="469"/>
      <c r="N474" s="453"/>
      <c r="O474" s="454"/>
      <c r="P474" s="454"/>
      <c r="Q474" s="454"/>
      <c r="R474" s="454"/>
      <c r="S474" s="455"/>
    </row>
    <row r="475" spans="1:19">
      <c r="A475" s="446">
        <v>6</v>
      </c>
      <c r="B475" s="460" t="s">
        <v>3821</v>
      </c>
      <c r="C475" s="461"/>
      <c r="D475" s="448"/>
      <c r="E475" s="449"/>
      <c r="F475" s="478"/>
      <c r="G475" s="451"/>
      <c r="H475" s="466" t="s">
        <v>1346</v>
      </c>
      <c r="I475" s="458">
        <v>7500000</v>
      </c>
      <c r="J475" s="458"/>
      <c r="K475" s="446"/>
      <c r="M475" s="469"/>
      <c r="N475" s="453"/>
      <c r="O475" s="454"/>
      <c r="P475" s="454"/>
      <c r="Q475" s="454"/>
      <c r="R475" s="454"/>
      <c r="S475" s="455"/>
    </row>
    <row r="476" spans="1:19">
      <c r="A476" s="446">
        <v>7</v>
      </c>
      <c r="B476" s="460" t="s">
        <v>3822</v>
      </c>
      <c r="C476" s="461"/>
      <c r="D476" s="448"/>
      <c r="E476" s="449"/>
      <c r="F476" s="478"/>
      <c r="G476" s="451"/>
      <c r="H476" s="466" t="s">
        <v>853</v>
      </c>
      <c r="I476" s="458">
        <v>55000</v>
      </c>
      <c r="J476" s="458"/>
      <c r="K476" s="446"/>
      <c r="M476" s="469"/>
      <c r="N476" s="453"/>
      <c r="O476" s="454"/>
      <c r="P476" s="454"/>
      <c r="Q476" s="454"/>
      <c r="R476" s="454"/>
      <c r="S476" s="455"/>
    </row>
    <row r="477" spans="1:19">
      <c r="A477" s="446">
        <v>8</v>
      </c>
      <c r="B477" s="460" t="s">
        <v>3823</v>
      </c>
      <c r="C477" s="461"/>
      <c r="D477" s="448"/>
      <c r="E477" s="449"/>
      <c r="F477" s="478"/>
      <c r="G477" s="451"/>
      <c r="H477" s="466" t="s">
        <v>3177</v>
      </c>
      <c r="I477" s="458">
        <v>121000.00000000001</v>
      </c>
      <c r="J477" s="458"/>
      <c r="K477" s="446"/>
      <c r="M477" s="469"/>
      <c r="N477" s="453"/>
      <c r="O477" s="454"/>
      <c r="P477" s="454"/>
      <c r="Q477" s="454"/>
      <c r="R477" s="454"/>
      <c r="S477" s="455"/>
    </row>
    <row r="478" spans="1:19">
      <c r="A478" s="446">
        <v>9</v>
      </c>
      <c r="B478" s="480" t="s">
        <v>3980</v>
      </c>
      <c r="C478" s="461"/>
      <c r="D478" s="448"/>
      <c r="E478" s="449"/>
      <c r="F478" s="478"/>
      <c r="G478" s="451"/>
      <c r="H478" s="466" t="s">
        <v>2997</v>
      </c>
      <c r="I478" s="458">
        <v>12000000</v>
      </c>
      <c r="J478" s="458"/>
      <c r="K478" s="446"/>
      <c r="M478" s="469"/>
      <c r="N478" s="453"/>
      <c r="O478" s="454"/>
      <c r="P478" s="454"/>
      <c r="Q478" s="454"/>
      <c r="R478" s="454"/>
      <c r="S478" s="455"/>
    </row>
    <row r="479" spans="1:19">
      <c r="A479" s="477"/>
      <c r="B479" s="460"/>
      <c r="C479" s="461"/>
      <c r="D479" s="448"/>
      <c r="E479" s="449"/>
      <c r="F479" s="478"/>
      <c r="G479" s="451"/>
      <c r="H479" s="466"/>
      <c r="I479" s="458"/>
      <c r="J479" s="458"/>
      <c r="K479" s="446"/>
      <c r="M479" s="469"/>
      <c r="N479" s="453"/>
      <c r="O479" s="454"/>
      <c r="P479" s="454"/>
      <c r="Q479" s="454"/>
      <c r="R479" s="454"/>
      <c r="S479" s="455"/>
    </row>
    <row r="480" spans="1:19">
      <c r="A480" s="477"/>
      <c r="B480" s="484" t="s">
        <v>3230</v>
      </c>
      <c r="C480" s="485"/>
      <c r="D480" s="485"/>
      <c r="E480" s="538"/>
      <c r="F480" s="478"/>
      <c r="G480" s="451"/>
      <c r="H480" s="451"/>
      <c r="I480" s="445"/>
      <c r="J480" s="445"/>
      <c r="K480" s="446"/>
      <c r="M480" s="469"/>
      <c r="N480" s="453"/>
      <c r="O480" s="454"/>
      <c r="P480" s="454"/>
      <c r="Q480" s="454"/>
      <c r="R480" s="454"/>
      <c r="S480" s="455"/>
    </row>
    <row r="481" spans="1:19" hidden="1">
      <c r="A481" s="477"/>
      <c r="B481" s="484"/>
      <c r="C481" s="485"/>
      <c r="D481" s="485"/>
      <c r="E481" s="538"/>
      <c r="F481" s="478"/>
      <c r="G481" s="451"/>
      <c r="H481" s="451"/>
      <c r="I481" s="445"/>
      <c r="J481" s="445"/>
      <c r="K481" s="446"/>
      <c r="M481" s="469" t="e">
        <f t="shared" ref="M481:M504" si="15">AVERAGE(N481:S481)</f>
        <v>#DIV/0!</v>
      </c>
      <c r="N481" s="453"/>
      <c r="O481" s="454"/>
      <c r="P481" s="454"/>
      <c r="Q481" s="454"/>
      <c r="R481" s="454"/>
      <c r="S481" s="455"/>
    </row>
    <row r="482" spans="1:19">
      <c r="A482" s="446">
        <v>1</v>
      </c>
      <c r="B482" s="447" t="s">
        <v>3231</v>
      </c>
      <c r="C482" s="448"/>
      <c r="D482" s="448"/>
      <c r="E482" s="449"/>
      <c r="F482" s="450"/>
      <c r="G482" s="451"/>
      <c r="H482" s="451" t="s">
        <v>1423</v>
      </c>
      <c r="I482" s="482">
        <v>178500</v>
      </c>
      <c r="J482" s="482"/>
      <c r="K482" s="446"/>
      <c r="M482" s="469">
        <f t="shared" si="15"/>
        <v>170000</v>
      </c>
      <c r="N482" s="453"/>
      <c r="O482" s="454"/>
      <c r="P482" s="454">
        <v>170000</v>
      </c>
      <c r="Q482" s="454"/>
      <c r="R482" s="454"/>
      <c r="S482" s="455"/>
    </row>
    <row r="483" spans="1:19">
      <c r="A483" s="446">
        <v>2</v>
      </c>
      <c r="B483" s="447" t="s">
        <v>3232</v>
      </c>
      <c r="C483" s="448"/>
      <c r="D483" s="448"/>
      <c r="E483" s="449"/>
      <c r="F483" s="450"/>
      <c r="G483" s="451"/>
      <c r="H483" s="451" t="s">
        <v>1423</v>
      </c>
      <c r="I483" s="482">
        <v>89000</v>
      </c>
      <c r="J483" s="482"/>
      <c r="K483" s="446"/>
      <c r="M483" s="469"/>
      <c r="N483" s="453"/>
      <c r="O483" s="454"/>
      <c r="P483" s="454"/>
      <c r="Q483" s="454"/>
      <c r="R483" s="454"/>
      <c r="S483" s="455"/>
    </row>
    <row r="484" spans="1:19">
      <c r="A484" s="446">
        <v>3</v>
      </c>
      <c r="B484" s="447" t="s">
        <v>3233</v>
      </c>
      <c r="C484" s="448"/>
      <c r="D484" s="448"/>
      <c r="E484" s="449"/>
      <c r="F484" s="450"/>
      <c r="G484" s="451"/>
      <c r="H484" s="451" t="s">
        <v>1423</v>
      </c>
      <c r="I484" s="482">
        <v>10000</v>
      </c>
      <c r="J484" s="482"/>
      <c r="K484" s="446"/>
      <c r="M484" s="469">
        <f t="shared" si="15"/>
        <v>22400</v>
      </c>
      <c r="N484" s="453">
        <v>28000</v>
      </c>
      <c r="O484" s="454">
        <v>27000</v>
      </c>
      <c r="P484" s="454">
        <v>15000</v>
      </c>
      <c r="Q484" s="454"/>
      <c r="R484" s="454">
        <v>15000</v>
      </c>
      <c r="S484" s="455">
        <v>27000</v>
      </c>
    </row>
    <row r="485" spans="1:19">
      <c r="A485" s="446">
        <v>4</v>
      </c>
      <c r="B485" s="447" t="s">
        <v>3234</v>
      </c>
      <c r="C485" s="448"/>
      <c r="D485" s="448"/>
      <c r="E485" s="449"/>
      <c r="F485" s="450"/>
      <c r="G485" s="451"/>
      <c r="H485" s="451" t="s">
        <v>1423</v>
      </c>
      <c r="I485" s="482">
        <v>8000</v>
      </c>
      <c r="J485" s="482"/>
      <c r="K485" s="446"/>
      <c r="M485" s="469">
        <f t="shared" si="15"/>
        <v>17600</v>
      </c>
      <c r="N485" s="453">
        <v>24000</v>
      </c>
      <c r="O485" s="454">
        <v>23000</v>
      </c>
      <c r="P485" s="454">
        <v>8000</v>
      </c>
      <c r="Q485" s="454"/>
      <c r="R485" s="454">
        <v>10000</v>
      </c>
      <c r="S485" s="455">
        <v>23000</v>
      </c>
    </row>
    <row r="486" spans="1:19">
      <c r="A486" s="446">
        <v>5</v>
      </c>
      <c r="B486" s="447" t="s">
        <v>4630</v>
      </c>
      <c r="C486" s="448"/>
      <c r="D486" s="448"/>
      <c r="E486" s="449"/>
      <c r="F486" s="450"/>
      <c r="G486" s="451"/>
      <c r="H486" s="451" t="s">
        <v>1423</v>
      </c>
      <c r="I486" s="482">
        <v>109200</v>
      </c>
      <c r="J486" s="482"/>
      <c r="K486" s="446"/>
      <c r="M486" s="469"/>
      <c r="N486" s="453"/>
      <c r="O486" s="454"/>
      <c r="P486" s="454"/>
      <c r="Q486" s="454"/>
      <c r="R486" s="454"/>
      <c r="S486" s="455"/>
    </row>
    <row r="487" spans="1:19">
      <c r="A487" s="446">
        <v>6</v>
      </c>
      <c r="B487" s="447" t="s">
        <v>4631</v>
      </c>
      <c r="C487" s="448"/>
      <c r="D487" s="448"/>
      <c r="E487" s="449"/>
      <c r="F487" s="450"/>
      <c r="G487" s="451"/>
      <c r="H487" s="451" t="s">
        <v>1423</v>
      </c>
      <c r="I487" s="482">
        <v>24000</v>
      </c>
      <c r="J487" s="482"/>
      <c r="K487" s="446"/>
      <c r="M487" s="469"/>
      <c r="N487" s="453"/>
      <c r="O487" s="454"/>
      <c r="P487" s="454"/>
      <c r="Q487" s="454"/>
      <c r="R487" s="454"/>
      <c r="S487" s="455"/>
    </row>
    <row r="488" spans="1:19">
      <c r="A488" s="446">
        <v>7</v>
      </c>
      <c r="B488" s="447" t="s">
        <v>3235</v>
      </c>
      <c r="C488" s="448"/>
      <c r="D488" s="448"/>
      <c r="E488" s="449"/>
      <c r="F488" s="450"/>
      <c r="G488" s="451"/>
      <c r="H488" s="451" t="s">
        <v>1423</v>
      </c>
      <c r="I488" s="482">
        <v>25000</v>
      </c>
      <c r="J488" s="482"/>
      <c r="K488" s="446"/>
      <c r="M488" s="469">
        <f t="shared" si="15"/>
        <v>14000</v>
      </c>
      <c r="N488" s="453"/>
      <c r="O488" s="454">
        <v>12000</v>
      </c>
      <c r="P488" s="454">
        <v>15000</v>
      </c>
      <c r="Q488" s="454"/>
      <c r="R488" s="454">
        <v>15000</v>
      </c>
      <c r="S488" s="455"/>
    </row>
    <row r="489" spans="1:19">
      <c r="A489" s="446">
        <v>8</v>
      </c>
      <c r="B489" s="447" t="s">
        <v>3236</v>
      </c>
      <c r="C489" s="448"/>
      <c r="D489" s="448"/>
      <c r="E489" s="449"/>
      <c r="F489" s="450"/>
      <c r="G489" s="451"/>
      <c r="H489" s="451" t="s">
        <v>1423</v>
      </c>
      <c r="I489" s="482">
        <v>20000</v>
      </c>
      <c r="J489" s="482"/>
      <c r="K489" s="446"/>
      <c r="M489" s="469">
        <f t="shared" si="15"/>
        <v>9666.6666666666661</v>
      </c>
      <c r="N489" s="453"/>
      <c r="O489" s="454">
        <v>10000</v>
      </c>
      <c r="P489" s="454">
        <v>9000</v>
      </c>
      <c r="Q489" s="454"/>
      <c r="R489" s="454">
        <v>10000</v>
      </c>
      <c r="S489" s="455"/>
    </row>
    <row r="490" spans="1:19">
      <c r="A490" s="446">
        <v>9</v>
      </c>
      <c r="B490" s="447" t="s">
        <v>3237</v>
      </c>
      <c r="C490" s="448"/>
      <c r="D490" s="448"/>
      <c r="E490" s="449"/>
      <c r="F490" s="450"/>
      <c r="G490" s="451"/>
      <c r="H490" s="451" t="s">
        <v>1423</v>
      </c>
      <c r="I490" s="482">
        <v>9000</v>
      </c>
      <c r="J490" s="482"/>
      <c r="K490" s="446"/>
      <c r="M490" s="469">
        <f t="shared" si="15"/>
        <v>10666.666666666666</v>
      </c>
      <c r="N490" s="453">
        <v>18000</v>
      </c>
      <c r="O490" s="454">
        <v>2000</v>
      </c>
      <c r="P490" s="454">
        <v>10000</v>
      </c>
      <c r="Q490" s="454">
        <v>7000</v>
      </c>
      <c r="R490" s="454">
        <v>10000</v>
      </c>
      <c r="S490" s="455">
        <v>17000</v>
      </c>
    </row>
    <row r="491" spans="1:19">
      <c r="A491" s="446">
        <v>10</v>
      </c>
      <c r="B491" s="447" t="s">
        <v>3238</v>
      </c>
      <c r="C491" s="448"/>
      <c r="D491" s="448"/>
      <c r="E491" s="449"/>
      <c r="F491" s="450"/>
      <c r="G491" s="451"/>
      <c r="H491" s="451" t="s">
        <v>1423</v>
      </c>
      <c r="I491" s="482">
        <v>8500</v>
      </c>
      <c r="J491" s="482"/>
      <c r="K491" s="446"/>
      <c r="M491" s="469">
        <f t="shared" si="15"/>
        <v>6000</v>
      </c>
      <c r="N491" s="453"/>
      <c r="O491" s="454">
        <v>5000</v>
      </c>
      <c r="P491" s="454"/>
      <c r="Q491" s="454">
        <v>10000</v>
      </c>
      <c r="R491" s="454">
        <v>3000</v>
      </c>
      <c r="S491" s="455"/>
    </row>
    <row r="492" spans="1:19">
      <c r="A492" s="446">
        <v>11</v>
      </c>
      <c r="B492" s="447" t="s">
        <v>3239</v>
      </c>
      <c r="C492" s="448"/>
      <c r="D492" s="448"/>
      <c r="E492" s="449"/>
      <c r="F492" s="450"/>
      <c r="G492" s="451"/>
      <c r="H492" s="451" t="s">
        <v>1423</v>
      </c>
      <c r="I492" s="482">
        <v>65000</v>
      </c>
      <c r="J492" s="482"/>
      <c r="K492" s="446"/>
      <c r="M492" s="469"/>
      <c r="N492" s="453"/>
      <c r="O492" s="454"/>
      <c r="P492" s="454"/>
      <c r="Q492" s="454"/>
      <c r="R492" s="454"/>
      <c r="S492" s="455"/>
    </row>
    <row r="493" spans="1:19">
      <c r="A493" s="446">
        <v>12</v>
      </c>
      <c r="B493" s="447" t="s">
        <v>3240</v>
      </c>
      <c r="C493" s="448"/>
      <c r="D493" s="448"/>
      <c r="E493" s="449"/>
      <c r="F493" s="450"/>
      <c r="G493" s="451"/>
      <c r="H493" s="451" t="s">
        <v>1423</v>
      </c>
      <c r="I493" s="482">
        <v>180000</v>
      </c>
      <c r="J493" s="482"/>
      <c r="K493" s="446"/>
      <c r="M493" s="469"/>
      <c r="N493" s="453"/>
      <c r="O493" s="454"/>
      <c r="P493" s="454"/>
      <c r="Q493" s="454"/>
      <c r="R493" s="454"/>
      <c r="S493" s="455"/>
    </row>
    <row r="494" spans="1:19">
      <c r="A494" s="446">
        <v>13</v>
      </c>
      <c r="B494" s="447" t="s">
        <v>3241</v>
      </c>
      <c r="C494" s="448"/>
      <c r="D494" s="448"/>
      <c r="E494" s="449"/>
      <c r="F494" s="450"/>
      <c r="G494" s="451"/>
      <c r="H494" s="451" t="s">
        <v>1423</v>
      </c>
      <c r="I494" s="482">
        <v>62000</v>
      </c>
      <c r="J494" s="482"/>
      <c r="K494" s="446"/>
      <c r="M494" s="469"/>
      <c r="N494" s="453"/>
      <c r="O494" s="454"/>
      <c r="P494" s="454"/>
      <c r="Q494" s="454"/>
      <c r="R494" s="454"/>
      <c r="S494" s="455"/>
    </row>
    <row r="495" spans="1:19">
      <c r="A495" s="446">
        <v>14</v>
      </c>
      <c r="B495" s="447" t="s">
        <v>3242</v>
      </c>
      <c r="C495" s="448"/>
      <c r="D495" s="448"/>
      <c r="E495" s="449"/>
      <c r="F495" s="450"/>
      <c r="G495" s="451"/>
      <c r="H495" s="451" t="s">
        <v>1423</v>
      </c>
      <c r="I495" s="482">
        <v>35000</v>
      </c>
      <c r="J495" s="482"/>
      <c r="K495" s="446"/>
      <c r="M495" s="469">
        <f t="shared" si="15"/>
        <v>45000</v>
      </c>
      <c r="N495" s="453"/>
      <c r="O495" s="454">
        <v>45000</v>
      </c>
      <c r="P495" s="454"/>
      <c r="Q495" s="454">
        <v>45000</v>
      </c>
      <c r="R495" s="454"/>
      <c r="S495" s="455"/>
    </row>
    <row r="496" spans="1:19">
      <c r="A496" s="446">
        <v>15</v>
      </c>
      <c r="B496" s="447" t="s">
        <v>3243</v>
      </c>
      <c r="C496" s="448"/>
      <c r="D496" s="448"/>
      <c r="E496" s="449"/>
      <c r="F496" s="450"/>
      <c r="G496" s="451"/>
      <c r="H496" s="451" t="s">
        <v>1423</v>
      </c>
      <c r="I496" s="482">
        <v>14025</v>
      </c>
      <c r="J496" s="482"/>
      <c r="K496" s="446"/>
      <c r="M496" s="469">
        <f t="shared" si="15"/>
        <v>11666.666666666666</v>
      </c>
      <c r="N496" s="453"/>
      <c r="O496" s="454">
        <v>15000</v>
      </c>
      <c r="P496" s="454"/>
      <c r="Q496" s="454">
        <v>10000</v>
      </c>
      <c r="R496" s="454">
        <v>10000</v>
      </c>
      <c r="S496" s="455"/>
    </row>
    <row r="497" spans="1:19">
      <c r="A497" s="446">
        <v>16</v>
      </c>
      <c r="B497" s="447" t="s">
        <v>3244</v>
      </c>
      <c r="C497" s="448"/>
      <c r="D497" s="448"/>
      <c r="E497" s="449"/>
      <c r="F497" s="450"/>
      <c r="G497" s="451"/>
      <c r="H497" s="451" t="s">
        <v>1423</v>
      </c>
      <c r="I497" s="482">
        <v>235000</v>
      </c>
      <c r="J497" s="482"/>
      <c r="K497" s="446"/>
      <c r="M497" s="469"/>
      <c r="N497" s="453"/>
      <c r="O497" s="454"/>
      <c r="P497" s="454"/>
      <c r="Q497" s="454"/>
      <c r="R497" s="454"/>
      <c r="S497" s="455"/>
    </row>
    <row r="498" spans="1:19">
      <c r="A498" s="446">
        <v>17</v>
      </c>
      <c r="B498" s="447" t="s">
        <v>3496</v>
      </c>
      <c r="C498" s="448"/>
      <c r="D498" s="448"/>
      <c r="E498" s="449"/>
      <c r="F498" s="450"/>
      <c r="G498" s="451"/>
      <c r="H498" s="451" t="s">
        <v>1423</v>
      </c>
      <c r="I498" s="440">
        <v>60000</v>
      </c>
      <c r="J498" s="440"/>
      <c r="K498" s="446"/>
      <c r="M498" s="469"/>
      <c r="N498" s="453"/>
      <c r="O498" s="454"/>
      <c r="P498" s="454"/>
      <c r="Q498" s="454"/>
      <c r="R498" s="454"/>
      <c r="S498" s="455"/>
    </row>
    <row r="499" spans="1:19">
      <c r="A499" s="446">
        <v>18</v>
      </c>
      <c r="B499" s="447" t="s">
        <v>3501</v>
      </c>
      <c r="C499" s="448"/>
      <c r="D499" s="448"/>
      <c r="E499" s="449"/>
      <c r="F499" s="450"/>
      <c r="G499" s="451"/>
      <c r="H499" s="451" t="s">
        <v>1423</v>
      </c>
      <c r="I499" s="440">
        <v>25500</v>
      </c>
      <c r="J499" s="440"/>
      <c r="K499" s="446"/>
      <c r="M499" s="469">
        <f t="shared" si="15"/>
        <v>25000</v>
      </c>
      <c r="N499" s="453"/>
      <c r="O499" s="454"/>
      <c r="P499" s="454">
        <v>25000</v>
      </c>
      <c r="Q499" s="454"/>
      <c r="R499" s="454"/>
      <c r="S499" s="455"/>
    </row>
    <row r="500" spans="1:19">
      <c r="A500" s="446"/>
      <c r="B500" s="447"/>
      <c r="C500" s="448"/>
      <c r="D500" s="448"/>
      <c r="E500" s="449"/>
      <c r="F500" s="450"/>
      <c r="G500" s="451"/>
      <c r="H500" s="451"/>
      <c r="I500" s="440"/>
      <c r="J500" s="440"/>
      <c r="K500" s="446"/>
      <c r="M500" s="469"/>
      <c r="N500" s="453"/>
      <c r="O500" s="454"/>
      <c r="P500" s="454"/>
      <c r="Q500" s="454"/>
      <c r="R500" s="454"/>
      <c r="S500" s="455"/>
    </row>
    <row r="501" spans="1:19">
      <c r="A501" s="477"/>
      <c r="B501" s="484" t="s">
        <v>3245</v>
      </c>
      <c r="C501" s="485"/>
      <c r="D501" s="485"/>
      <c r="E501" s="538"/>
      <c r="F501" s="478"/>
      <c r="G501" s="451"/>
      <c r="H501" s="451"/>
      <c r="I501" s="445"/>
      <c r="J501" s="445"/>
      <c r="K501" s="446"/>
      <c r="M501" s="469"/>
      <c r="N501" s="453"/>
      <c r="O501" s="454"/>
      <c r="P501" s="454"/>
      <c r="Q501" s="454"/>
      <c r="R501" s="454"/>
      <c r="S501" s="455"/>
    </row>
    <row r="502" spans="1:19">
      <c r="A502" s="446">
        <v>1</v>
      </c>
      <c r="B502" s="447" t="s">
        <v>3246</v>
      </c>
      <c r="C502" s="448"/>
      <c r="D502" s="448"/>
      <c r="E502" s="449"/>
      <c r="F502" s="450"/>
      <c r="G502" s="451"/>
      <c r="H502" s="451" t="s">
        <v>715</v>
      </c>
      <c r="I502" s="440">
        <v>3500</v>
      </c>
      <c r="J502" s="440"/>
      <c r="K502" s="446"/>
      <c r="M502" s="469">
        <f t="shared" si="15"/>
        <v>5000</v>
      </c>
      <c r="N502" s="453"/>
      <c r="O502" s="454">
        <v>8000</v>
      </c>
      <c r="P502" s="454">
        <v>3000</v>
      </c>
      <c r="Q502" s="454">
        <v>4000</v>
      </c>
      <c r="R502" s="454">
        <v>5000</v>
      </c>
      <c r="S502" s="455"/>
    </row>
    <row r="503" spans="1:19">
      <c r="A503" s="446">
        <f t="shared" ref="A503:A508" si="16">A502+1</f>
        <v>2</v>
      </c>
      <c r="B503" s="447" t="s">
        <v>1373</v>
      </c>
      <c r="C503" s="448"/>
      <c r="D503" s="448"/>
      <c r="E503" s="449"/>
      <c r="F503" s="450"/>
      <c r="G503" s="451"/>
      <c r="H503" s="451" t="s">
        <v>1423</v>
      </c>
      <c r="I503" s="440">
        <v>24000</v>
      </c>
      <c r="J503" s="440"/>
      <c r="K503" s="446"/>
      <c r="M503" s="469">
        <f t="shared" si="15"/>
        <v>22666.666666666668</v>
      </c>
      <c r="N503" s="453"/>
      <c r="O503" s="454">
        <v>8000</v>
      </c>
      <c r="P503" s="454">
        <v>20000</v>
      </c>
      <c r="Q503" s="454"/>
      <c r="R503" s="454"/>
      <c r="S503" s="455">
        <v>40000</v>
      </c>
    </row>
    <row r="504" spans="1:19">
      <c r="A504" s="446">
        <f t="shared" si="16"/>
        <v>3</v>
      </c>
      <c r="B504" s="447" t="s">
        <v>3247</v>
      </c>
      <c r="C504" s="448"/>
      <c r="D504" s="448"/>
      <c r="E504" s="449"/>
      <c r="F504" s="450"/>
      <c r="G504" s="451"/>
      <c r="H504" s="451" t="s">
        <v>1423</v>
      </c>
      <c r="I504" s="440">
        <v>1237500</v>
      </c>
      <c r="J504" s="440"/>
      <c r="K504" s="446"/>
      <c r="M504" s="469">
        <f t="shared" si="15"/>
        <v>42000</v>
      </c>
      <c r="N504" s="453">
        <v>42000</v>
      </c>
      <c r="O504" s="454"/>
      <c r="P504" s="454"/>
      <c r="Q504" s="454"/>
      <c r="R504" s="454"/>
      <c r="S504" s="455"/>
    </row>
    <row r="505" spans="1:19">
      <c r="A505" s="446">
        <f t="shared" si="16"/>
        <v>4</v>
      </c>
      <c r="B505" s="447" t="s">
        <v>3248</v>
      </c>
      <c r="C505" s="448"/>
      <c r="D505" s="448"/>
      <c r="E505" s="449"/>
      <c r="F505" s="450"/>
      <c r="G505" s="451"/>
      <c r="H505" s="451" t="s">
        <v>3249</v>
      </c>
      <c r="I505" s="440">
        <v>2000000</v>
      </c>
      <c r="J505" s="440"/>
      <c r="K505" s="446"/>
      <c r="M505" s="469"/>
      <c r="N505" s="453"/>
      <c r="O505" s="454"/>
      <c r="P505" s="454"/>
      <c r="Q505" s="454"/>
      <c r="R505" s="454"/>
      <c r="S505" s="455"/>
    </row>
    <row r="506" spans="1:19">
      <c r="A506" s="446">
        <f t="shared" si="16"/>
        <v>5</v>
      </c>
      <c r="B506" s="447" t="s">
        <v>3250</v>
      </c>
      <c r="C506" s="448"/>
      <c r="D506" s="448"/>
      <c r="E506" s="449"/>
      <c r="F506" s="450"/>
      <c r="G506" s="451"/>
      <c r="H506" s="451" t="s">
        <v>690</v>
      </c>
      <c r="I506" s="440">
        <v>11550.000000000002</v>
      </c>
      <c r="J506" s="440"/>
      <c r="K506" s="446"/>
      <c r="M506" s="469"/>
      <c r="N506" s="453"/>
      <c r="O506" s="454"/>
      <c r="P506" s="454"/>
      <c r="Q506" s="454"/>
      <c r="R506" s="454"/>
      <c r="S506" s="455"/>
    </row>
    <row r="507" spans="1:19">
      <c r="A507" s="446">
        <f t="shared" si="16"/>
        <v>6</v>
      </c>
      <c r="B507" s="447" t="s">
        <v>3251</v>
      </c>
      <c r="C507" s="448"/>
      <c r="D507" s="448"/>
      <c r="E507" s="449"/>
      <c r="F507" s="450"/>
      <c r="G507" s="451"/>
      <c r="H507" s="451" t="s">
        <v>2647</v>
      </c>
      <c r="I507" s="440">
        <v>75000</v>
      </c>
      <c r="J507" s="440"/>
      <c r="K507" s="446"/>
      <c r="M507" s="469"/>
      <c r="N507" s="453"/>
      <c r="O507" s="454"/>
      <c r="P507" s="454"/>
      <c r="Q507" s="454"/>
      <c r="R507" s="454"/>
      <c r="S507" s="455"/>
    </row>
    <row r="508" spans="1:19">
      <c r="A508" s="446">
        <f t="shared" si="16"/>
        <v>7</v>
      </c>
      <c r="B508" s="447" t="s">
        <v>3252</v>
      </c>
      <c r="C508" s="448"/>
      <c r="D508" s="448"/>
      <c r="E508" s="449"/>
      <c r="F508" s="450"/>
      <c r="G508" s="451"/>
      <c r="H508" s="451" t="s">
        <v>773</v>
      </c>
      <c r="I508" s="440">
        <v>22000</v>
      </c>
      <c r="J508" s="440"/>
      <c r="K508" s="446"/>
      <c r="M508" s="469"/>
      <c r="N508" s="453"/>
      <c r="O508" s="454"/>
      <c r="P508" s="454"/>
      <c r="Q508" s="454"/>
      <c r="R508" s="454"/>
      <c r="S508" s="455"/>
    </row>
    <row r="509" spans="1:19" hidden="1">
      <c r="A509" s="446"/>
      <c r="B509" s="447"/>
      <c r="C509" s="448"/>
      <c r="D509" s="448"/>
      <c r="E509" s="449"/>
      <c r="F509" s="450"/>
      <c r="G509" s="451"/>
      <c r="H509" s="451"/>
      <c r="I509" s="440"/>
      <c r="J509" s="440"/>
      <c r="K509" s="446"/>
      <c r="M509" s="469"/>
      <c r="N509" s="453"/>
      <c r="O509" s="454"/>
      <c r="P509" s="454"/>
      <c r="Q509" s="454"/>
      <c r="R509" s="454"/>
      <c r="S509" s="455"/>
    </row>
    <row r="510" spans="1:19">
      <c r="A510" s="446"/>
      <c r="B510" s="447"/>
      <c r="C510" s="448"/>
      <c r="D510" s="448"/>
      <c r="E510" s="449"/>
      <c r="F510" s="450"/>
      <c r="G510" s="451"/>
      <c r="H510" s="451"/>
      <c r="I510" s="440"/>
      <c r="J510" s="440"/>
      <c r="K510" s="446"/>
      <c r="M510" s="469"/>
      <c r="N510" s="453"/>
      <c r="O510" s="454"/>
      <c r="P510" s="454"/>
      <c r="Q510" s="454"/>
      <c r="R510" s="454"/>
      <c r="S510" s="455"/>
    </row>
    <row r="511" spans="1:19">
      <c r="A511" s="477"/>
      <c r="B511" s="484" t="s">
        <v>3253</v>
      </c>
      <c r="C511" s="485"/>
      <c r="D511" s="485"/>
      <c r="E511" s="538"/>
      <c r="F511" s="478"/>
      <c r="G511" s="451"/>
      <c r="H511" s="451"/>
      <c r="I511" s="445"/>
      <c r="J511" s="445"/>
      <c r="K511" s="446"/>
      <c r="M511" s="469"/>
      <c r="N511" s="453"/>
      <c r="O511" s="454"/>
      <c r="P511" s="454"/>
      <c r="Q511" s="454"/>
      <c r="R511" s="454"/>
      <c r="S511" s="455"/>
    </row>
    <row r="512" spans="1:19">
      <c r="A512" s="446">
        <v>1</v>
      </c>
      <c r="B512" s="447" t="s">
        <v>3254</v>
      </c>
      <c r="C512" s="448"/>
      <c r="D512" s="448"/>
      <c r="E512" s="449"/>
      <c r="F512" s="450"/>
      <c r="G512" s="451"/>
      <c r="H512" s="451" t="s">
        <v>2093</v>
      </c>
      <c r="I512" s="440">
        <v>7000</v>
      </c>
      <c r="J512" s="440"/>
      <c r="K512" s="446"/>
      <c r="M512" s="469"/>
      <c r="N512" s="453"/>
      <c r="O512" s="454"/>
      <c r="P512" s="454"/>
      <c r="Q512" s="454"/>
      <c r="R512" s="454"/>
      <c r="S512" s="455"/>
    </row>
    <row r="513" spans="1:19">
      <c r="A513" s="446">
        <f t="shared" ref="A513:A521" si="17">A512+1</f>
        <v>2</v>
      </c>
      <c r="B513" s="447" t="s">
        <v>3255</v>
      </c>
      <c r="C513" s="448"/>
      <c r="D513" s="448"/>
      <c r="E513" s="449"/>
      <c r="F513" s="450"/>
      <c r="G513" s="451"/>
      <c r="H513" s="451" t="s">
        <v>701</v>
      </c>
      <c r="I513" s="440">
        <v>50000</v>
      </c>
      <c r="J513" s="440"/>
      <c r="K513" s="446"/>
      <c r="M513" s="469"/>
      <c r="N513" s="453"/>
      <c r="O513" s="454"/>
      <c r="P513" s="454"/>
      <c r="Q513" s="454"/>
      <c r="R513" s="454"/>
      <c r="S513" s="455"/>
    </row>
    <row r="514" spans="1:19">
      <c r="A514" s="446">
        <f t="shared" si="17"/>
        <v>3</v>
      </c>
      <c r="B514" s="447" t="s">
        <v>3256</v>
      </c>
      <c r="C514" s="448"/>
      <c r="D514" s="448"/>
      <c r="E514" s="449"/>
      <c r="F514" s="450"/>
      <c r="G514" s="451"/>
      <c r="H514" s="451" t="s">
        <v>701</v>
      </c>
      <c r="I514" s="440">
        <v>50000</v>
      </c>
      <c r="J514" s="440"/>
      <c r="K514" s="446"/>
      <c r="M514" s="469">
        <f t="shared" ref="M514:M545" si="18">AVERAGE(N514:S514)</f>
        <v>25000</v>
      </c>
      <c r="N514" s="453"/>
      <c r="O514" s="454"/>
      <c r="P514" s="454"/>
      <c r="Q514" s="454">
        <v>25000</v>
      </c>
      <c r="R514" s="454"/>
      <c r="S514" s="455"/>
    </row>
    <row r="515" spans="1:19">
      <c r="A515" s="446">
        <f t="shared" si="17"/>
        <v>4</v>
      </c>
      <c r="B515" s="447" t="s">
        <v>4711</v>
      </c>
      <c r="C515" s="448"/>
      <c r="D515" s="448"/>
      <c r="E515" s="449"/>
      <c r="F515" s="450"/>
      <c r="G515" s="451"/>
      <c r="H515" s="451" t="s">
        <v>701</v>
      </c>
      <c r="I515" s="440">
        <v>9600</v>
      </c>
      <c r="J515" s="440"/>
      <c r="K515" s="446"/>
      <c r="M515" s="469"/>
      <c r="N515" s="453"/>
      <c r="O515" s="454"/>
      <c r="P515" s="454"/>
      <c r="Q515" s="454"/>
      <c r="R515" s="454"/>
      <c r="S515" s="455"/>
    </row>
    <row r="516" spans="1:19">
      <c r="A516" s="446">
        <f t="shared" si="17"/>
        <v>5</v>
      </c>
      <c r="B516" s="447" t="s">
        <v>3257</v>
      </c>
      <c r="C516" s="448"/>
      <c r="D516" s="448"/>
      <c r="E516" s="449"/>
      <c r="F516" s="450"/>
      <c r="G516" s="451"/>
      <c r="H516" s="451" t="s">
        <v>701</v>
      </c>
      <c r="I516" s="440">
        <v>10000</v>
      </c>
      <c r="J516" s="440"/>
      <c r="K516" s="446"/>
      <c r="M516" s="469"/>
      <c r="N516" s="453"/>
      <c r="O516" s="454"/>
      <c r="P516" s="454"/>
      <c r="Q516" s="454"/>
      <c r="R516" s="454"/>
      <c r="S516" s="455"/>
    </row>
    <row r="517" spans="1:19">
      <c r="A517" s="446">
        <f t="shared" si="17"/>
        <v>6</v>
      </c>
      <c r="B517" s="447" t="s">
        <v>3258</v>
      </c>
      <c r="C517" s="448"/>
      <c r="D517" s="448"/>
      <c r="E517" s="449"/>
      <c r="F517" s="450"/>
      <c r="G517" s="451"/>
      <c r="H517" s="451" t="s">
        <v>701</v>
      </c>
      <c r="I517" s="440">
        <v>10000</v>
      </c>
      <c r="J517" s="440"/>
      <c r="K517" s="446"/>
      <c r="M517" s="469"/>
      <c r="N517" s="453"/>
      <c r="O517" s="454"/>
      <c r="P517" s="454"/>
      <c r="Q517" s="454"/>
      <c r="R517" s="454"/>
      <c r="S517" s="455"/>
    </row>
    <row r="518" spans="1:19">
      <c r="A518" s="446">
        <f t="shared" si="17"/>
        <v>7</v>
      </c>
      <c r="B518" s="447" t="s">
        <v>3259</v>
      </c>
      <c r="C518" s="448"/>
      <c r="D518" s="448"/>
      <c r="E518" s="449"/>
      <c r="F518" s="450"/>
      <c r="G518" s="451"/>
      <c r="H518" s="451" t="s">
        <v>773</v>
      </c>
      <c r="I518" s="440">
        <v>29000</v>
      </c>
      <c r="J518" s="440"/>
      <c r="K518" s="446"/>
      <c r="M518" s="469">
        <f t="shared" si="18"/>
        <v>5000</v>
      </c>
      <c r="N518" s="453"/>
      <c r="O518" s="454"/>
      <c r="P518" s="454">
        <v>5000</v>
      </c>
      <c r="Q518" s="454"/>
      <c r="R518" s="454"/>
      <c r="S518" s="455"/>
    </row>
    <row r="519" spans="1:19">
      <c r="A519" s="446">
        <f t="shared" si="17"/>
        <v>8</v>
      </c>
      <c r="B519" s="447" t="s">
        <v>3260</v>
      </c>
      <c r="C519" s="448"/>
      <c r="D519" s="448"/>
      <c r="E519" s="449"/>
      <c r="F519" s="450"/>
      <c r="G519" s="451"/>
      <c r="H519" s="451" t="s">
        <v>2093</v>
      </c>
      <c r="I519" s="440">
        <v>44500</v>
      </c>
      <c r="J519" s="440"/>
      <c r="K519" s="446"/>
      <c r="M519" s="469"/>
      <c r="N519" s="453"/>
      <c r="O519" s="454"/>
      <c r="P519" s="454"/>
      <c r="Q519" s="454"/>
      <c r="R519" s="454"/>
      <c r="S519" s="455"/>
    </row>
    <row r="520" spans="1:19">
      <c r="A520" s="446">
        <f t="shared" si="17"/>
        <v>9</v>
      </c>
      <c r="B520" s="447" t="s">
        <v>3261</v>
      </c>
      <c r="C520" s="448"/>
      <c r="D520" s="448"/>
      <c r="E520" s="449"/>
      <c r="F520" s="450"/>
      <c r="G520" s="451"/>
      <c r="H520" s="451" t="s">
        <v>2093</v>
      </c>
      <c r="I520" s="440">
        <v>17800</v>
      </c>
      <c r="J520" s="440"/>
      <c r="K520" s="446"/>
      <c r="M520" s="469"/>
      <c r="N520" s="453"/>
      <c r="O520" s="454"/>
      <c r="P520" s="454"/>
      <c r="Q520" s="454"/>
      <c r="R520" s="454"/>
      <c r="S520" s="455"/>
    </row>
    <row r="521" spans="1:19">
      <c r="A521" s="446">
        <f t="shared" si="17"/>
        <v>10</v>
      </c>
      <c r="B521" s="447" t="s">
        <v>3262</v>
      </c>
      <c r="C521" s="448"/>
      <c r="D521" s="448"/>
      <c r="E521" s="449"/>
      <c r="F521" s="450"/>
      <c r="G521" s="451"/>
      <c r="H521" s="451" t="s">
        <v>2093</v>
      </c>
      <c r="I521" s="440">
        <v>10000</v>
      </c>
      <c r="J521" s="440"/>
      <c r="K521" s="446"/>
      <c r="M521" s="469"/>
      <c r="N521" s="453"/>
      <c r="O521" s="454"/>
      <c r="P521" s="454"/>
      <c r="Q521" s="454"/>
      <c r="R521" s="454"/>
      <c r="S521" s="455"/>
    </row>
    <row r="522" spans="1:19">
      <c r="A522" s="477"/>
      <c r="B522" s="484"/>
      <c r="C522" s="485"/>
      <c r="D522" s="485"/>
      <c r="E522" s="538"/>
      <c r="F522" s="478"/>
      <c r="G522" s="451"/>
      <c r="H522" s="451"/>
      <c r="I522" s="445"/>
      <c r="J522" s="445"/>
      <c r="K522" s="446"/>
      <c r="M522" s="469"/>
      <c r="N522" s="453"/>
      <c r="O522" s="454"/>
      <c r="P522" s="454"/>
      <c r="Q522" s="454"/>
      <c r="R522" s="454"/>
      <c r="S522" s="455"/>
    </row>
    <row r="523" spans="1:19">
      <c r="A523" s="477"/>
      <c r="B523" s="484" t="s">
        <v>3263</v>
      </c>
      <c r="C523" s="485"/>
      <c r="D523" s="485"/>
      <c r="E523" s="538"/>
      <c r="F523" s="478"/>
      <c r="G523" s="451"/>
      <c r="H523" s="451"/>
      <c r="I523" s="445"/>
      <c r="J523" s="445"/>
      <c r="K523" s="446"/>
      <c r="M523" s="469"/>
      <c r="N523" s="453"/>
      <c r="O523" s="454"/>
      <c r="P523" s="454"/>
      <c r="Q523" s="454"/>
      <c r="R523" s="454"/>
      <c r="S523" s="455"/>
    </row>
    <row r="524" spans="1:19">
      <c r="A524" s="446">
        <v>1</v>
      </c>
      <c r="B524" s="787" t="s">
        <v>3264</v>
      </c>
      <c r="C524" s="788"/>
      <c r="D524" s="788"/>
      <c r="E524" s="449"/>
      <c r="F524" s="450"/>
      <c r="G524" s="451"/>
      <c r="H524" s="451" t="s">
        <v>1423</v>
      </c>
      <c r="I524" s="440">
        <v>55000</v>
      </c>
      <c r="J524" s="440"/>
      <c r="K524" s="446"/>
      <c r="M524" s="469"/>
      <c r="N524" s="453"/>
      <c r="O524" s="454"/>
      <c r="P524" s="454"/>
      <c r="Q524" s="454"/>
      <c r="R524" s="454"/>
      <c r="S524" s="455"/>
    </row>
    <row r="525" spans="1:19">
      <c r="A525" s="446">
        <f t="shared" ref="A525:A534" si="19">A524+1</f>
        <v>2</v>
      </c>
      <c r="B525" s="787" t="s">
        <v>3265</v>
      </c>
      <c r="C525" s="788"/>
      <c r="D525" s="788"/>
      <c r="E525" s="449"/>
      <c r="F525" s="450"/>
      <c r="G525" s="451"/>
      <c r="H525" s="451" t="s">
        <v>1423</v>
      </c>
      <c r="I525" s="440">
        <v>60000</v>
      </c>
      <c r="J525" s="440"/>
      <c r="K525" s="446"/>
      <c r="M525" s="469"/>
      <c r="N525" s="453"/>
      <c r="O525" s="454"/>
      <c r="P525" s="454"/>
      <c r="Q525" s="454"/>
      <c r="R525" s="454"/>
      <c r="S525" s="455"/>
    </row>
    <row r="526" spans="1:19">
      <c r="A526" s="446">
        <f t="shared" si="19"/>
        <v>3</v>
      </c>
      <c r="B526" s="787" t="s">
        <v>3266</v>
      </c>
      <c r="C526" s="788"/>
      <c r="D526" s="788"/>
      <c r="E526" s="449"/>
      <c r="F526" s="450"/>
      <c r="G526" s="451"/>
      <c r="H526" s="451" t="s">
        <v>1423</v>
      </c>
      <c r="I526" s="440">
        <v>80000</v>
      </c>
      <c r="J526" s="440"/>
      <c r="K526" s="446"/>
      <c r="M526" s="469"/>
      <c r="N526" s="453"/>
      <c r="O526" s="454"/>
      <c r="P526" s="454"/>
      <c r="Q526" s="454"/>
      <c r="R526" s="454"/>
      <c r="S526" s="455"/>
    </row>
    <row r="527" spans="1:19">
      <c r="A527" s="486">
        <f t="shared" si="19"/>
        <v>4</v>
      </c>
      <c r="B527" s="587" t="s">
        <v>3267</v>
      </c>
      <c r="C527" s="588"/>
      <c r="D527" s="588"/>
      <c r="E527" s="489"/>
      <c r="F527" s="536"/>
      <c r="G527" s="490"/>
      <c r="H527" s="490" t="s">
        <v>1423</v>
      </c>
      <c r="I527" s="456">
        <f>46000*1.05</f>
        <v>48300</v>
      </c>
      <c r="J527" s="456"/>
      <c r="K527" s="486"/>
      <c r="M527" s="469"/>
      <c r="N527" s="453"/>
      <c r="O527" s="454"/>
      <c r="P527" s="454"/>
      <c r="Q527" s="454"/>
      <c r="R527" s="454"/>
      <c r="S527" s="455"/>
    </row>
    <row r="528" spans="1:19">
      <c r="A528" s="491">
        <f t="shared" si="19"/>
        <v>5</v>
      </c>
      <c r="B528" s="585" t="s">
        <v>3268</v>
      </c>
      <c r="C528" s="586"/>
      <c r="D528" s="586"/>
      <c r="E528" s="494"/>
      <c r="F528" s="537"/>
      <c r="G528" s="495"/>
      <c r="H528" s="495" t="s">
        <v>1423</v>
      </c>
      <c r="I528" s="457">
        <v>80000</v>
      </c>
      <c r="J528" s="457"/>
      <c r="K528" s="491"/>
      <c r="M528" s="469"/>
      <c r="N528" s="453"/>
      <c r="O528" s="454"/>
      <c r="P528" s="454"/>
      <c r="Q528" s="454"/>
      <c r="R528" s="454"/>
      <c r="S528" s="455"/>
    </row>
    <row r="529" spans="1:19">
      <c r="A529" s="446">
        <f t="shared" si="19"/>
        <v>6</v>
      </c>
      <c r="B529" s="787" t="s">
        <v>3269</v>
      </c>
      <c r="C529" s="788"/>
      <c r="D529" s="788"/>
      <c r="E529" s="449"/>
      <c r="F529" s="450"/>
      <c r="G529" s="451"/>
      <c r="H529" s="451" t="s">
        <v>1423</v>
      </c>
      <c r="I529" s="440">
        <v>110000</v>
      </c>
      <c r="J529" s="440"/>
      <c r="K529" s="446"/>
      <c r="M529" s="469"/>
      <c r="N529" s="453"/>
      <c r="O529" s="454"/>
      <c r="P529" s="454"/>
      <c r="Q529" s="454"/>
      <c r="R529" s="454"/>
      <c r="S529" s="455"/>
    </row>
    <row r="530" spans="1:19">
      <c r="A530" s="446">
        <f t="shared" si="19"/>
        <v>7</v>
      </c>
      <c r="B530" s="787" t="s">
        <v>3270</v>
      </c>
      <c r="C530" s="788"/>
      <c r="D530" s="788"/>
      <c r="E530" s="449"/>
      <c r="F530" s="450"/>
      <c r="G530" s="451"/>
      <c r="H530" s="451" t="s">
        <v>1423</v>
      </c>
      <c r="I530" s="440">
        <f>125000*1.1</f>
        <v>137500</v>
      </c>
      <c r="J530" s="440"/>
      <c r="K530" s="446"/>
      <c r="M530" s="469"/>
      <c r="N530" s="453"/>
      <c r="O530" s="454"/>
      <c r="P530" s="454"/>
      <c r="Q530" s="454"/>
      <c r="R530" s="454"/>
      <c r="S530" s="455"/>
    </row>
    <row r="531" spans="1:19">
      <c r="A531" s="446">
        <f t="shared" si="19"/>
        <v>8</v>
      </c>
      <c r="B531" s="787" t="s">
        <v>3271</v>
      </c>
      <c r="C531" s="788"/>
      <c r="D531" s="788"/>
      <c r="E531" s="449"/>
      <c r="F531" s="450"/>
      <c r="G531" s="451"/>
      <c r="H531" s="451" t="s">
        <v>1423</v>
      </c>
      <c r="I531" s="440">
        <f>190000*1.1</f>
        <v>209000.00000000003</v>
      </c>
      <c r="J531" s="440"/>
      <c r="K531" s="446"/>
      <c r="M531" s="469"/>
      <c r="N531" s="453"/>
      <c r="O531" s="454"/>
      <c r="P531" s="454"/>
      <c r="Q531" s="454"/>
      <c r="R531" s="454"/>
      <c r="S531" s="455"/>
    </row>
    <row r="532" spans="1:19">
      <c r="A532" s="446">
        <f t="shared" si="19"/>
        <v>9</v>
      </c>
      <c r="B532" s="787" t="s">
        <v>3272</v>
      </c>
      <c r="C532" s="788"/>
      <c r="D532" s="788"/>
      <c r="E532" s="449"/>
      <c r="F532" s="450"/>
      <c r="G532" s="451"/>
      <c r="H532" s="451" t="s">
        <v>1423</v>
      </c>
      <c r="I532" s="440">
        <f>255000*1.1</f>
        <v>280500</v>
      </c>
      <c r="J532" s="440"/>
      <c r="K532" s="446"/>
      <c r="M532" s="469"/>
      <c r="N532" s="453"/>
      <c r="O532" s="454"/>
      <c r="P532" s="454"/>
      <c r="Q532" s="454"/>
      <c r="R532" s="454"/>
      <c r="S532" s="455"/>
    </row>
    <row r="533" spans="1:19">
      <c r="A533" s="446">
        <f t="shared" si="19"/>
        <v>10</v>
      </c>
      <c r="B533" s="787" t="s">
        <v>3273</v>
      </c>
      <c r="C533" s="788"/>
      <c r="D533" s="788"/>
      <c r="E533" s="449"/>
      <c r="F533" s="450"/>
      <c r="G533" s="451"/>
      <c r="H533" s="451" t="s">
        <v>1423</v>
      </c>
      <c r="I533" s="440">
        <f>255000*2*1.1</f>
        <v>561000</v>
      </c>
      <c r="J533" s="440"/>
      <c r="K533" s="446"/>
      <c r="M533" s="469"/>
      <c r="N533" s="453"/>
      <c r="O533" s="454"/>
      <c r="P533" s="454"/>
      <c r="Q533" s="454"/>
      <c r="R533" s="454"/>
      <c r="S533" s="455"/>
    </row>
    <row r="534" spans="1:19">
      <c r="A534" s="446">
        <f t="shared" si="19"/>
        <v>11</v>
      </c>
      <c r="B534" s="787" t="s">
        <v>3274</v>
      </c>
      <c r="C534" s="788"/>
      <c r="D534" s="788"/>
      <c r="E534" s="449"/>
      <c r="F534" s="450"/>
      <c r="G534" s="451"/>
      <c r="H534" s="451" t="s">
        <v>1423</v>
      </c>
      <c r="I534" s="440">
        <f>305000*2*1.1</f>
        <v>671000</v>
      </c>
      <c r="J534" s="440"/>
      <c r="K534" s="446"/>
      <c r="M534" s="469"/>
      <c r="N534" s="453"/>
      <c r="O534" s="454"/>
      <c r="P534" s="454"/>
      <c r="Q534" s="454"/>
      <c r="R534" s="454"/>
      <c r="S534" s="455"/>
    </row>
    <row r="535" spans="1:19">
      <c r="A535" s="477"/>
      <c r="B535" s="484"/>
      <c r="C535" s="485"/>
      <c r="D535" s="485"/>
      <c r="E535" s="538"/>
      <c r="F535" s="478"/>
      <c r="G535" s="451"/>
      <c r="H535" s="451"/>
      <c r="I535" s="445"/>
      <c r="J535" s="445"/>
      <c r="K535" s="446"/>
      <c r="M535" s="469"/>
      <c r="N535" s="453"/>
      <c r="O535" s="454"/>
      <c r="P535" s="454"/>
      <c r="Q535" s="454"/>
      <c r="R535" s="454"/>
      <c r="S535" s="455"/>
    </row>
    <row r="536" spans="1:19">
      <c r="A536" s="477"/>
      <c r="B536" s="484" t="s">
        <v>3275</v>
      </c>
      <c r="C536" s="485"/>
      <c r="D536" s="485"/>
      <c r="E536" s="538"/>
      <c r="F536" s="478"/>
      <c r="G536" s="451"/>
      <c r="H536" s="451"/>
      <c r="I536" s="445"/>
      <c r="J536" s="445"/>
      <c r="K536" s="446"/>
      <c r="M536" s="469"/>
      <c r="N536" s="453"/>
      <c r="O536" s="454"/>
      <c r="P536" s="454"/>
      <c r="Q536" s="454"/>
      <c r="R536" s="454"/>
      <c r="S536" s="455"/>
    </row>
    <row r="537" spans="1:19">
      <c r="A537" s="446">
        <v>1</v>
      </c>
      <c r="B537" s="447" t="s">
        <v>3276</v>
      </c>
      <c r="C537" s="448"/>
      <c r="D537" s="448"/>
      <c r="E537" s="449"/>
      <c r="F537" s="450"/>
      <c r="G537" s="451"/>
      <c r="H537" s="451" t="s">
        <v>2970</v>
      </c>
      <c r="I537" s="440">
        <v>15000</v>
      </c>
      <c r="J537" s="440"/>
      <c r="K537" s="446"/>
      <c r="M537" s="469"/>
      <c r="N537" s="453"/>
      <c r="O537" s="454"/>
      <c r="P537" s="454"/>
      <c r="Q537" s="454"/>
      <c r="R537" s="454"/>
      <c r="S537" s="455"/>
    </row>
    <row r="538" spans="1:19">
      <c r="A538" s="446">
        <f t="shared" ref="A538:A559" si="20">A537+1</f>
        <v>2</v>
      </c>
      <c r="B538" s="447" t="s">
        <v>3277</v>
      </c>
      <c r="C538" s="448"/>
      <c r="D538" s="448"/>
      <c r="E538" s="449"/>
      <c r="F538" s="450"/>
      <c r="G538" s="451"/>
      <c r="H538" s="451" t="s">
        <v>2970</v>
      </c>
      <c r="I538" s="440">
        <v>4000</v>
      </c>
      <c r="J538" s="440"/>
      <c r="K538" s="446" t="s">
        <v>3278</v>
      </c>
      <c r="M538" s="469">
        <f t="shared" si="18"/>
        <v>20000</v>
      </c>
      <c r="N538" s="453"/>
      <c r="O538" s="454">
        <v>25500</v>
      </c>
      <c r="P538" s="454">
        <v>4500</v>
      </c>
      <c r="Q538" s="454">
        <v>20000</v>
      </c>
      <c r="R538" s="454">
        <v>30000</v>
      </c>
      <c r="S538" s="455"/>
    </row>
    <row r="539" spans="1:19">
      <c r="A539" s="446">
        <f t="shared" si="20"/>
        <v>3</v>
      </c>
      <c r="B539" s="447" t="s">
        <v>3279</v>
      </c>
      <c r="C539" s="448"/>
      <c r="D539" s="448"/>
      <c r="E539" s="449"/>
      <c r="F539" s="450"/>
      <c r="G539" s="451"/>
      <c r="H539" s="451" t="s">
        <v>2970</v>
      </c>
      <c r="I539" s="440">
        <v>7000</v>
      </c>
      <c r="J539" s="440"/>
      <c r="K539" s="446" t="s">
        <v>3278</v>
      </c>
      <c r="M539" s="469">
        <f t="shared" si="18"/>
        <v>30750</v>
      </c>
      <c r="N539" s="453"/>
      <c r="O539" s="454">
        <v>31000</v>
      </c>
      <c r="P539" s="454">
        <v>7000</v>
      </c>
      <c r="Q539" s="454">
        <v>45000</v>
      </c>
      <c r="R539" s="454">
        <v>40000</v>
      </c>
      <c r="S539" s="455"/>
    </row>
    <row r="540" spans="1:19">
      <c r="A540" s="446">
        <f t="shared" si="20"/>
        <v>4</v>
      </c>
      <c r="B540" s="447" t="s">
        <v>3280</v>
      </c>
      <c r="C540" s="448"/>
      <c r="D540" s="448"/>
      <c r="E540" s="449"/>
      <c r="F540" s="450"/>
      <c r="G540" s="451"/>
      <c r="H540" s="451" t="s">
        <v>2970</v>
      </c>
      <c r="I540" s="440">
        <v>9000</v>
      </c>
      <c r="J540" s="440"/>
      <c r="K540" s="446" t="s">
        <v>3278</v>
      </c>
      <c r="M540" s="469">
        <f t="shared" si="18"/>
        <v>38750</v>
      </c>
      <c r="N540" s="453"/>
      <c r="O540" s="454">
        <v>46000</v>
      </c>
      <c r="P540" s="454">
        <v>9000</v>
      </c>
      <c r="Q540" s="454">
        <v>50000</v>
      </c>
      <c r="R540" s="454">
        <v>50000</v>
      </c>
      <c r="S540" s="455"/>
    </row>
    <row r="541" spans="1:19">
      <c r="A541" s="446">
        <f t="shared" si="20"/>
        <v>5</v>
      </c>
      <c r="B541" s="447" t="s">
        <v>3281</v>
      </c>
      <c r="C541" s="448"/>
      <c r="D541" s="448"/>
      <c r="E541" s="449"/>
      <c r="F541" s="450"/>
      <c r="G541" s="451"/>
      <c r="H541" s="451" t="s">
        <v>2970</v>
      </c>
      <c r="I541" s="440">
        <v>12000</v>
      </c>
      <c r="J541" s="440"/>
      <c r="K541" s="446" t="s">
        <v>3278</v>
      </c>
      <c r="M541" s="469">
        <f t="shared" si="18"/>
        <v>63333.333333333336</v>
      </c>
      <c r="N541" s="453"/>
      <c r="O541" s="454">
        <v>55000</v>
      </c>
      <c r="P541" s="454"/>
      <c r="Q541" s="454">
        <v>65000</v>
      </c>
      <c r="R541" s="454">
        <v>70000</v>
      </c>
      <c r="S541" s="455"/>
    </row>
    <row r="542" spans="1:19">
      <c r="A542" s="446">
        <f t="shared" si="20"/>
        <v>6</v>
      </c>
      <c r="B542" s="447" t="s">
        <v>3282</v>
      </c>
      <c r="C542" s="448"/>
      <c r="D542" s="448"/>
      <c r="E542" s="449"/>
      <c r="F542" s="450"/>
      <c r="G542" s="451"/>
      <c r="H542" s="451" t="s">
        <v>2970</v>
      </c>
      <c r="I542" s="440">
        <v>16000</v>
      </c>
      <c r="J542" s="440"/>
      <c r="K542" s="446" t="s">
        <v>3278</v>
      </c>
      <c r="M542" s="469">
        <f t="shared" si="18"/>
        <v>59750</v>
      </c>
      <c r="N542" s="453"/>
      <c r="O542" s="454">
        <v>65000</v>
      </c>
      <c r="P542" s="454">
        <v>14000</v>
      </c>
      <c r="Q542" s="454">
        <v>70000</v>
      </c>
      <c r="R542" s="454">
        <v>90000</v>
      </c>
      <c r="S542" s="455"/>
    </row>
    <row r="543" spans="1:19">
      <c r="A543" s="446">
        <f t="shared" si="20"/>
        <v>7</v>
      </c>
      <c r="B543" s="447" t="s">
        <v>3283</v>
      </c>
      <c r="C543" s="448"/>
      <c r="D543" s="448"/>
      <c r="E543" s="449"/>
      <c r="F543" s="450"/>
      <c r="G543" s="451"/>
      <c r="H543" s="451" t="s">
        <v>2970</v>
      </c>
      <c r="I543" s="440">
        <v>20000</v>
      </c>
      <c r="J543" s="440"/>
      <c r="K543" s="446" t="s">
        <v>3278</v>
      </c>
      <c r="M543" s="469">
        <f t="shared" si="18"/>
        <v>86666.666666666672</v>
      </c>
      <c r="N543" s="453"/>
      <c r="O543" s="454">
        <v>75000</v>
      </c>
      <c r="P543" s="454"/>
      <c r="Q543" s="454">
        <v>75000</v>
      </c>
      <c r="R543" s="454">
        <v>110000</v>
      </c>
      <c r="S543" s="455"/>
    </row>
    <row r="544" spans="1:19">
      <c r="A544" s="446">
        <f t="shared" si="20"/>
        <v>8</v>
      </c>
      <c r="B544" s="447" t="s">
        <v>3284</v>
      </c>
      <c r="C544" s="448"/>
      <c r="D544" s="448"/>
      <c r="E544" s="449"/>
      <c r="F544" s="450"/>
      <c r="G544" s="451"/>
      <c r="H544" s="451" t="s">
        <v>2970</v>
      </c>
      <c r="I544" s="440">
        <v>25000</v>
      </c>
      <c r="J544" s="440"/>
      <c r="K544" s="446" t="s">
        <v>3278</v>
      </c>
      <c r="M544" s="469">
        <f t="shared" si="18"/>
        <v>89750</v>
      </c>
      <c r="N544" s="453"/>
      <c r="O544" s="454">
        <v>81000</v>
      </c>
      <c r="P544" s="454">
        <v>23000</v>
      </c>
      <c r="Q544" s="454">
        <v>85000</v>
      </c>
      <c r="R544" s="454">
        <v>170000</v>
      </c>
      <c r="S544" s="455"/>
    </row>
    <row r="545" spans="1:19">
      <c r="A545" s="446">
        <f t="shared" si="20"/>
        <v>9</v>
      </c>
      <c r="B545" s="447" t="s">
        <v>3285</v>
      </c>
      <c r="C545" s="448"/>
      <c r="D545" s="448"/>
      <c r="E545" s="449"/>
      <c r="F545" s="450"/>
      <c r="G545" s="451"/>
      <c r="H545" s="451" t="s">
        <v>2970</v>
      </c>
      <c r="I545" s="440">
        <v>35000</v>
      </c>
      <c r="J545" s="440"/>
      <c r="K545" s="446" t="s">
        <v>3278</v>
      </c>
      <c r="M545" s="469">
        <f t="shared" si="18"/>
        <v>122500</v>
      </c>
      <c r="N545" s="453"/>
      <c r="O545" s="454">
        <v>105000</v>
      </c>
      <c r="P545" s="454">
        <v>35000</v>
      </c>
      <c r="Q545" s="454">
        <v>110000</v>
      </c>
      <c r="R545" s="454">
        <v>240000</v>
      </c>
      <c r="S545" s="455"/>
    </row>
    <row r="546" spans="1:19">
      <c r="A546" s="446">
        <f t="shared" si="20"/>
        <v>10</v>
      </c>
      <c r="B546" s="447" t="s">
        <v>3286</v>
      </c>
      <c r="C546" s="448"/>
      <c r="D546" s="448"/>
      <c r="E546" s="449"/>
      <c r="F546" s="450"/>
      <c r="G546" s="451"/>
      <c r="H546" s="451" t="s">
        <v>2970</v>
      </c>
      <c r="I546" s="440">
        <v>100000</v>
      </c>
      <c r="J546" s="440"/>
      <c r="K546" s="446" t="s">
        <v>3278</v>
      </c>
      <c r="M546" s="469"/>
      <c r="N546" s="453"/>
      <c r="O546" s="454"/>
      <c r="P546" s="454"/>
      <c r="Q546" s="454"/>
      <c r="R546" s="454"/>
      <c r="S546" s="455"/>
    </row>
    <row r="547" spans="1:19">
      <c r="A547" s="446">
        <f t="shared" si="20"/>
        <v>11</v>
      </c>
      <c r="B547" s="447" t="s">
        <v>3287</v>
      </c>
      <c r="C547" s="448"/>
      <c r="D547" s="448"/>
      <c r="E547" s="449"/>
      <c r="F547" s="450"/>
      <c r="G547" s="451"/>
      <c r="H547" s="451" t="s">
        <v>2970</v>
      </c>
      <c r="I547" s="440">
        <v>30000</v>
      </c>
      <c r="J547" s="440"/>
      <c r="K547" s="446"/>
      <c r="M547" s="469"/>
      <c r="N547" s="453"/>
      <c r="O547" s="454"/>
      <c r="P547" s="454"/>
      <c r="Q547" s="454"/>
      <c r="R547" s="454"/>
      <c r="S547" s="455"/>
    </row>
    <row r="548" spans="1:19">
      <c r="A548" s="446">
        <f t="shared" si="20"/>
        <v>12</v>
      </c>
      <c r="B548" s="447" t="s">
        <v>3288</v>
      </c>
      <c r="C548" s="448"/>
      <c r="D548" s="448"/>
      <c r="E548" s="449"/>
      <c r="F548" s="450"/>
      <c r="G548" s="451"/>
      <c r="H548" s="451" t="s">
        <v>2970</v>
      </c>
      <c r="I548" s="440">
        <v>40000</v>
      </c>
      <c r="J548" s="440"/>
      <c r="K548" s="446"/>
      <c r="M548" s="469"/>
      <c r="N548" s="453"/>
      <c r="O548" s="454"/>
      <c r="P548" s="454"/>
      <c r="Q548" s="454"/>
      <c r="R548" s="454"/>
      <c r="S548" s="455"/>
    </row>
    <row r="549" spans="1:19">
      <c r="A549" s="446">
        <f t="shared" si="20"/>
        <v>13</v>
      </c>
      <c r="B549" s="447" t="s">
        <v>3289</v>
      </c>
      <c r="C549" s="448"/>
      <c r="D549" s="448"/>
      <c r="E549" s="449"/>
      <c r="F549" s="450"/>
      <c r="G549" s="451"/>
      <c r="H549" s="451" t="s">
        <v>2970</v>
      </c>
      <c r="I549" s="440">
        <v>50000</v>
      </c>
      <c r="J549" s="440"/>
      <c r="K549" s="446"/>
      <c r="M549" s="469"/>
      <c r="N549" s="453"/>
      <c r="O549" s="454"/>
      <c r="P549" s="454"/>
      <c r="Q549" s="454"/>
      <c r="R549" s="454"/>
      <c r="S549" s="455"/>
    </row>
    <row r="550" spans="1:19">
      <c r="A550" s="446">
        <f t="shared" si="20"/>
        <v>14</v>
      </c>
      <c r="B550" s="447" t="s">
        <v>3290</v>
      </c>
      <c r="C550" s="448"/>
      <c r="D550" s="448"/>
      <c r="E550" s="449"/>
      <c r="F550" s="450"/>
      <c r="G550" s="451"/>
      <c r="H550" s="451" t="s">
        <v>2970</v>
      </c>
      <c r="I550" s="440">
        <v>75000</v>
      </c>
      <c r="J550" s="440"/>
      <c r="K550" s="446"/>
      <c r="M550" s="469"/>
      <c r="N550" s="453"/>
      <c r="O550" s="454"/>
      <c r="P550" s="454"/>
      <c r="Q550" s="454"/>
      <c r="R550" s="454"/>
      <c r="S550" s="455"/>
    </row>
    <row r="551" spans="1:19">
      <c r="A551" s="446">
        <f t="shared" si="20"/>
        <v>15</v>
      </c>
      <c r="B551" s="447" t="s">
        <v>3291</v>
      </c>
      <c r="C551" s="448"/>
      <c r="D551" s="448"/>
      <c r="E551" s="449"/>
      <c r="F551" s="450"/>
      <c r="G551" s="451"/>
      <c r="H551" s="451" t="s">
        <v>2970</v>
      </c>
      <c r="I551" s="440">
        <v>90000</v>
      </c>
      <c r="J551" s="440"/>
      <c r="K551" s="446"/>
      <c r="M551" s="469"/>
      <c r="N551" s="453"/>
      <c r="O551" s="454"/>
      <c r="P551" s="454"/>
      <c r="Q551" s="454"/>
      <c r="R551" s="454"/>
      <c r="S551" s="455"/>
    </row>
    <row r="552" spans="1:19">
      <c r="A552" s="446">
        <f t="shared" si="20"/>
        <v>16</v>
      </c>
      <c r="B552" s="447" t="s">
        <v>3292</v>
      </c>
      <c r="C552" s="448"/>
      <c r="D552" s="448"/>
      <c r="E552" s="449"/>
      <c r="F552" s="450"/>
      <c r="G552" s="451"/>
      <c r="H552" s="451" t="s">
        <v>2970</v>
      </c>
      <c r="I552" s="440">
        <v>120000</v>
      </c>
      <c r="J552" s="440"/>
      <c r="K552" s="446"/>
      <c r="M552" s="469"/>
      <c r="N552" s="453"/>
      <c r="O552" s="454"/>
      <c r="P552" s="454"/>
      <c r="Q552" s="454"/>
      <c r="R552" s="454"/>
      <c r="S552" s="455"/>
    </row>
    <row r="553" spans="1:19">
      <c r="A553" s="446">
        <f t="shared" si="20"/>
        <v>17</v>
      </c>
      <c r="B553" s="447" t="s">
        <v>3523</v>
      </c>
      <c r="C553" s="448"/>
      <c r="D553" s="448"/>
      <c r="E553" s="448"/>
      <c r="F553" s="449"/>
      <c r="G553" s="451"/>
      <c r="H553" s="451" t="s">
        <v>2970</v>
      </c>
      <c r="I553" s="440">
        <v>160000</v>
      </c>
      <c r="J553" s="440"/>
      <c r="K553" s="446"/>
      <c r="M553" s="469"/>
      <c r="N553" s="453"/>
      <c r="O553" s="454"/>
      <c r="P553" s="454"/>
      <c r="Q553" s="454"/>
      <c r="R553" s="454"/>
      <c r="S553" s="455"/>
    </row>
    <row r="554" spans="1:19">
      <c r="A554" s="446">
        <f t="shared" si="20"/>
        <v>18</v>
      </c>
      <c r="B554" s="447" t="s">
        <v>3524</v>
      </c>
      <c r="C554" s="448"/>
      <c r="D554" s="448"/>
      <c r="E554" s="448"/>
      <c r="F554" s="449"/>
      <c r="G554" s="451"/>
      <c r="H554" s="451" t="s">
        <v>2970</v>
      </c>
      <c r="I554" s="440">
        <v>210000</v>
      </c>
      <c r="J554" s="440"/>
      <c r="K554" s="446"/>
      <c r="M554" s="469"/>
      <c r="N554" s="453"/>
      <c r="O554" s="454"/>
      <c r="P554" s="454"/>
      <c r="Q554" s="454"/>
      <c r="R554" s="454"/>
      <c r="S554" s="455"/>
    </row>
    <row r="555" spans="1:19">
      <c r="A555" s="446">
        <f t="shared" si="20"/>
        <v>19</v>
      </c>
      <c r="B555" s="447" t="s">
        <v>3525</v>
      </c>
      <c r="C555" s="448"/>
      <c r="D555" s="448"/>
      <c r="E555" s="448"/>
      <c r="F555" s="449"/>
      <c r="G555" s="451"/>
      <c r="H555" s="451" t="s">
        <v>2970</v>
      </c>
      <c r="I555" s="440">
        <v>300000</v>
      </c>
      <c r="J555" s="440"/>
      <c r="K555" s="446"/>
      <c r="M555" s="469"/>
      <c r="N555" s="453"/>
      <c r="O555" s="454"/>
      <c r="P555" s="454"/>
      <c r="Q555" s="454"/>
      <c r="R555" s="454"/>
      <c r="S555" s="455"/>
    </row>
    <row r="556" spans="1:19">
      <c r="A556" s="446">
        <f t="shared" si="20"/>
        <v>20</v>
      </c>
      <c r="B556" s="447" t="s">
        <v>3526</v>
      </c>
      <c r="C556" s="448"/>
      <c r="D556" s="448"/>
      <c r="E556" s="448"/>
      <c r="F556" s="449"/>
      <c r="G556" s="451"/>
      <c r="H556" s="451" t="s">
        <v>2970</v>
      </c>
      <c r="I556" s="440">
        <v>450000</v>
      </c>
      <c r="J556" s="440"/>
      <c r="K556" s="446"/>
      <c r="M556" s="469"/>
      <c r="N556" s="453"/>
      <c r="O556" s="454"/>
      <c r="P556" s="454"/>
      <c r="Q556" s="454"/>
      <c r="R556" s="454"/>
      <c r="S556" s="455"/>
    </row>
    <row r="557" spans="1:19">
      <c r="A557" s="446">
        <f t="shared" si="20"/>
        <v>21</v>
      </c>
      <c r="B557" s="447" t="s">
        <v>3433</v>
      </c>
      <c r="C557" s="448"/>
      <c r="D557" s="448"/>
      <c r="E557" s="448"/>
      <c r="F557" s="449"/>
      <c r="G557" s="451"/>
      <c r="H557" s="451" t="s">
        <v>2970</v>
      </c>
      <c r="I557" s="440">
        <v>60000</v>
      </c>
      <c r="J557" s="440"/>
      <c r="K557" s="446"/>
      <c r="M557" s="469"/>
      <c r="N557" s="453"/>
      <c r="O557" s="454"/>
      <c r="P557" s="454"/>
      <c r="Q557" s="454"/>
      <c r="R557" s="454"/>
      <c r="S557" s="455"/>
    </row>
    <row r="558" spans="1:19">
      <c r="A558" s="446">
        <f t="shared" si="20"/>
        <v>22</v>
      </c>
      <c r="B558" s="447" t="s">
        <v>3434</v>
      </c>
      <c r="C558" s="448"/>
      <c r="D558" s="448"/>
      <c r="E558" s="448"/>
      <c r="F558" s="449"/>
      <c r="G558" s="451"/>
      <c r="H558" s="451" t="s">
        <v>2970</v>
      </c>
      <c r="I558" s="440">
        <v>80000</v>
      </c>
      <c r="J558" s="440"/>
      <c r="K558" s="446"/>
      <c r="M558" s="469"/>
      <c r="N558" s="453"/>
      <c r="O558" s="454"/>
      <c r="P558" s="454"/>
      <c r="Q558" s="454"/>
      <c r="R558" s="454"/>
      <c r="S558" s="455"/>
    </row>
    <row r="559" spans="1:19">
      <c r="A559" s="446">
        <f t="shared" si="20"/>
        <v>23</v>
      </c>
      <c r="B559" s="447" t="s">
        <v>3435</v>
      </c>
      <c r="C559" s="448"/>
      <c r="D559" s="448"/>
      <c r="E559" s="448"/>
      <c r="F559" s="449"/>
      <c r="G559" s="451"/>
      <c r="H559" s="451" t="s">
        <v>2970</v>
      </c>
      <c r="I559" s="440">
        <v>145000</v>
      </c>
      <c r="J559" s="440"/>
      <c r="K559" s="446"/>
      <c r="M559" s="469"/>
      <c r="N559" s="453"/>
      <c r="O559" s="454"/>
      <c r="P559" s="454"/>
      <c r="Q559" s="454"/>
      <c r="R559" s="454"/>
      <c r="S559" s="455"/>
    </row>
    <row r="560" spans="1:19" hidden="1">
      <c r="A560" s="446"/>
      <c r="B560" s="447"/>
      <c r="C560" s="448"/>
      <c r="D560" s="448"/>
      <c r="E560" s="448"/>
      <c r="F560" s="449"/>
      <c r="G560" s="451"/>
      <c r="H560" s="451"/>
      <c r="I560" s="440"/>
      <c r="J560" s="440"/>
      <c r="K560" s="446"/>
      <c r="M560" s="469"/>
      <c r="N560" s="453"/>
      <c r="O560" s="454"/>
      <c r="P560" s="454"/>
      <c r="Q560" s="454"/>
      <c r="R560" s="454"/>
      <c r="S560" s="455"/>
    </row>
    <row r="561" spans="1:19" hidden="1">
      <c r="A561" s="446"/>
      <c r="B561" s="447"/>
      <c r="C561" s="448"/>
      <c r="D561" s="448"/>
      <c r="E561" s="448"/>
      <c r="F561" s="449"/>
      <c r="G561" s="451"/>
      <c r="H561" s="451"/>
      <c r="I561" s="440"/>
      <c r="J561" s="440"/>
      <c r="K561" s="446"/>
      <c r="M561" s="469"/>
      <c r="N561" s="453"/>
      <c r="O561" s="454"/>
      <c r="P561" s="454"/>
      <c r="Q561" s="454"/>
      <c r="R561" s="454"/>
      <c r="S561" s="455"/>
    </row>
    <row r="562" spans="1:19" hidden="1">
      <c r="A562" s="446"/>
      <c r="B562" s="447"/>
      <c r="C562" s="448"/>
      <c r="D562" s="448"/>
      <c r="E562" s="448"/>
      <c r="F562" s="449"/>
      <c r="G562" s="451"/>
      <c r="H562" s="451"/>
      <c r="I562" s="440"/>
      <c r="J562" s="440"/>
      <c r="K562" s="446"/>
      <c r="M562" s="469"/>
      <c r="N562" s="453"/>
      <c r="O562" s="454"/>
      <c r="P562" s="454"/>
      <c r="Q562" s="454"/>
      <c r="R562" s="454"/>
      <c r="S562" s="455"/>
    </row>
    <row r="563" spans="1:19">
      <c r="A563" s="446"/>
      <c r="B563" s="447"/>
      <c r="C563" s="448"/>
      <c r="D563" s="448"/>
      <c r="E563" s="448"/>
      <c r="F563" s="449"/>
      <c r="G563" s="451"/>
      <c r="H563" s="451"/>
      <c r="I563" s="445"/>
      <c r="J563" s="445"/>
      <c r="K563" s="446"/>
      <c r="M563" s="469"/>
      <c r="N563" s="453"/>
      <c r="O563" s="454"/>
      <c r="P563" s="454"/>
      <c r="Q563" s="454"/>
      <c r="R563" s="454"/>
      <c r="S563" s="455"/>
    </row>
    <row r="564" spans="1:19">
      <c r="A564" s="477" t="s">
        <v>686</v>
      </c>
      <c r="B564" s="484" t="s">
        <v>3293</v>
      </c>
      <c r="C564" s="485"/>
      <c r="D564" s="485"/>
      <c r="E564" s="448"/>
      <c r="F564" s="449"/>
      <c r="G564" s="451"/>
      <c r="H564" s="451"/>
      <c r="I564" s="445"/>
      <c r="J564" s="445"/>
      <c r="K564" s="446"/>
      <c r="M564" s="469"/>
      <c r="N564" s="453"/>
      <c r="O564" s="454"/>
      <c r="P564" s="454"/>
      <c r="Q564" s="454"/>
      <c r="R564" s="454"/>
      <c r="S564" s="455"/>
    </row>
    <row r="565" spans="1:19">
      <c r="A565" s="446">
        <v>1</v>
      </c>
      <c r="B565" s="447" t="s">
        <v>3294</v>
      </c>
      <c r="C565" s="448"/>
      <c r="D565" s="448"/>
      <c r="E565" s="448"/>
      <c r="F565" s="448"/>
      <c r="G565" s="578"/>
      <c r="H565" s="451" t="s">
        <v>948</v>
      </c>
      <c r="I565" s="440">
        <v>76000</v>
      </c>
      <c r="J565" s="440"/>
      <c r="K565" s="446"/>
      <c r="M565" s="469"/>
      <c r="N565" s="453"/>
      <c r="O565" s="454"/>
      <c r="P565" s="454"/>
      <c r="Q565" s="454"/>
      <c r="R565" s="454"/>
      <c r="S565" s="455"/>
    </row>
    <row r="566" spans="1:19">
      <c r="A566" s="446">
        <v>2</v>
      </c>
      <c r="B566" s="447" t="s">
        <v>3295</v>
      </c>
      <c r="C566" s="448"/>
      <c r="D566" s="448"/>
      <c r="E566" s="448"/>
      <c r="F566" s="448"/>
      <c r="G566" s="578"/>
      <c r="H566" s="451" t="s">
        <v>948</v>
      </c>
      <c r="I566" s="440">
        <v>70000</v>
      </c>
      <c r="J566" s="440"/>
      <c r="K566" s="446"/>
      <c r="M566" s="469"/>
      <c r="N566" s="453"/>
      <c r="O566" s="454"/>
      <c r="P566" s="454"/>
      <c r="Q566" s="454"/>
      <c r="R566" s="454"/>
      <c r="S566" s="455"/>
    </row>
    <row r="567" spans="1:19">
      <c r="A567" s="446">
        <v>3</v>
      </c>
      <c r="B567" s="447" t="s">
        <v>3296</v>
      </c>
      <c r="C567" s="448"/>
      <c r="D567" s="448"/>
      <c r="E567" s="448"/>
      <c r="F567" s="448"/>
      <c r="G567" s="578"/>
      <c r="H567" s="451" t="s">
        <v>948</v>
      </c>
      <c r="I567" s="440">
        <v>350000</v>
      </c>
      <c r="J567" s="440"/>
      <c r="K567" s="446"/>
      <c r="M567" s="469"/>
      <c r="N567" s="453"/>
      <c r="O567" s="454"/>
      <c r="P567" s="454"/>
      <c r="Q567" s="454"/>
      <c r="R567" s="454"/>
      <c r="S567" s="455"/>
    </row>
    <row r="568" spans="1:19">
      <c r="A568" s="446">
        <v>4</v>
      </c>
      <c r="B568" s="447" t="s">
        <v>3297</v>
      </c>
      <c r="C568" s="448"/>
      <c r="D568" s="448"/>
      <c r="E568" s="448"/>
      <c r="F568" s="448"/>
      <c r="G568" s="578"/>
      <c r="H568" s="451" t="s">
        <v>948</v>
      </c>
      <c r="I568" s="440">
        <v>45000</v>
      </c>
      <c r="J568" s="440"/>
      <c r="K568" s="446"/>
      <c r="M568" s="469"/>
      <c r="N568" s="453"/>
      <c r="O568" s="454"/>
      <c r="P568" s="454"/>
      <c r="Q568" s="454"/>
      <c r="R568" s="454"/>
      <c r="S568" s="455"/>
    </row>
    <row r="569" spans="1:19">
      <c r="A569" s="446">
        <v>5</v>
      </c>
      <c r="B569" s="447" t="s">
        <v>3298</v>
      </c>
      <c r="C569" s="448"/>
      <c r="D569" s="448"/>
      <c r="E569" s="448"/>
      <c r="F569" s="448"/>
      <c r="G569" s="578"/>
      <c r="H569" s="451" t="s">
        <v>948</v>
      </c>
      <c r="I569" s="440">
        <v>85000</v>
      </c>
      <c r="J569" s="440"/>
      <c r="K569" s="446"/>
      <c r="M569" s="469"/>
      <c r="N569" s="453"/>
      <c r="O569" s="454"/>
      <c r="P569" s="454"/>
      <c r="Q569" s="454"/>
      <c r="R569" s="454"/>
      <c r="S569" s="455"/>
    </row>
    <row r="570" spans="1:19">
      <c r="A570" s="446">
        <v>6</v>
      </c>
      <c r="B570" s="447" t="s">
        <v>3299</v>
      </c>
      <c r="C570" s="448"/>
      <c r="D570" s="448"/>
      <c r="E570" s="448"/>
      <c r="F570" s="448"/>
      <c r="G570" s="578"/>
      <c r="H570" s="451" t="s">
        <v>948</v>
      </c>
      <c r="I570" s="440">
        <v>50000</v>
      </c>
      <c r="J570" s="440"/>
      <c r="K570" s="446"/>
      <c r="M570" s="469"/>
      <c r="N570" s="453"/>
      <c r="O570" s="454"/>
      <c r="P570" s="454"/>
      <c r="Q570" s="454"/>
      <c r="R570" s="454"/>
      <c r="S570" s="455"/>
    </row>
    <row r="571" spans="1:19">
      <c r="A571" s="446">
        <v>7</v>
      </c>
      <c r="B571" s="447" t="s">
        <v>3300</v>
      </c>
      <c r="C571" s="448"/>
      <c r="D571" s="448"/>
      <c r="E571" s="448"/>
      <c r="F571" s="448"/>
      <c r="G571" s="578"/>
      <c r="H571" s="451" t="s">
        <v>948</v>
      </c>
      <c r="I571" s="440">
        <v>350000</v>
      </c>
      <c r="J571" s="440"/>
      <c r="K571" s="446"/>
      <c r="M571" s="469"/>
      <c r="N571" s="453"/>
      <c r="O571" s="454"/>
      <c r="P571" s="454"/>
      <c r="Q571" s="454"/>
      <c r="R571" s="454"/>
      <c r="S571" s="455"/>
    </row>
    <row r="572" spans="1:19">
      <c r="A572" s="446">
        <v>8</v>
      </c>
      <c r="B572" s="447" t="s">
        <v>3301</v>
      </c>
      <c r="C572" s="448"/>
      <c r="D572" s="448"/>
      <c r="E572" s="448"/>
      <c r="F572" s="448"/>
      <c r="G572" s="578"/>
      <c r="H572" s="451" t="s">
        <v>948</v>
      </c>
      <c r="I572" s="440">
        <v>350000</v>
      </c>
      <c r="J572" s="440"/>
      <c r="K572" s="446"/>
      <c r="M572" s="469"/>
      <c r="N572" s="453"/>
      <c r="O572" s="454"/>
      <c r="P572" s="454"/>
      <c r="Q572" s="454"/>
      <c r="R572" s="454"/>
      <c r="S572" s="455"/>
    </row>
    <row r="573" spans="1:19">
      <c r="A573" s="446">
        <v>9</v>
      </c>
      <c r="B573" s="447" t="s">
        <v>3302</v>
      </c>
      <c r="C573" s="448"/>
      <c r="D573" s="448"/>
      <c r="E573" s="448"/>
      <c r="F573" s="448"/>
      <c r="G573" s="578"/>
      <c r="H573" s="451" t="s">
        <v>948</v>
      </c>
      <c r="I573" s="440">
        <v>350000</v>
      </c>
      <c r="J573" s="440"/>
      <c r="K573" s="446"/>
      <c r="M573" s="469"/>
      <c r="N573" s="453"/>
      <c r="O573" s="454"/>
      <c r="P573" s="454"/>
      <c r="Q573" s="454"/>
      <c r="R573" s="454"/>
      <c r="S573" s="455"/>
    </row>
    <row r="574" spans="1:19">
      <c r="A574" s="446">
        <v>10</v>
      </c>
      <c r="B574" s="447" t="s">
        <v>3303</v>
      </c>
      <c r="C574" s="448"/>
      <c r="D574" s="448"/>
      <c r="E574" s="448"/>
      <c r="F574" s="448"/>
      <c r="G574" s="578"/>
      <c r="H574" s="451" t="s">
        <v>948</v>
      </c>
      <c r="I574" s="440">
        <v>350000</v>
      </c>
      <c r="J574" s="440"/>
      <c r="K574" s="446"/>
      <c r="M574" s="469"/>
      <c r="N574" s="453"/>
      <c r="O574" s="454"/>
      <c r="P574" s="454"/>
      <c r="Q574" s="454"/>
      <c r="R574" s="454"/>
      <c r="S574" s="455"/>
    </row>
    <row r="575" spans="1:19">
      <c r="A575" s="446">
        <v>11</v>
      </c>
      <c r="B575" s="447" t="s">
        <v>3304</v>
      </c>
      <c r="C575" s="448"/>
      <c r="D575" s="448"/>
      <c r="E575" s="448"/>
      <c r="F575" s="449"/>
      <c r="G575" s="451"/>
      <c r="H575" s="451" t="s">
        <v>948</v>
      </c>
      <c r="I575" s="440">
        <v>350000</v>
      </c>
      <c r="J575" s="440"/>
      <c r="K575" s="446"/>
      <c r="M575" s="469"/>
      <c r="N575" s="453"/>
      <c r="O575" s="454"/>
      <c r="P575" s="454"/>
      <c r="Q575" s="454"/>
      <c r="R575" s="454"/>
      <c r="S575" s="455"/>
    </row>
    <row r="576" spans="1:19">
      <c r="A576" s="446">
        <v>12</v>
      </c>
      <c r="B576" s="447" t="s">
        <v>3305</v>
      </c>
      <c r="C576" s="448"/>
      <c r="D576" s="448"/>
      <c r="E576" s="448"/>
      <c r="F576" s="449"/>
      <c r="G576" s="451"/>
      <c r="H576" s="451" t="s">
        <v>948</v>
      </c>
      <c r="I576" s="440">
        <v>320000</v>
      </c>
      <c r="J576" s="440"/>
      <c r="K576" s="446"/>
      <c r="M576" s="469"/>
      <c r="N576" s="453"/>
      <c r="O576" s="454"/>
      <c r="P576" s="454"/>
      <c r="Q576" s="454"/>
      <c r="R576" s="454"/>
      <c r="S576" s="455"/>
    </row>
    <row r="577" spans="1:19">
      <c r="A577" s="446">
        <v>13</v>
      </c>
      <c r="B577" s="447" t="s">
        <v>3306</v>
      </c>
      <c r="C577" s="448"/>
      <c r="D577" s="448"/>
      <c r="E577" s="448"/>
      <c r="F577" s="449"/>
      <c r="G577" s="451"/>
      <c r="H577" s="451" t="s">
        <v>948</v>
      </c>
      <c r="I577" s="440">
        <v>320000</v>
      </c>
      <c r="J577" s="440"/>
      <c r="K577" s="446"/>
      <c r="M577" s="469"/>
      <c r="N577" s="453"/>
      <c r="O577" s="454"/>
      <c r="P577" s="454"/>
      <c r="Q577" s="454"/>
      <c r="R577" s="454"/>
      <c r="S577" s="455"/>
    </row>
    <row r="578" spans="1:19">
      <c r="A578" s="446">
        <v>14</v>
      </c>
      <c r="B578" s="447" t="s">
        <v>3307</v>
      </c>
      <c r="C578" s="448"/>
      <c r="D578" s="448"/>
      <c r="E578" s="448"/>
      <c r="F578" s="449"/>
      <c r="G578" s="451"/>
      <c r="H578" s="451" t="s">
        <v>3308</v>
      </c>
      <c r="I578" s="440">
        <v>320000</v>
      </c>
      <c r="J578" s="440"/>
      <c r="K578" s="446"/>
      <c r="M578" s="469"/>
      <c r="N578" s="453"/>
      <c r="O578" s="454"/>
      <c r="P578" s="454"/>
      <c r="Q578" s="454"/>
      <c r="R578" s="454"/>
      <c r="S578" s="455"/>
    </row>
    <row r="579" spans="1:19">
      <c r="A579" s="446">
        <v>15</v>
      </c>
      <c r="B579" s="447" t="s">
        <v>3528</v>
      </c>
      <c r="C579" s="448"/>
      <c r="D579" s="448"/>
      <c r="E579" s="448"/>
      <c r="F579" s="449"/>
      <c r="G579" s="451"/>
      <c r="H579" s="451" t="s">
        <v>3527</v>
      </c>
      <c r="I579" s="440">
        <v>320000</v>
      </c>
      <c r="J579" s="440"/>
      <c r="K579" s="446"/>
      <c r="M579" s="469"/>
      <c r="N579" s="453"/>
      <c r="O579" s="454"/>
      <c r="P579" s="454"/>
      <c r="Q579" s="454"/>
      <c r="R579" s="454"/>
      <c r="S579" s="455"/>
    </row>
    <row r="580" spans="1:19">
      <c r="A580" s="446">
        <v>16</v>
      </c>
      <c r="B580" s="447" t="s">
        <v>3529</v>
      </c>
      <c r="C580" s="448"/>
      <c r="D580" s="448"/>
      <c r="E580" s="448"/>
      <c r="F580" s="449"/>
      <c r="G580" s="451"/>
      <c r="H580" s="451" t="s">
        <v>1665</v>
      </c>
      <c r="I580" s="445">
        <v>300000</v>
      </c>
      <c r="J580" s="445"/>
      <c r="K580" s="446"/>
      <c r="M580" s="469"/>
      <c r="N580" s="453"/>
      <c r="O580" s="454"/>
      <c r="P580" s="454"/>
      <c r="Q580" s="454"/>
      <c r="R580" s="454"/>
      <c r="S580" s="455"/>
    </row>
    <row r="581" spans="1:19">
      <c r="A581" s="446">
        <v>17</v>
      </c>
      <c r="B581" s="447" t="s">
        <v>3445</v>
      </c>
      <c r="C581" s="448"/>
      <c r="D581" s="448"/>
      <c r="E581" s="448"/>
      <c r="F581" s="449"/>
      <c r="G581" s="451"/>
      <c r="H581" s="451" t="s">
        <v>1665</v>
      </c>
      <c r="I581" s="445">
        <v>3000</v>
      </c>
      <c r="J581" s="445"/>
      <c r="K581" s="446"/>
      <c r="M581" s="469"/>
      <c r="N581" s="453"/>
      <c r="O581" s="454"/>
      <c r="P581" s="454"/>
      <c r="Q581" s="454"/>
      <c r="R581" s="454"/>
      <c r="S581" s="455"/>
    </row>
    <row r="582" spans="1:19" s="483" customFormat="1">
      <c r="A582" s="446"/>
      <c r="B582" s="447"/>
      <c r="C582" s="448"/>
      <c r="D582" s="448"/>
      <c r="E582" s="448"/>
      <c r="F582" s="449"/>
      <c r="G582" s="451"/>
      <c r="H582" s="451"/>
      <c r="I582" s="445"/>
      <c r="J582" s="445"/>
      <c r="K582" s="446"/>
      <c r="M582" s="469"/>
      <c r="N582" s="453"/>
      <c r="O582" s="454"/>
      <c r="P582" s="454"/>
      <c r="Q582" s="454"/>
      <c r="R582" s="454"/>
      <c r="S582" s="455"/>
    </row>
    <row r="583" spans="1:19">
      <c r="A583" s="477" t="s">
        <v>703</v>
      </c>
      <c r="B583" s="484" t="s">
        <v>3926</v>
      </c>
      <c r="C583" s="485"/>
      <c r="D583" s="485"/>
      <c r="E583" s="485"/>
      <c r="F583" s="449"/>
      <c r="G583" s="451"/>
      <c r="H583" s="451"/>
      <c r="I583" s="445"/>
      <c r="J583" s="445"/>
      <c r="K583" s="446"/>
      <c r="M583" s="469"/>
      <c r="N583" s="453"/>
      <c r="O583" s="454"/>
      <c r="P583" s="454"/>
      <c r="Q583" s="454"/>
      <c r="R583" s="454"/>
      <c r="S583" s="455"/>
    </row>
    <row r="584" spans="1:19">
      <c r="A584" s="446">
        <v>1</v>
      </c>
      <c r="B584" s="447" t="s">
        <v>3309</v>
      </c>
      <c r="C584" s="448"/>
      <c r="D584" s="448" t="s">
        <v>3310</v>
      </c>
      <c r="E584" s="448" t="s">
        <v>3927</v>
      </c>
      <c r="F584" s="449" t="s">
        <v>3311</v>
      </c>
      <c r="G584" s="451"/>
      <c r="H584" s="451" t="s">
        <v>2970</v>
      </c>
      <c r="I584" s="445">
        <v>1001880</v>
      </c>
      <c r="J584" s="445"/>
      <c r="K584" s="446"/>
      <c r="M584" s="469">
        <f>N584*1.2</f>
        <v>1001880</v>
      </c>
      <c r="N584" s="453">
        <v>834900</v>
      </c>
      <c r="O584" s="454"/>
      <c r="P584" s="454"/>
      <c r="Q584" s="454"/>
      <c r="R584" s="454"/>
      <c r="S584" s="455"/>
    </row>
    <row r="585" spans="1:19">
      <c r="A585" s="446">
        <v>2</v>
      </c>
      <c r="B585" s="447" t="s">
        <v>3309</v>
      </c>
      <c r="C585" s="448"/>
      <c r="D585" s="448" t="s">
        <v>3310</v>
      </c>
      <c r="E585" s="448" t="s">
        <v>3311</v>
      </c>
      <c r="F585" s="449" t="s">
        <v>3311</v>
      </c>
      <c r="G585" s="451"/>
      <c r="H585" s="451" t="s">
        <v>2970</v>
      </c>
      <c r="I585" s="445">
        <v>625080</v>
      </c>
      <c r="J585" s="445"/>
      <c r="K585" s="446"/>
      <c r="M585" s="469">
        <f t="shared" ref="M585:M648" si="21">N585*1.2</f>
        <v>625080</v>
      </c>
      <c r="N585" s="453">
        <v>520900</v>
      </c>
      <c r="O585" s="454"/>
      <c r="P585" s="454"/>
      <c r="Q585" s="454"/>
      <c r="R585" s="454"/>
      <c r="S585" s="455"/>
    </row>
    <row r="586" spans="1:19">
      <c r="A586" s="446">
        <v>3</v>
      </c>
      <c r="B586" s="447" t="s">
        <v>3309</v>
      </c>
      <c r="C586" s="448"/>
      <c r="D586" s="448" t="s">
        <v>3310</v>
      </c>
      <c r="E586" s="448" t="s">
        <v>3318</v>
      </c>
      <c r="F586" s="449" t="s">
        <v>3311</v>
      </c>
      <c r="G586" s="451"/>
      <c r="H586" s="451" t="s">
        <v>2970</v>
      </c>
      <c r="I586" s="445">
        <v>392880</v>
      </c>
      <c r="J586" s="445"/>
      <c r="K586" s="446"/>
      <c r="M586" s="469">
        <f t="shared" si="21"/>
        <v>392880</v>
      </c>
      <c r="N586" s="453">
        <v>327400</v>
      </c>
      <c r="O586" s="454"/>
      <c r="P586" s="454"/>
      <c r="Q586" s="454"/>
      <c r="R586" s="454"/>
      <c r="S586" s="455"/>
    </row>
    <row r="587" spans="1:19">
      <c r="A587" s="486">
        <v>4</v>
      </c>
      <c r="B587" s="487" t="s">
        <v>3309</v>
      </c>
      <c r="C587" s="488"/>
      <c r="D587" s="488" t="s">
        <v>3310</v>
      </c>
      <c r="E587" s="488" t="s">
        <v>3312</v>
      </c>
      <c r="F587" s="489" t="s">
        <v>3312</v>
      </c>
      <c r="G587" s="490"/>
      <c r="H587" s="490" t="s">
        <v>2970</v>
      </c>
      <c r="I587" s="471">
        <v>252240</v>
      </c>
      <c r="J587" s="471"/>
      <c r="K587" s="486"/>
      <c r="M587" s="469">
        <f t="shared" si="21"/>
        <v>252240</v>
      </c>
      <c r="N587" s="453">
        <v>210200</v>
      </c>
      <c r="O587" s="454"/>
      <c r="P587" s="454"/>
      <c r="Q587" s="454"/>
      <c r="R587" s="454"/>
      <c r="S587" s="455"/>
    </row>
    <row r="588" spans="1:19">
      <c r="A588" s="491">
        <v>5</v>
      </c>
      <c r="B588" s="492" t="s">
        <v>3309</v>
      </c>
      <c r="C588" s="493"/>
      <c r="D588" s="493" t="s">
        <v>3310</v>
      </c>
      <c r="E588" s="493" t="s">
        <v>3313</v>
      </c>
      <c r="F588" s="494" t="s">
        <v>3313</v>
      </c>
      <c r="G588" s="495"/>
      <c r="H588" s="495" t="s">
        <v>2970</v>
      </c>
      <c r="I588" s="444">
        <v>117120</v>
      </c>
      <c r="J588" s="444"/>
      <c r="K588" s="491"/>
      <c r="M588" s="469">
        <f t="shared" si="21"/>
        <v>117120</v>
      </c>
      <c r="N588" s="453">
        <v>97600</v>
      </c>
      <c r="O588" s="454"/>
      <c r="P588" s="454"/>
      <c r="Q588" s="454"/>
      <c r="R588" s="454"/>
      <c r="S588" s="455"/>
    </row>
    <row r="589" spans="1:19">
      <c r="A589" s="446">
        <v>6</v>
      </c>
      <c r="B589" s="447" t="s">
        <v>3309</v>
      </c>
      <c r="C589" s="448"/>
      <c r="D589" s="448" t="s">
        <v>3310</v>
      </c>
      <c r="E589" s="448" t="s">
        <v>3314</v>
      </c>
      <c r="F589" s="449" t="s">
        <v>3314</v>
      </c>
      <c r="G589" s="451"/>
      <c r="H589" s="451" t="s">
        <v>2970</v>
      </c>
      <c r="I589" s="445">
        <v>79560</v>
      </c>
      <c r="J589" s="445"/>
      <c r="K589" s="446"/>
      <c r="M589" s="469">
        <f t="shared" si="21"/>
        <v>79560</v>
      </c>
      <c r="N589" s="453">
        <v>66300</v>
      </c>
      <c r="O589" s="454"/>
      <c r="P589" s="454"/>
      <c r="Q589" s="454"/>
      <c r="R589" s="454"/>
      <c r="S589" s="455"/>
    </row>
    <row r="590" spans="1:19">
      <c r="A590" s="446">
        <v>7</v>
      </c>
      <c r="B590" s="447" t="s">
        <v>3309</v>
      </c>
      <c r="C590" s="448"/>
      <c r="D590" s="448" t="s">
        <v>3310</v>
      </c>
      <c r="E590" s="448" t="s">
        <v>3315</v>
      </c>
      <c r="F590" s="449" t="s">
        <v>3315</v>
      </c>
      <c r="G590" s="451"/>
      <c r="H590" s="451" t="s">
        <v>2970</v>
      </c>
      <c r="I590" s="445">
        <v>38160</v>
      </c>
      <c r="J590" s="445"/>
      <c r="K590" s="446"/>
      <c r="M590" s="469">
        <f t="shared" si="21"/>
        <v>38160</v>
      </c>
      <c r="N590" s="453">
        <v>31800</v>
      </c>
      <c r="O590" s="454"/>
      <c r="P590" s="454"/>
      <c r="Q590" s="454"/>
      <c r="R590" s="454"/>
      <c r="S590" s="455"/>
    </row>
    <row r="591" spans="1:19">
      <c r="A591" s="446">
        <v>8</v>
      </c>
      <c r="B591" s="447" t="s">
        <v>3309</v>
      </c>
      <c r="C591" s="448"/>
      <c r="D591" s="448" t="s">
        <v>3316</v>
      </c>
      <c r="E591" s="448" t="s">
        <v>3928</v>
      </c>
      <c r="F591" s="449" t="s">
        <v>3311</v>
      </c>
      <c r="G591" s="451"/>
      <c r="H591" s="451" t="s">
        <v>2970</v>
      </c>
      <c r="I591" s="445">
        <v>730560</v>
      </c>
      <c r="J591" s="445"/>
      <c r="K591" s="446"/>
      <c r="M591" s="469">
        <f t="shared" si="21"/>
        <v>730560</v>
      </c>
      <c r="N591" s="453">
        <v>608800</v>
      </c>
      <c r="O591" s="454"/>
      <c r="P591" s="454"/>
      <c r="Q591" s="454"/>
      <c r="R591" s="454"/>
      <c r="S591" s="455"/>
    </row>
    <row r="592" spans="1:19">
      <c r="A592" s="446">
        <v>9</v>
      </c>
      <c r="B592" s="447" t="s">
        <v>3309</v>
      </c>
      <c r="C592" s="448"/>
      <c r="D592" s="448" t="s">
        <v>3316</v>
      </c>
      <c r="E592" s="448" t="s">
        <v>3334</v>
      </c>
      <c r="F592" s="449" t="s">
        <v>3311</v>
      </c>
      <c r="G592" s="451"/>
      <c r="H592" s="451" t="s">
        <v>2970</v>
      </c>
      <c r="I592" s="445">
        <v>463440</v>
      </c>
      <c r="J592" s="445"/>
      <c r="K592" s="446"/>
      <c r="M592" s="469">
        <f t="shared" si="21"/>
        <v>463440</v>
      </c>
      <c r="N592" s="453">
        <v>386200</v>
      </c>
      <c r="O592" s="454"/>
      <c r="P592" s="454"/>
      <c r="Q592" s="454"/>
      <c r="R592" s="454"/>
      <c r="S592" s="455"/>
    </row>
    <row r="593" spans="1:19">
      <c r="A593" s="446">
        <v>10</v>
      </c>
      <c r="B593" s="447" t="s">
        <v>3309</v>
      </c>
      <c r="C593" s="448"/>
      <c r="D593" s="448" t="s">
        <v>3316</v>
      </c>
      <c r="E593" s="448" t="s">
        <v>3317</v>
      </c>
      <c r="F593" s="449" t="s">
        <v>3318</v>
      </c>
      <c r="G593" s="451"/>
      <c r="H593" s="451" t="s">
        <v>2970</v>
      </c>
      <c r="I593" s="445">
        <v>293520</v>
      </c>
      <c r="J593" s="445"/>
      <c r="K593" s="446"/>
      <c r="M593" s="469">
        <f t="shared" si="21"/>
        <v>293520</v>
      </c>
      <c r="N593" s="453">
        <v>244600</v>
      </c>
      <c r="O593" s="454"/>
      <c r="P593" s="454"/>
      <c r="Q593" s="454"/>
      <c r="R593" s="454"/>
      <c r="S593" s="455"/>
    </row>
    <row r="594" spans="1:19">
      <c r="A594" s="446">
        <v>11</v>
      </c>
      <c r="B594" s="447" t="s">
        <v>3309</v>
      </c>
      <c r="C594" s="448"/>
      <c r="D594" s="448" t="s">
        <v>3316</v>
      </c>
      <c r="E594" s="448" t="s">
        <v>3319</v>
      </c>
      <c r="F594" s="449" t="s">
        <v>3312</v>
      </c>
      <c r="G594" s="451"/>
      <c r="H594" s="451" t="s">
        <v>2970</v>
      </c>
      <c r="I594" s="445">
        <v>191880</v>
      </c>
      <c r="J594" s="445"/>
      <c r="K594" s="446"/>
      <c r="M594" s="469">
        <f t="shared" si="21"/>
        <v>191880</v>
      </c>
      <c r="N594" s="453">
        <v>159900</v>
      </c>
      <c r="O594" s="454"/>
      <c r="P594" s="454"/>
      <c r="Q594" s="454"/>
      <c r="R594" s="454"/>
      <c r="S594" s="455"/>
    </row>
    <row r="595" spans="1:19">
      <c r="A595" s="446">
        <v>12</v>
      </c>
      <c r="B595" s="447" t="s">
        <v>3309</v>
      </c>
      <c r="C595" s="448"/>
      <c r="D595" s="448" t="s">
        <v>3316</v>
      </c>
      <c r="E595" s="448" t="s">
        <v>3320</v>
      </c>
      <c r="F595" s="449" t="s">
        <v>3321</v>
      </c>
      <c r="G595" s="451"/>
      <c r="H595" s="451" t="s">
        <v>2970</v>
      </c>
      <c r="I595" s="445">
        <v>104640</v>
      </c>
      <c r="J595" s="445"/>
      <c r="K595" s="446"/>
      <c r="M595" s="469">
        <f t="shared" si="21"/>
        <v>104640</v>
      </c>
      <c r="N595" s="453">
        <v>87200</v>
      </c>
      <c r="O595" s="454"/>
      <c r="P595" s="454"/>
      <c r="Q595" s="454"/>
      <c r="R595" s="454"/>
      <c r="S595" s="455"/>
    </row>
    <row r="596" spans="1:19">
      <c r="A596" s="446">
        <v>13</v>
      </c>
      <c r="B596" s="447" t="s">
        <v>3322</v>
      </c>
      <c r="C596" s="448"/>
      <c r="D596" s="448"/>
      <c r="E596" s="448"/>
      <c r="F596" s="449"/>
      <c r="G596" s="451"/>
      <c r="H596" s="451" t="s">
        <v>1423</v>
      </c>
      <c r="I596" s="445">
        <v>494880</v>
      </c>
      <c r="J596" s="445"/>
      <c r="K596" s="446"/>
      <c r="M596" s="469">
        <f t="shared" si="21"/>
        <v>494880</v>
      </c>
      <c r="N596" s="453">
        <v>412400</v>
      </c>
      <c r="O596" s="454"/>
      <c r="P596" s="454"/>
      <c r="Q596" s="454"/>
      <c r="R596" s="454"/>
      <c r="S596" s="455"/>
    </row>
    <row r="597" spans="1:19">
      <c r="A597" s="446">
        <v>14</v>
      </c>
      <c r="B597" s="447" t="s">
        <v>3828</v>
      </c>
      <c r="C597" s="448"/>
      <c r="D597" s="448"/>
      <c r="E597" s="448"/>
      <c r="F597" s="449"/>
      <c r="G597" s="451"/>
      <c r="H597" s="451" t="s">
        <v>1423</v>
      </c>
      <c r="I597" s="445">
        <v>184920</v>
      </c>
      <c r="J597" s="445"/>
      <c r="K597" s="446"/>
      <c r="M597" s="469">
        <f t="shared" si="21"/>
        <v>184920</v>
      </c>
      <c r="N597" s="453">
        <v>154100</v>
      </c>
      <c r="O597" s="454"/>
      <c r="P597" s="454"/>
      <c r="Q597" s="454"/>
      <c r="R597" s="454"/>
      <c r="S597" s="455"/>
    </row>
    <row r="598" spans="1:19">
      <c r="A598" s="446">
        <v>15</v>
      </c>
      <c r="B598" s="447" t="s">
        <v>3929</v>
      </c>
      <c r="C598" s="448"/>
      <c r="D598" s="448"/>
      <c r="E598" s="448"/>
      <c r="F598" s="449"/>
      <c r="G598" s="451"/>
      <c r="H598" s="451" t="s">
        <v>1423</v>
      </c>
      <c r="I598" s="445">
        <v>1166400</v>
      </c>
      <c r="J598" s="445"/>
      <c r="K598" s="446"/>
      <c r="M598" s="469">
        <f t="shared" si="21"/>
        <v>1166400</v>
      </c>
      <c r="N598" s="453">
        <v>972000</v>
      </c>
      <c r="O598" s="454"/>
      <c r="P598" s="454"/>
      <c r="Q598" s="454"/>
      <c r="R598" s="454"/>
      <c r="S598" s="455"/>
    </row>
    <row r="599" spans="1:19">
      <c r="A599" s="446">
        <v>16</v>
      </c>
      <c r="B599" s="447" t="s">
        <v>3323</v>
      </c>
      <c r="C599" s="448"/>
      <c r="D599" s="448"/>
      <c r="E599" s="448"/>
      <c r="F599" s="449"/>
      <c r="G599" s="451"/>
      <c r="H599" s="451" t="s">
        <v>690</v>
      </c>
      <c r="I599" s="445">
        <v>125280</v>
      </c>
      <c r="J599" s="445"/>
      <c r="K599" s="446"/>
      <c r="M599" s="469">
        <f t="shared" si="21"/>
        <v>125280</v>
      </c>
      <c r="N599" s="453">
        <v>104400</v>
      </c>
      <c r="O599" s="454"/>
      <c r="P599" s="454"/>
      <c r="Q599" s="454"/>
      <c r="R599" s="454"/>
      <c r="S599" s="455"/>
    </row>
    <row r="600" spans="1:19">
      <c r="A600" s="446">
        <v>17</v>
      </c>
      <c r="B600" s="447" t="s">
        <v>3930</v>
      </c>
      <c r="C600" s="448"/>
      <c r="D600" s="448"/>
      <c r="E600" s="448"/>
      <c r="F600" s="449"/>
      <c r="G600" s="451"/>
      <c r="H600" s="451" t="s">
        <v>1423</v>
      </c>
      <c r="I600" s="445">
        <v>8597160</v>
      </c>
      <c r="J600" s="445"/>
      <c r="K600" s="446"/>
      <c r="M600" s="469">
        <f t="shared" si="21"/>
        <v>8597160</v>
      </c>
      <c r="N600" s="453">
        <v>7164300</v>
      </c>
      <c r="O600" s="454"/>
      <c r="P600" s="454"/>
      <c r="Q600" s="454"/>
      <c r="R600" s="454"/>
      <c r="S600" s="455"/>
    </row>
    <row r="601" spans="1:19">
      <c r="A601" s="446">
        <v>18</v>
      </c>
      <c r="B601" s="447" t="s">
        <v>3931</v>
      </c>
      <c r="C601" s="448"/>
      <c r="D601" s="448"/>
      <c r="E601" s="448"/>
      <c r="F601" s="449"/>
      <c r="G601" s="451"/>
      <c r="H601" s="451" t="s">
        <v>743</v>
      </c>
      <c r="I601" s="445">
        <v>5064600</v>
      </c>
      <c r="J601" s="445"/>
      <c r="K601" s="446"/>
      <c r="M601" s="469">
        <f t="shared" si="21"/>
        <v>5064600</v>
      </c>
      <c r="N601" s="453">
        <v>4220500</v>
      </c>
      <c r="O601" s="454"/>
      <c r="P601" s="454"/>
      <c r="Q601" s="454"/>
      <c r="R601" s="454"/>
      <c r="S601" s="455"/>
    </row>
    <row r="602" spans="1:19">
      <c r="A602" s="446">
        <v>19</v>
      </c>
      <c r="B602" s="447" t="s">
        <v>3932</v>
      </c>
      <c r="C602" s="448"/>
      <c r="D602" s="448"/>
      <c r="E602" s="448"/>
      <c r="F602" s="449"/>
      <c r="G602" s="451"/>
      <c r="H602" s="451" t="s">
        <v>743</v>
      </c>
      <c r="I602" s="445">
        <v>2905680</v>
      </c>
      <c r="J602" s="445"/>
      <c r="K602" s="446"/>
      <c r="M602" s="469">
        <f t="shared" si="21"/>
        <v>2905680</v>
      </c>
      <c r="N602" s="453">
        <v>2421400</v>
      </c>
      <c r="O602" s="454"/>
      <c r="P602" s="454"/>
      <c r="Q602" s="454"/>
      <c r="R602" s="454"/>
      <c r="S602" s="455"/>
    </row>
    <row r="603" spans="1:19">
      <c r="A603" s="446">
        <v>20</v>
      </c>
      <c r="B603" s="447" t="s">
        <v>3933</v>
      </c>
      <c r="C603" s="448"/>
      <c r="D603" s="448"/>
      <c r="E603" s="448"/>
      <c r="F603" s="449"/>
      <c r="G603" s="451"/>
      <c r="H603" s="451" t="s">
        <v>743</v>
      </c>
      <c r="I603" s="445">
        <v>1632480</v>
      </c>
      <c r="J603" s="445"/>
      <c r="K603" s="446"/>
      <c r="M603" s="469">
        <f t="shared" si="21"/>
        <v>1632480</v>
      </c>
      <c r="N603" s="453">
        <v>1360400</v>
      </c>
      <c r="O603" s="454"/>
      <c r="P603" s="454"/>
      <c r="Q603" s="454"/>
      <c r="R603" s="454"/>
      <c r="S603" s="455"/>
    </row>
    <row r="604" spans="1:19">
      <c r="A604" s="446">
        <v>21</v>
      </c>
      <c r="B604" s="447" t="s">
        <v>3934</v>
      </c>
      <c r="C604" s="448"/>
      <c r="D604" s="448"/>
      <c r="E604" s="448"/>
      <c r="F604" s="449"/>
      <c r="G604" s="451"/>
      <c r="H604" s="451" t="s">
        <v>743</v>
      </c>
      <c r="I604" s="445">
        <v>792120</v>
      </c>
      <c r="J604" s="445"/>
      <c r="K604" s="446"/>
      <c r="M604" s="469">
        <f t="shared" si="21"/>
        <v>792120</v>
      </c>
      <c r="N604" s="453">
        <v>660100</v>
      </c>
      <c r="O604" s="454"/>
      <c r="P604" s="454"/>
      <c r="Q604" s="454"/>
      <c r="R604" s="454"/>
      <c r="S604" s="455"/>
    </row>
    <row r="605" spans="1:19">
      <c r="A605" s="446">
        <v>22</v>
      </c>
      <c r="B605" s="447" t="s">
        <v>3935</v>
      </c>
      <c r="C605" s="448"/>
      <c r="D605" s="448"/>
      <c r="E605" s="448"/>
      <c r="F605" s="449"/>
      <c r="G605" s="451"/>
      <c r="H605" s="451" t="s">
        <v>1423</v>
      </c>
      <c r="I605" s="445">
        <v>569280</v>
      </c>
      <c r="J605" s="445"/>
      <c r="K605" s="446"/>
      <c r="M605" s="469">
        <f t="shared" si="21"/>
        <v>569280</v>
      </c>
      <c r="N605" s="453">
        <v>474400</v>
      </c>
      <c r="O605" s="454"/>
      <c r="P605" s="454"/>
      <c r="Q605" s="454"/>
      <c r="R605" s="454"/>
      <c r="S605" s="455"/>
    </row>
    <row r="606" spans="1:19">
      <c r="A606" s="446">
        <v>23</v>
      </c>
      <c r="B606" s="447" t="s">
        <v>3936</v>
      </c>
      <c r="C606" s="448"/>
      <c r="D606" s="448"/>
      <c r="E606" s="448"/>
      <c r="F606" s="449"/>
      <c r="G606" s="451"/>
      <c r="H606" s="451" t="s">
        <v>743</v>
      </c>
      <c r="I606" s="445">
        <v>60000</v>
      </c>
      <c r="J606" s="445"/>
      <c r="K606" s="446"/>
      <c r="M606" s="469">
        <f t="shared" si="21"/>
        <v>60000</v>
      </c>
      <c r="N606" s="453">
        <v>50000</v>
      </c>
      <c r="O606" s="454"/>
      <c r="P606" s="454"/>
      <c r="Q606" s="454"/>
      <c r="R606" s="454"/>
      <c r="S606" s="455"/>
    </row>
    <row r="607" spans="1:19">
      <c r="A607" s="446">
        <v>24</v>
      </c>
      <c r="B607" s="447" t="s">
        <v>3937</v>
      </c>
      <c r="C607" s="448"/>
      <c r="D607" s="448"/>
      <c r="E607" s="448"/>
      <c r="F607" s="449"/>
      <c r="G607" s="451"/>
      <c r="H607" s="451" t="s">
        <v>743</v>
      </c>
      <c r="I607" s="445">
        <v>90000</v>
      </c>
      <c r="J607" s="445"/>
      <c r="K607" s="446"/>
      <c r="M607" s="469">
        <f t="shared" si="21"/>
        <v>90000</v>
      </c>
      <c r="N607" s="453">
        <v>75000</v>
      </c>
      <c r="O607" s="454"/>
      <c r="P607" s="454"/>
      <c r="Q607" s="454"/>
      <c r="R607" s="454"/>
      <c r="S607" s="455"/>
    </row>
    <row r="608" spans="1:19">
      <c r="A608" s="446">
        <v>28</v>
      </c>
      <c r="B608" s="447" t="s">
        <v>3325</v>
      </c>
      <c r="C608" s="448"/>
      <c r="D608" s="448"/>
      <c r="E608" s="448" t="s">
        <v>3327</v>
      </c>
      <c r="F608" s="449" t="s">
        <v>3326</v>
      </c>
      <c r="G608" s="451"/>
      <c r="H608" s="451" t="s">
        <v>1423</v>
      </c>
      <c r="I608" s="445">
        <v>1275120</v>
      </c>
      <c r="J608" s="445"/>
      <c r="K608" s="446"/>
      <c r="M608" s="469">
        <f t="shared" si="21"/>
        <v>1275120</v>
      </c>
      <c r="N608" s="453">
        <v>1062600</v>
      </c>
      <c r="O608" s="454"/>
      <c r="P608" s="454"/>
      <c r="Q608" s="454"/>
      <c r="R608" s="454"/>
      <c r="S608" s="455"/>
    </row>
    <row r="609" spans="1:19">
      <c r="A609" s="446">
        <v>29</v>
      </c>
      <c r="B609" s="447" t="s">
        <v>3325</v>
      </c>
      <c r="C609" s="448"/>
      <c r="D609" s="448"/>
      <c r="E609" s="448" t="s">
        <v>3328</v>
      </c>
      <c r="F609" s="449" t="s">
        <v>3327</v>
      </c>
      <c r="G609" s="451"/>
      <c r="H609" s="451" t="s">
        <v>1423</v>
      </c>
      <c r="I609" s="445">
        <v>1785600</v>
      </c>
      <c r="J609" s="445"/>
      <c r="K609" s="446"/>
      <c r="M609" s="469">
        <f t="shared" si="21"/>
        <v>1785600</v>
      </c>
      <c r="N609" s="453">
        <v>1488000</v>
      </c>
      <c r="O609" s="454"/>
      <c r="P609" s="454"/>
      <c r="Q609" s="454"/>
      <c r="R609" s="454"/>
      <c r="S609" s="455"/>
    </row>
    <row r="610" spans="1:19">
      <c r="A610" s="446">
        <v>30</v>
      </c>
      <c r="B610" s="447" t="s">
        <v>3325</v>
      </c>
      <c r="C610" s="448"/>
      <c r="D610" s="448"/>
      <c r="E610" s="448" t="s">
        <v>3329</v>
      </c>
      <c r="F610" s="449" t="s">
        <v>3328</v>
      </c>
      <c r="G610" s="451"/>
      <c r="H610" s="451" t="s">
        <v>1423</v>
      </c>
      <c r="I610" s="445">
        <v>1785600</v>
      </c>
      <c r="J610" s="445"/>
      <c r="K610" s="446"/>
      <c r="M610" s="469">
        <f t="shared" si="21"/>
        <v>1785600</v>
      </c>
      <c r="N610" s="453">
        <v>1488000</v>
      </c>
      <c r="O610" s="454"/>
      <c r="P610" s="454"/>
      <c r="Q610" s="454"/>
      <c r="R610" s="454"/>
      <c r="S610" s="455"/>
    </row>
    <row r="611" spans="1:19">
      <c r="A611" s="446">
        <v>31</v>
      </c>
      <c r="B611" s="447" t="s">
        <v>3325</v>
      </c>
      <c r="C611" s="448"/>
      <c r="D611" s="448"/>
      <c r="E611" s="448" t="s">
        <v>3938</v>
      </c>
      <c r="F611" s="449" t="s">
        <v>3329</v>
      </c>
      <c r="G611" s="451"/>
      <c r="H611" s="451" t="s">
        <v>1423</v>
      </c>
      <c r="I611" s="445">
        <v>430920</v>
      </c>
      <c r="J611" s="445"/>
      <c r="K611" s="446"/>
      <c r="M611" s="469">
        <f t="shared" si="21"/>
        <v>430920</v>
      </c>
      <c r="N611" s="453">
        <v>359100</v>
      </c>
      <c r="O611" s="454"/>
      <c r="P611" s="454"/>
      <c r="Q611" s="454"/>
      <c r="R611" s="454"/>
      <c r="S611" s="455"/>
    </row>
    <row r="612" spans="1:19">
      <c r="A612" s="446">
        <v>32</v>
      </c>
      <c r="B612" s="447" t="s">
        <v>3325</v>
      </c>
      <c r="C612" s="448"/>
      <c r="D612" s="448"/>
      <c r="E612" s="448" t="s">
        <v>3939</v>
      </c>
      <c r="F612" s="449" t="s">
        <v>3329</v>
      </c>
      <c r="G612" s="451"/>
      <c r="H612" s="451" t="s">
        <v>1423</v>
      </c>
      <c r="I612" s="445">
        <v>589800</v>
      </c>
      <c r="J612" s="445"/>
      <c r="K612" s="446"/>
      <c r="M612" s="469">
        <f t="shared" si="21"/>
        <v>589800</v>
      </c>
      <c r="N612" s="453">
        <v>491500</v>
      </c>
      <c r="O612" s="454"/>
      <c r="P612" s="454"/>
      <c r="Q612" s="454"/>
      <c r="R612" s="454"/>
      <c r="S612" s="455"/>
    </row>
    <row r="613" spans="1:19">
      <c r="A613" s="446">
        <v>33</v>
      </c>
      <c r="B613" s="447" t="s">
        <v>3325</v>
      </c>
      <c r="C613" s="448"/>
      <c r="D613" s="448"/>
      <c r="E613" s="448" t="s">
        <v>3940</v>
      </c>
      <c r="F613" s="449" t="s">
        <v>3329</v>
      </c>
      <c r="G613" s="451"/>
      <c r="H613" s="451" t="s">
        <v>1423</v>
      </c>
      <c r="I613" s="445">
        <v>271080</v>
      </c>
      <c r="J613" s="445"/>
      <c r="K613" s="446"/>
      <c r="M613" s="469">
        <f t="shared" si="21"/>
        <v>271080</v>
      </c>
      <c r="N613" s="453">
        <v>225900</v>
      </c>
      <c r="O613" s="454"/>
      <c r="P613" s="454"/>
      <c r="Q613" s="454"/>
      <c r="R613" s="454"/>
      <c r="S613" s="455"/>
    </row>
    <row r="614" spans="1:19">
      <c r="A614" s="446">
        <v>34</v>
      </c>
      <c r="B614" s="447" t="s">
        <v>3333</v>
      </c>
      <c r="C614" s="448"/>
      <c r="D614" s="448"/>
      <c r="E614" s="448" t="s">
        <v>3941</v>
      </c>
      <c r="F614" s="449" t="s">
        <v>3311</v>
      </c>
      <c r="G614" s="451"/>
      <c r="H614" s="451" t="s">
        <v>1423</v>
      </c>
      <c r="I614" s="445">
        <v>727200</v>
      </c>
      <c r="J614" s="445"/>
      <c r="K614" s="446"/>
      <c r="M614" s="469">
        <f t="shared" si="21"/>
        <v>727200</v>
      </c>
      <c r="N614" s="453">
        <v>606000</v>
      </c>
      <c r="O614" s="454"/>
      <c r="P614" s="454"/>
      <c r="Q614" s="454"/>
      <c r="R614" s="454"/>
      <c r="S614" s="455"/>
    </row>
    <row r="615" spans="1:19">
      <c r="A615" s="446">
        <v>35</v>
      </c>
      <c r="B615" s="447" t="s">
        <v>3333</v>
      </c>
      <c r="C615" s="448"/>
      <c r="D615" s="448"/>
      <c r="E615" s="448" t="s">
        <v>3334</v>
      </c>
      <c r="F615" s="449" t="s">
        <v>3311</v>
      </c>
      <c r="G615" s="451"/>
      <c r="H615" s="451" t="s">
        <v>1423</v>
      </c>
      <c r="I615" s="445">
        <v>626400</v>
      </c>
      <c r="J615" s="445"/>
      <c r="K615" s="446"/>
      <c r="M615" s="469">
        <f t="shared" si="21"/>
        <v>626400</v>
      </c>
      <c r="N615" s="453">
        <v>522000</v>
      </c>
      <c r="O615" s="454"/>
      <c r="P615" s="454"/>
      <c r="Q615" s="454"/>
      <c r="R615" s="454"/>
      <c r="S615" s="455"/>
    </row>
    <row r="616" spans="1:19">
      <c r="A616" s="446">
        <v>36</v>
      </c>
      <c r="B616" s="447" t="s">
        <v>3333</v>
      </c>
      <c r="C616" s="448"/>
      <c r="D616" s="448"/>
      <c r="E616" s="448" t="s">
        <v>3317</v>
      </c>
      <c r="F616" s="449" t="s">
        <v>3311</v>
      </c>
      <c r="G616" s="451"/>
      <c r="H616" s="451" t="s">
        <v>1423</v>
      </c>
      <c r="I616" s="445">
        <v>540000</v>
      </c>
      <c r="J616" s="445"/>
      <c r="K616" s="446"/>
      <c r="M616" s="469">
        <f t="shared" si="21"/>
        <v>540000</v>
      </c>
      <c r="N616" s="453">
        <v>450000</v>
      </c>
      <c r="O616" s="454"/>
      <c r="P616" s="454"/>
      <c r="Q616" s="454"/>
      <c r="R616" s="454"/>
      <c r="S616" s="455"/>
    </row>
    <row r="617" spans="1:19">
      <c r="A617" s="446">
        <v>37</v>
      </c>
      <c r="B617" s="447" t="s">
        <v>3333</v>
      </c>
      <c r="C617" s="448"/>
      <c r="D617" s="448"/>
      <c r="E617" s="448" t="s">
        <v>3319</v>
      </c>
      <c r="F617" s="449" t="s">
        <v>3312</v>
      </c>
      <c r="G617" s="451"/>
      <c r="H617" s="451" t="s">
        <v>1423</v>
      </c>
      <c r="I617" s="445">
        <v>468000</v>
      </c>
      <c r="J617" s="445"/>
      <c r="K617" s="446"/>
      <c r="M617" s="469">
        <f t="shared" si="21"/>
        <v>468000</v>
      </c>
      <c r="N617" s="453">
        <v>390000</v>
      </c>
      <c r="O617" s="454"/>
      <c r="P617" s="454"/>
      <c r="Q617" s="454"/>
      <c r="R617" s="454"/>
      <c r="S617" s="455"/>
    </row>
    <row r="618" spans="1:19">
      <c r="A618" s="446">
        <v>38</v>
      </c>
      <c r="B618" s="447" t="s">
        <v>3333</v>
      </c>
      <c r="C618" s="448"/>
      <c r="D618" s="448"/>
      <c r="E618" s="448" t="s">
        <v>3320</v>
      </c>
      <c r="F618" s="449" t="s">
        <v>3313</v>
      </c>
      <c r="G618" s="451"/>
      <c r="H618" s="451" t="s">
        <v>1423</v>
      </c>
      <c r="I618" s="445">
        <v>381600</v>
      </c>
      <c r="J618" s="445"/>
      <c r="K618" s="446"/>
      <c r="M618" s="469">
        <f t="shared" si="21"/>
        <v>381600</v>
      </c>
      <c r="N618" s="453">
        <v>318000</v>
      </c>
      <c r="O618" s="454"/>
      <c r="P618" s="454"/>
      <c r="Q618" s="454"/>
      <c r="R618" s="454"/>
      <c r="S618" s="455"/>
    </row>
    <row r="619" spans="1:19">
      <c r="A619" s="446">
        <v>39</v>
      </c>
      <c r="B619" s="447" t="s">
        <v>3333</v>
      </c>
      <c r="C619" s="448"/>
      <c r="D619" s="448"/>
      <c r="E619" s="448" t="s">
        <v>3324</v>
      </c>
      <c r="F619" s="449" t="s">
        <v>3314</v>
      </c>
      <c r="G619" s="451"/>
      <c r="H619" s="451" t="s">
        <v>1423</v>
      </c>
      <c r="I619" s="445">
        <v>252000</v>
      </c>
      <c r="J619" s="445"/>
      <c r="K619" s="446"/>
      <c r="M619" s="469">
        <f t="shared" si="21"/>
        <v>252000</v>
      </c>
      <c r="N619" s="453">
        <v>210000</v>
      </c>
      <c r="O619" s="454"/>
      <c r="P619" s="454"/>
      <c r="Q619" s="454"/>
      <c r="R619" s="454"/>
      <c r="S619" s="455"/>
    </row>
    <row r="620" spans="1:19">
      <c r="A620" s="446">
        <v>40</v>
      </c>
      <c r="B620" s="447" t="s">
        <v>3942</v>
      </c>
      <c r="C620" s="448"/>
      <c r="D620" s="448"/>
      <c r="E620" s="448" t="s">
        <v>3928</v>
      </c>
      <c r="F620" s="449" t="s">
        <v>3334</v>
      </c>
      <c r="G620" s="451"/>
      <c r="H620" s="451" t="s">
        <v>1423</v>
      </c>
      <c r="I620" s="445">
        <v>22800000</v>
      </c>
      <c r="J620" s="445"/>
      <c r="K620" s="446"/>
      <c r="M620" s="469">
        <f t="shared" si="21"/>
        <v>22800000</v>
      </c>
      <c r="N620" s="453">
        <v>19000000</v>
      </c>
      <c r="O620" s="454"/>
      <c r="P620" s="454"/>
      <c r="Q620" s="454"/>
      <c r="R620" s="454"/>
      <c r="S620" s="455"/>
    </row>
    <row r="621" spans="1:19">
      <c r="A621" s="446">
        <v>41</v>
      </c>
      <c r="B621" s="447" t="s">
        <v>3942</v>
      </c>
      <c r="C621" s="448"/>
      <c r="D621" s="448"/>
      <c r="E621" s="448" t="s">
        <v>3334</v>
      </c>
      <c r="F621" s="449" t="s">
        <v>3319</v>
      </c>
      <c r="G621" s="451"/>
      <c r="H621" s="451" t="s">
        <v>1423</v>
      </c>
      <c r="I621" s="445">
        <v>18240000</v>
      </c>
      <c r="J621" s="445"/>
      <c r="K621" s="446"/>
      <c r="M621" s="469">
        <f t="shared" si="21"/>
        <v>18240000</v>
      </c>
      <c r="N621" s="453">
        <v>15200000</v>
      </c>
      <c r="O621" s="454"/>
      <c r="P621" s="454"/>
      <c r="Q621" s="454"/>
      <c r="R621" s="454"/>
      <c r="S621" s="455"/>
    </row>
    <row r="622" spans="1:19">
      <c r="A622" s="446">
        <v>42</v>
      </c>
      <c r="B622" s="447" t="s">
        <v>3942</v>
      </c>
      <c r="C622" s="448"/>
      <c r="D622" s="448"/>
      <c r="E622" s="448" t="s">
        <v>3317</v>
      </c>
      <c r="F622" s="449" t="s">
        <v>3319</v>
      </c>
      <c r="G622" s="451"/>
      <c r="H622" s="451" t="s">
        <v>1423</v>
      </c>
      <c r="I622" s="445">
        <v>9120000</v>
      </c>
      <c r="J622" s="445"/>
      <c r="K622" s="446"/>
      <c r="M622" s="469">
        <f t="shared" si="21"/>
        <v>9120000</v>
      </c>
      <c r="N622" s="453">
        <v>7600000</v>
      </c>
      <c r="O622" s="454"/>
      <c r="P622" s="454"/>
      <c r="Q622" s="454"/>
      <c r="R622" s="454"/>
      <c r="S622" s="455"/>
    </row>
    <row r="623" spans="1:19">
      <c r="A623" s="446">
        <v>43</v>
      </c>
      <c r="B623" s="447" t="s">
        <v>3942</v>
      </c>
      <c r="C623" s="448"/>
      <c r="D623" s="448"/>
      <c r="E623" s="448" t="s">
        <v>3319</v>
      </c>
      <c r="F623" s="449" t="s">
        <v>3319</v>
      </c>
      <c r="G623" s="451"/>
      <c r="H623" s="451" t="s">
        <v>1423</v>
      </c>
      <c r="I623" s="445">
        <v>4560000</v>
      </c>
      <c r="J623" s="445"/>
      <c r="K623" s="446"/>
      <c r="M623" s="469">
        <f t="shared" si="21"/>
        <v>4560000</v>
      </c>
      <c r="N623" s="453">
        <v>3800000</v>
      </c>
      <c r="O623" s="454"/>
      <c r="P623" s="454"/>
      <c r="Q623" s="454"/>
      <c r="R623" s="454"/>
      <c r="S623" s="455"/>
    </row>
    <row r="624" spans="1:19">
      <c r="A624" s="446">
        <v>44</v>
      </c>
      <c r="B624" s="447" t="s">
        <v>3942</v>
      </c>
      <c r="C624" s="448"/>
      <c r="D624" s="448"/>
      <c r="E624" s="448" t="s">
        <v>3320</v>
      </c>
      <c r="F624" s="449" t="s">
        <v>3320</v>
      </c>
      <c r="G624" s="451"/>
      <c r="H624" s="451" t="s">
        <v>1423</v>
      </c>
      <c r="I624" s="445">
        <v>1890000</v>
      </c>
      <c r="J624" s="445"/>
      <c r="K624" s="446"/>
      <c r="M624" s="469">
        <f t="shared" si="21"/>
        <v>1890000</v>
      </c>
      <c r="N624" s="453">
        <v>1575000</v>
      </c>
      <c r="O624" s="454"/>
      <c r="P624" s="454"/>
      <c r="Q624" s="454"/>
      <c r="R624" s="454"/>
      <c r="S624" s="455"/>
    </row>
    <row r="625" spans="1:19">
      <c r="A625" s="446">
        <v>45</v>
      </c>
      <c r="B625" s="447" t="s">
        <v>3942</v>
      </c>
      <c r="C625" s="448"/>
      <c r="D625" s="448"/>
      <c r="E625" s="448" t="s">
        <v>3324</v>
      </c>
      <c r="F625" s="449" t="s">
        <v>3324</v>
      </c>
      <c r="G625" s="451"/>
      <c r="H625" s="451" t="s">
        <v>1423</v>
      </c>
      <c r="I625" s="445">
        <v>1530000</v>
      </c>
      <c r="J625" s="445"/>
      <c r="K625" s="446"/>
      <c r="M625" s="469">
        <f t="shared" si="21"/>
        <v>1530000</v>
      </c>
      <c r="N625" s="453">
        <v>1275000</v>
      </c>
      <c r="O625" s="454"/>
      <c r="P625" s="454"/>
      <c r="Q625" s="454"/>
      <c r="R625" s="454"/>
      <c r="S625" s="455"/>
    </row>
    <row r="626" spans="1:19">
      <c r="A626" s="446">
        <v>46</v>
      </c>
      <c r="B626" s="447" t="s">
        <v>3335</v>
      </c>
      <c r="C626" s="448"/>
      <c r="D626" s="448"/>
      <c r="E626" s="448" t="s">
        <v>3336</v>
      </c>
      <c r="F626" s="449" t="s">
        <v>3336</v>
      </c>
      <c r="G626" s="451"/>
      <c r="H626" s="451" t="s">
        <v>1423</v>
      </c>
      <c r="I626" s="445">
        <v>378240</v>
      </c>
      <c r="J626" s="445"/>
      <c r="K626" s="446"/>
      <c r="M626" s="469">
        <f t="shared" si="21"/>
        <v>378240</v>
      </c>
      <c r="N626" s="453">
        <v>315200</v>
      </c>
      <c r="O626" s="454"/>
      <c r="P626" s="454"/>
      <c r="Q626" s="454"/>
      <c r="R626" s="454"/>
      <c r="S626" s="455"/>
    </row>
    <row r="627" spans="1:19">
      <c r="A627" s="446">
        <v>47</v>
      </c>
      <c r="B627" s="447" t="s">
        <v>3335</v>
      </c>
      <c r="C627" s="448"/>
      <c r="D627" s="448"/>
      <c r="E627" s="448" t="s">
        <v>3337</v>
      </c>
      <c r="F627" s="449" t="s">
        <v>3337</v>
      </c>
      <c r="G627" s="451"/>
      <c r="H627" s="451" t="s">
        <v>1423</v>
      </c>
      <c r="I627" s="445">
        <v>220080</v>
      </c>
      <c r="J627" s="445"/>
      <c r="K627" s="446"/>
      <c r="M627" s="469">
        <f t="shared" si="21"/>
        <v>220080</v>
      </c>
      <c r="N627" s="453">
        <v>183400</v>
      </c>
      <c r="O627" s="454"/>
      <c r="P627" s="454"/>
      <c r="Q627" s="454"/>
      <c r="R627" s="454"/>
      <c r="S627" s="455"/>
    </row>
    <row r="628" spans="1:19">
      <c r="A628" s="446">
        <v>48</v>
      </c>
      <c r="B628" s="447" t="s">
        <v>3943</v>
      </c>
      <c r="C628" s="448"/>
      <c r="D628" s="448"/>
      <c r="E628" s="448"/>
      <c r="F628" s="449" t="s">
        <v>3338</v>
      </c>
      <c r="G628" s="451"/>
      <c r="H628" s="451" t="s">
        <v>1423</v>
      </c>
      <c r="I628" s="445">
        <v>506040</v>
      </c>
      <c r="J628" s="445"/>
      <c r="K628" s="446"/>
      <c r="M628" s="469">
        <f t="shared" si="21"/>
        <v>506040</v>
      </c>
      <c r="N628" s="453">
        <v>421700</v>
      </c>
      <c r="O628" s="454"/>
      <c r="P628" s="454"/>
      <c r="Q628" s="454"/>
      <c r="R628" s="454"/>
      <c r="S628" s="455"/>
    </row>
    <row r="629" spans="1:19">
      <c r="A629" s="446">
        <v>49</v>
      </c>
      <c r="B629" s="447" t="s">
        <v>3944</v>
      </c>
      <c r="C629" s="448"/>
      <c r="D629" s="448"/>
      <c r="E629" s="448"/>
      <c r="F629" s="449" t="s">
        <v>3334</v>
      </c>
      <c r="G629" s="451"/>
      <c r="H629" s="451" t="s">
        <v>1423</v>
      </c>
      <c r="I629" s="445">
        <v>680520</v>
      </c>
      <c r="J629" s="445"/>
      <c r="K629" s="446"/>
      <c r="M629" s="469">
        <f t="shared" si="21"/>
        <v>680520</v>
      </c>
      <c r="N629" s="453">
        <v>567100</v>
      </c>
      <c r="O629" s="454"/>
      <c r="P629" s="454"/>
      <c r="Q629" s="454"/>
      <c r="R629" s="454"/>
      <c r="S629" s="455"/>
    </row>
    <row r="630" spans="1:19">
      <c r="A630" s="446">
        <v>50</v>
      </c>
      <c r="B630" s="447" t="s">
        <v>3945</v>
      </c>
      <c r="C630" s="448"/>
      <c r="D630" s="448"/>
      <c r="E630" s="448"/>
      <c r="F630" s="449" t="s">
        <v>3319</v>
      </c>
      <c r="G630" s="451"/>
      <c r="H630" s="451" t="s">
        <v>1423</v>
      </c>
      <c r="I630" s="445">
        <v>1216320</v>
      </c>
      <c r="J630" s="445"/>
      <c r="K630" s="446"/>
      <c r="M630" s="469">
        <f t="shared" si="21"/>
        <v>1216320</v>
      </c>
      <c r="N630" s="453">
        <v>1013600</v>
      </c>
      <c r="O630" s="454"/>
      <c r="P630" s="454"/>
      <c r="Q630" s="454"/>
      <c r="R630" s="454"/>
      <c r="S630" s="455"/>
    </row>
    <row r="631" spans="1:19">
      <c r="A631" s="446">
        <v>51</v>
      </c>
      <c r="B631" s="447" t="s">
        <v>3946</v>
      </c>
      <c r="C631" s="448"/>
      <c r="D631" s="448"/>
      <c r="E631" s="448"/>
      <c r="F631" s="449" t="s">
        <v>3320</v>
      </c>
      <c r="G631" s="451"/>
      <c r="H631" s="451" t="s">
        <v>1423</v>
      </c>
      <c r="I631" s="445">
        <v>1771920</v>
      </c>
      <c r="J631" s="445"/>
      <c r="K631" s="446"/>
      <c r="M631" s="469">
        <f t="shared" si="21"/>
        <v>1771920</v>
      </c>
      <c r="N631" s="453">
        <v>1476600</v>
      </c>
      <c r="O631" s="454"/>
      <c r="P631" s="454"/>
      <c r="Q631" s="454"/>
      <c r="R631" s="454"/>
      <c r="S631" s="455"/>
    </row>
    <row r="632" spans="1:19">
      <c r="A632" s="446">
        <v>52</v>
      </c>
      <c r="B632" s="447" t="s">
        <v>3947</v>
      </c>
      <c r="C632" s="448"/>
      <c r="D632" s="448"/>
      <c r="E632" s="448"/>
      <c r="F632" s="449" t="s">
        <v>3324</v>
      </c>
      <c r="G632" s="451"/>
      <c r="H632" s="451" t="s">
        <v>1423</v>
      </c>
      <c r="I632" s="445">
        <v>2658000</v>
      </c>
      <c r="J632" s="445"/>
      <c r="K632" s="446"/>
      <c r="M632" s="469">
        <f t="shared" si="21"/>
        <v>2658000</v>
      </c>
      <c r="N632" s="453">
        <v>2215000</v>
      </c>
      <c r="O632" s="454"/>
      <c r="P632" s="454"/>
      <c r="Q632" s="454"/>
      <c r="R632" s="454"/>
      <c r="S632" s="455"/>
    </row>
    <row r="633" spans="1:19">
      <c r="A633" s="446">
        <v>53</v>
      </c>
      <c r="B633" s="447" t="s">
        <v>3948</v>
      </c>
      <c r="C633" s="448"/>
      <c r="D633" s="448"/>
      <c r="E633" s="448"/>
      <c r="F633" s="449"/>
      <c r="G633" s="451"/>
      <c r="H633" s="451" t="s">
        <v>1423</v>
      </c>
      <c r="I633" s="445">
        <v>3012360</v>
      </c>
      <c r="J633" s="445"/>
      <c r="K633" s="446"/>
      <c r="M633" s="469">
        <f t="shared" si="21"/>
        <v>3012360</v>
      </c>
      <c r="N633" s="453">
        <v>2510300</v>
      </c>
      <c r="O633" s="454"/>
      <c r="P633" s="454"/>
      <c r="Q633" s="454"/>
      <c r="R633" s="454"/>
      <c r="S633" s="455"/>
    </row>
    <row r="634" spans="1:19">
      <c r="A634" s="446">
        <v>54</v>
      </c>
      <c r="B634" s="447" t="s">
        <v>3339</v>
      </c>
      <c r="C634" s="448"/>
      <c r="D634" s="448"/>
      <c r="E634" s="448" t="s">
        <v>3340</v>
      </c>
      <c r="F634" s="449" t="s">
        <v>3341</v>
      </c>
      <c r="G634" s="451"/>
      <c r="H634" s="451" t="s">
        <v>2647</v>
      </c>
      <c r="I634" s="445">
        <v>171000</v>
      </c>
      <c r="J634" s="445"/>
      <c r="K634" s="446"/>
      <c r="M634" s="469">
        <f t="shared" si="21"/>
        <v>171000</v>
      </c>
      <c r="N634" s="453">
        <v>142500</v>
      </c>
      <c r="O634" s="454"/>
      <c r="P634" s="454"/>
      <c r="Q634" s="454"/>
      <c r="R634" s="454"/>
      <c r="S634" s="455"/>
    </row>
    <row r="635" spans="1:19">
      <c r="A635" s="446">
        <v>55</v>
      </c>
      <c r="B635" s="447" t="s">
        <v>3342</v>
      </c>
      <c r="C635" s="448"/>
      <c r="D635" s="448"/>
      <c r="E635" s="448" t="s">
        <v>3343</v>
      </c>
      <c r="F635" s="449" t="s">
        <v>3343</v>
      </c>
      <c r="G635" s="451"/>
      <c r="H635" s="451" t="s">
        <v>1423</v>
      </c>
      <c r="I635" s="445">
        <v>4680</v>
      </c>
      <c r="J635" s="445"/>
      <c r="K635" s="446"/>
      <c r="M635" s="469">
        <f t="shared" si="21"/>
        <v>4680</v>
      </c>
      <c r="N635" s="453">
        <v>3900</v>
      </c>
      <c r="O635" s="454"/>
      <c r="P635" s="454"/>
      <c r="Q635" s="454"/>
      <c r="R635" s="454"/>
      <c r="S635" s="455"/>
    </row>
    <row r="636" spans="1:19">
      <c r="A636" s="446">
        <v>56</v>
      </c>
      <c r="B636" s="447" t="s">
        <v>3342</v>
      </c>
      <c r="C636" s="448"/>
      <c r="D636" s="448"/>
      <c r="E636" s="448" t="s">
        <v>3949</v>
      </c>
      <c r="F636" s="449"/>
      <c r="G636" s="451"/>
      <c r="H636" s="451" t="s">
        <v>1423</v>
      </c>
      <c r="I636" s="445">
        <v>8640</v>
      </c>
      <c r="J636" s="445"/>
      <c r="K636" s="446"/>
      <c r="M636" s="469">
        <f t="shared" si="21"/>
        <v>8640</v>
      </c>
      <c r="N636" s="453">
        <v>7200</v>
      </c>
      <c r="O636" s="454"/>
      <c r="P636" s="454"/>
      <c r="Q636" s="454"/>
      <c r="R636" s="454"/>
      <c r="S636" s="455"/>
    </row>
    <row r="637" spans="1:19">
      <c r="A637" s="446">
        <v>57</v>
      </c>
      <c r="B637" s="447" t="s">
        <v>3342</v>
      </c>
      <c r="C637" s="448"/>
      <c r="D637" s="448"/>
      <c r="E637" s="448" t="s">
        <v>3950</v>
      </c>
      <c r="F637" s="449"/>
      <c r="G637" s="451"/>
      <c r="H637" s="451" t="s">
        <v>1423</v>
      </c>
      <c r="I637" s="445">
        <v>24480</v>
      </c>
      <c r="J637" s="445"/>
      <c r="K637" s="446"/>
      <c r="M637" s="469">
        <f t="shared" si="21"/>
        <v>24480</v>
      </c>
      <c r="N637" s="453">
        <v>20400</v>
      </c>
      <c r="O637" s="454"/>
      <c r="P637" s="454"/>
      <c r="Q637" s="454"/>
      <c r="R637" s="454"/>
      <c r="S637" s="455"/>
    </row>
    <row r="638" spans="1:19">
      <c r="A638" s="446">
        <v>58</v>
      </c>
      <c r="B638" s="447" t="s">
        <v>3344</v>
      </c>
      <c r="C638" s="448"/>
      <c r="D638" s="448"/>
      <c r="E638" s="448" t="s">
        <v>3319</v>
      </c>
      <c r="F638" s="449" t="s">
        <v>3319</v>
      </c>
      <c r="G638" s="451"/>
      <c r="H638" s="451" t="s">
        <v>1423</v>
      </c>
      <c r="I638" s="445">
        <v>1097160</v>
      </c>
      <c r="J638" s="445"/>
      <c r="K638" s="446"/>
      <c r="M638" s="469">
        <f t="shared" si="21"/>
        <v>1097160</v>
      </c>
      <c r="N638" s="453">
        <v>914300</v>
      </c>
      <c r="O638" s="454"/>
      <c r="P638" s="454"/>
      <c r="Q638" s="454"/>
      <c r="R638" s="454"/>
      <c r="S638" s="455"/>
    </row>
    <row r="639" spans="1:19">
      <c r="A639" s="446">
        <v>59</v>
      </c>
      <c r="B639" s="447" t="s">
        <v>3344</v>
      </c>
      <c r="C639" s="448"/>
      <c r="D639" s="448"/>
      <c r="E639" s="448" t="s">
        <v>3320</v>
      </c>
      <c r="F639" s="449" t="s">
        <v>3320</v>
      </c>
      <c r="G639" s="451"/>
      <c r="H639" s="451" t="s">
        <v>1423</v>
      </c>
      <c r="I639" s="445">
        <v>819600</v>
      </c>
      <c r="J639" s="445"/>
      <c r="K639" s="446"/>
      <c r="M639" s="469">
        <f t="shared" si="21"/>
        <v>819600</v>
      </c>
      <c r="N639" s="453">
        <v>683000</v>
      </c>
      <c r="O639" s="454"/>
      <c r="P639" s="454"/>
      <c r="Q639" s="454"/>
      <c r="R639" s="454"/>
      <c r="S639" s="455"/>
    </row>
    <row r="640" spans="1:19">
      <c r="A640" s="446">
        <v>60</v>
      </c>
      <c r="B640" s="447" t="s">
        <v>3344</v>
      </c>
      <c r="C640" s="448"/>
      <c r="D640" s="448"/>
      <c r="E640" s="448" t="s">
        <v>3324</v>
      </c>
      <c r="F640" s="449" t="s">
        <v>3324</v>
      </c>
      <c r="G640" s="451"/>
      <c r="H640" s="451" t="s">
        <v>1423</v>
      </c>
      <c r="I640" s="445">
        <v>642720</v>
      </c>
      <c r="J640" s="445"/>
      <c r="K640" s="446"/>
      <c r="M640" s="469">
        <f t="shared" si="21"/>
        <v>642720</v>
      </c>
      <c r="N640" s="453">
        <v>535600</v>
      </c>
      <c r="O640" s="454"/>
      <c r="P640" s="454"/>
      <c r="Q640" s="454"/>
      <c r="R640" s="454"/>
      <c r="S640" s="455"/>
    </row>
    <row r="641" spans="1:19">
      <c r="A641" s="446">
        <v>61</v>
      </c>
      <c r="B641" s="447" t="s">
        <v>3951</v>
      </c>
      <c r="C641" s="448"/>
      <c r="D641" s="448"/>
      <c r="E641" s="448"/>
      <c r="F641" s="449"/>
      <c r="G641" s="451"/>
      <c r="H641" s="451" t="s">
        <v>1423</v>
      </c>
      <c r="I641" s="445">
        <v>195000</v>
      </c>
      <c r="J641" s="445"/>
      <c r="K641" s="446"/>
      <c r="M641" s="469">
        <f t="shared" si="21"/>
        <v>195000</v>
      </c>
      <c r="N641" s="453">
        <v>162500</v>
      </c>
      <c r="O641" s="454"/>
      <c r="P641" s="454"/>
      <c r="Q641" s="454"/>
      <c r="R641" s="454"/>
      <c r="S641" s="455"/>
    </row>
    <row r="642" spans="1:19">
      <c r="A642" s="446">
        <v>62</v>
      </c>
      <c r="B642" s="447" t="s">
        <v>3345</v>
      </c>
      <c r="C642" s="448"/>
      <c r="D642" s="448"/>
      <c r="E642" s="448"/>
      <c r="F642" s="449"/>
      <c r="G642" s="451"/>
      <c r="H642" s="451" t="s">
        <v>1423</v>
      </c>
      <c r="I642" s="445">
        <v>327600</v>
      </c>
      <c r="J642" s="445"/>
      <c r="K642" s="446"/>
      <c r="M642" s="469">
        <f t="shared" si="21"/>
        <v>327600</v>
      </c>
      <c r="N642" s="453">
        <v>273000</v>
      </c>
      <c r="O642" s="454"/>
      <c r="P642" s="454"/>
      <c r="Q642" s="454"/>
      <c r="R642" s="454"/>
      <c r="S642" s="455"/>
    </row>
    <row r="643" spans="1:19">
      <c r="A643" s="446">
        <v>63</v>
      </c>
      <c r="B643" s="447" t="s">
        <v>3347</v>
      </c>
      <c r="C643" s="448"/>
      <c r="D643" s="448"/>
      <c r="E643" s="448" t="s">
        <v>3332</v>
      </c>
      <c r="F643" s="449" t="s">
        <v>3312</v>
      </c>
      <c r="G643" s="451"/>
      <c r="H643" s="451" t="s">
        <v>1423</v>
      </c>
      <c r="I643" s="445">
        <v>1028400</v>
      </c>
      <c r="J643" s="445"/>
      <c r="K643" s="446"/>
      <c r="M643" s="469">
        <f t="shared" si="21"/>
        <v>1028400</v>
      </c>
      <c r="N643" s="453">
        <v>857000</v>
      </c>
      <c r="O643" s="454"/>
      <c r="P643" s="454"/>
      <c r="Q643" s="454"/>
      <c r="R643" s="454"/>
      <c r="S643" s="455"/>
    </row>
    <row r="644" spans="1:19">
      <c r="A644" s="486">
        <v>64</v>
      </c>
      <c r="B644" s="487" t="s">
        <v>3347</v>
      </c>
      <c r="C644" s="488"/>
      <c r="D644" s="488"/>
      <c r="E644" s="488" t="s">
        <v>3321</v>
      </c>
      <c r="F644" s="489" t="s">
        <v>3313</v>
      </c>
      <c r="G644" s="490"/>
      <c r="H644" s="490" t="s">
        <v>1423</v>
      </c>
      <c r="I644" s="471">
        <v>366840</v>
      </c>
      <c r="J644" s="471"/>
      <c r="K644" s="486"/>
      <c r="M644" s="469">
        <f t="shared" si="21"/>
        <v>366840</v>
      </c>
      <c r="N644" s="453">
        <v>305700</v>
      </c>
      <c r="O644" s="454"/>
      <c r="P644" s="454"/>
      <c r="Q644" s="454"/>
      <c r="R644" s="454"/>
      <c r="S644" s="455"/>
    </row>
    <row r="645" spans="1:19">
      <c r="A645" s="491">
        <v>65</v>
      </c>
      <c r="B645" s="492" t="s">
        <v>3347</v>
      </c>
      <c r="C645" s="493"/>
      <c r="D645" s="493"/>
      <c r="E645" s="493" t="s">
        <v>3330</v>
      </c>
      <c r="F645" s="494" t="s">
        <v>3314</v>
      </c>
      <c r="G645" s="495"/>
      <c r="H645" s="495" t="s">
        <v>1423</v>
      </c>
      <c r="I645" s="444">
        <v>215160</v>
      </c>
      <c r="J645" s="444"/>
      <c r="K645" s="491"/>
      <c r="M645" s="469">
        <f t="shared" si="21"/>
        <v>215160</v>
      </c>
      <c r="N645" s="453">
        <v>179300</v>
      </c>
      <c r="O645" s="454"/>
      <c r="P645" s="454"/>
      <c r="Q645" s="454"/>
      <c r="R645" s="454"/>
      <c r="S645" s="455"/>
    </row>
    <row r="646" spans="1:19">
      <c r="A646" s="446">
        <v>66</v>
      </c>
      <c r="B646" s="447" t="s">
        <v>3347</v>
      </c>
      <c r="C646" s="448"/>
      <c r="D646" s="448"/>
      <c r="E646" s="448" t="s">
        <v>3331</v>
      </c>
      <c r="F646" s="449" t="s">
        <v>3315</v>
      </c>
      <c r="G646" s="451"/>
      <c r="H646" s="451" t="s">
        <v>1423</v>
      </c>
      <c r="I646" s="445">
        <v>92760</v>
      </c>
      <c r="J646" s="445"/>
      <c r="K646" s="446"/>
      <c r="M646" s="469">
        <f t="shared" si="21"/>
        <v>92760</v>
      </c>
      <c r="N646" s="453">
        <v>77300</v>
      </c>
      <c r="O646" s="454"/>
      <c r="P646" s="454"/>
      <c r="Q646" s="454"/>
      <c r="R646" s="454"/>
      <c r="S646" s="455"/>
    </row>
    <row r="647" spans="1:19">
      <c r="A647" s="446">
        <v>67</v>
      </c>
      <c r="B647" s="447" t="s">
        <v>3348</v>
      </c>
      <c r="C647" s="448"/>
      <c r="D647" s="448"/>
      <c r="E647" s="448" t="s">
        <v>3332</v>
      </c>
      <c r="F647" s="449" t="s">
        <v>3312</v>
      </c>
      <c r="G647" s="451"/>
      <c r="H647" s="451" t="s">
        <v>1423</v>
      </c>
      <c r="I647" s="445">
        <v>177120</v>
      </c>
      <c r="J647" s="445"/>
      <c r="K647" s="446"/>
      <c r="M647" s="469">
        <f t="shared" si="21"/>
        <v>177120</v>
      </c>
      <c r="N647" s="453">
        <v>147600</v>
      </c>
      <c r="O647" s="454"/>
      <c r="P647" s="454"/>
      <c r="Q647" s="454"/>
      <c r="R647" s="454"/>
      <c r="S647" s="455"/>
    </row>
    <row r="648" spans="1:19">
      <c r="A648" s="446">
        <v>68</v>
      </c>
      <c r="B648" s="447" t="s">
        <v>3348</v>
      </c>
      <c r="C648" s="448"/>
      <c r="D648" s="448"/>
      <c r="E648" s="448" t="s">
        <v>3321</v>
      </c>
      <c r="F648" s="449" t="s">
        <v>3313</v>
      </c>
      <c r="G648" s="451"/>
      <c r="H648" s="451" t="s">
        <v>1423</v>
      </c>
      <c r="I648" s="445">
        <v>84000</v>
      </c>
      <c r="J648" s="445"/>
      <c r="K648" s="446"/>
      <c r="M648" s="469">
        <f t="shared" si="21"/>
        <v>84000</v>
      </c>
      <c r="N648" s="453">
        <v>70000</v>
      </c>
      <c r="O648" s="454"/>
      <c r="P648" s="454"/>
      <c r="Q648" s="454"/>
      <c r="R648" s="454"/>
      <c r="S648" s="455"/>
    </row>
    <row r="649" spans="1:19">
      <c r="A649" s="446">
        <v>69</v>
      </c>
      <c r="B649" s="447" t="s">
        <v>3348</v>
      </c>
      <c r="C649" s="448"/>
      <c r="D649" s="448"/>
      <c r="E649" s="448" t="s">
        <v>3330</v>
      </c>
      <c r="F649" s="449" t="s">
        <v>3314</v>
      </c>
      <c r="G649" s="451"/>
      <c r="H649" s="451" t="s">
        <v>1423</v>
      </c>
      <c r="I649" s="445">
        <v>69240</v>
      </c>
      <c r="J649" s="445"/>
      <c r="K649" s="446"/>
      <c r="M649" s="469">
        <f t="shared" ref="M649:M712" si="22">N649*1.2</f>
        <v>69240</v>
      </c>
      <c r="N649" s="453">
        <v>57700</v>
      </c>
      <c r="O649" s="454"/>
      <c r="P649" s="454"/>
      <c r="Q649" s="454"/>
      <c r="R649" s="454"/>
      <c r="S649" s="455"/>
    </row>
    <row r="650" spans="1:19">
      <c r="A650" s="446">
        <v>70</v>
      </c>
      <c r="B650" s="447" t="s">
        <v>3348</v>
      </c>
      <c r="C650" s="448"/>
      <c r="D650" s="448"/>
      <c r="E650" s="448" t="s">
        <v>3331</v>
      </c>
      <c r="F650" s="449" t="s">
        <v>3315</v>
      </c>
      <c r="G650" s="451"/>
      <c r="H650" s="451" t="s">
        <v>1423</v>
      </c>
      <c r="I650" s="445">
        <v>43440</v>
      </c>
      <c r="J650" s="445"/>
      <c r="K650" s="446"/>
      <c r="M650" s="469">
        <f t="shared" si="22"/>
        <v>43440</v>
      </c>
      <c r="N650" s="453">
        <v>36200</v>
      </c>
      <c r="O650" s="454"/>
      <c r="P650" s="454"/>
      <c r="Q650" s="454"/>
      <c r="R650" s="454"/>
      <c r="S650" s="455"/>
    </row>
    <row r="651" spans="1:19">
      <c r="A651" s="446">
        <v>71</v>
      </c>
      <c r="B651" s="447" t="s">
        <v>3952</v>
      </c>
      <c r="C651" s="448"/>
      <c r="D651" s="448"/>
      <c r="E651" s="448" t="s">
        <v>3319</v>
      </c>
      <c r="F651" s="449" t="s">
        <v>3324</v>
      </c>
      <c r="G651" s="451"/>
      <c r="H651" s="451" t="s">
        <v>1423</v>
      </c>
      <c r="I651" s="445">
        <v>6272640</v>
      </c>
      <c r="J651" s="445"/>
      <c r="K651" s="446"/>
      <c r="M651" s="469">
        <f t="shared" si="22"/>
        <v>6272640</v>
      </c>
      <c r="N651" s="453">
        <v>5227200</v>
      </c>
      <c r="O651" s="454"/>
      <c r="P651" s="454"/>
      <c r="Q651" s="454"/>
      <c r="R651" s="454"/>
      <c r="S651" s="455"/>
    </row>
    <row r="652" spans="1:19">
      <c r="A652" s="446">
        <v>72</v>
      </c>
      <c r="B652" s="447" t="s">
        <v>3952</v>
      </c>
      <c r="C652" s="448"/>
      <c r="D652" s="448"/>
      <c r="E652" s="448" t="s">
        <v>3320</v>
      </c>
      <c r="F652" s="449"/>
      <c r="G652" s="451"/>
      <c r="H652" s="451" t="s">
        <v>1423</v>
      </c>
      <c r="I652" s="445">
        <v>4356000</v>
      </c>
      <c r="J652" s="445"/>
      <c r="K652" s="446"/>
      <c r="M652" s="469">
        <f t="shared" si="22"/>
        <v>4356000</v>
      </c>
      <c r="N652" s="453">
        <v>3630000</v>
      </c>
      <c r="O652" s="454"/>
      <c r="P652" s="454"/>
      <c r="Q652" s="454"/>
      <c r="R652" s="454"/>
      <c r="S652" s="455"/>
    </row>
    <row r="653" spans="1:19">
      <c r="A653" s="446">
        <v>73</v>
      </c>
      <c r="B653" s="447" t="s">
        <v>3952</v>
      </c>
      <c r="C653" s="448"/>
      <c r="D653" s="448"/>
      <c r="E653" s="448" t="s">
        <v>3324</v>
      </c>
      <c r="F653" s="449"/>
      <c r="G653" s="451"/>
      <c r="H653" s="451" t="s">
        <v>1423</v>
      </c>
      <c r="I653" s="445">
        <v>2880000</v>
      </c>
      <c r="J653" s="445"/>
      <c r="K653" s="446"/>
      <c r="M653" s="469">
        <f t="shared" si="22"/>
        <v>2880000</v>
      </c>
      <c r="N653" s="453">
        <v>2400000</v>
      </c>
      <c r="O653" s="454"/>
      <c r="P653" s="454"/>
      <c r="Q653" s="454"/>
      <c r="R653" s="454"/>
      <c r="S653" s="455"/>
    </row>
    <row r="654" spans="1:19">
      <c r="A654" s="446">
        <v>74</v>
      </c>
      <c r="B654" s="447" t="s">
        <v>3952</v>
      </c>
      <c r="C654" s="448"/>
      <c r="D654" s="448"/>
      <c r="E654" s="448" t="s">
        <v>3346</v>
      </c>
      <c r="F654" s="449"/>
      <c r="G654" s="451"/>
      <c r="H654" s="451" t="s">
        <v>1423</v>
      </c>
      <c r="I654" s="445">
        <v>2787840</v>
      </c>
      <c r="J654" s="445"/>
      <c r="K654" s="446"/>
      <c r="M654" s="469">
        <f t="shared" si="22"/>
        <v>2787840</v>
      </c>
      <c r="N654" s="453">
        <v>2323200</v>
      </c>
      <c r="O654" s="454"/>
      <c r="P654" s="454"/>
      <c r="Q654" s="454"/>
      <c r="R654" s="454"/>
      <c r="S654" s="455"/>
    </row>
    <row r="655" spans="1:19">
      <c r="A655" s="446">
        <v>75</v>
      </c>
      <c r="B655" s="447" t="s">
        <v>3349</v>
      </c>
      <c r="C655" s="448"/>
      <c r="D655" s="448"/>
      <c r="E655" s="448" t="s">
        <v>3319</v>
      </c>
      <c r="F655" s="449" t="s">
        <v>3324</v>
      </c>
      <c r="G655" s="451"/>
      <c r="H655" s="451" t="s">
        <v>1423</v>
      </c>
      <c r="I655" s="445">
        <v>15564360</v>
      </c>
      <c r="J655" s="445"/>
      <c r="K655" s="446"/>
      <c r="M655" s="469">
        <f t="shared" si="22"/>
        <v>15564360</v>
      </c>
      <c r="N655" s="453">
        <v>12970300</v>
      </c>
      <c r="O655" s="454"/>
      <c r="P655" s="454"/>
      <c r="Q655" s="454"/>
      <c r="R655" s="454"/>
      <c r="S655" s="455"/>
    </row>
    <row r="656" spans="1:19">
      <c r="A656" s="446">
        <v>76</v>
      </c>
      <c r="B656" s="447" t="s">
        <v>3349</v>
      </c>
      <c r="C656" s="448"/>
      <c r="D656" s="448"/>
      <c r="E656" s="448" t="s">
        <v>3320</v>
      </c>
      <c r="F656" s="449"/>
      <c r="G656" s="451"/>
      <c r="H656" s="451" t="s">
        <v>1423</v>
      </c>
      <c r="I656" s="445">
        <v>9163200</v>
      </c>
      <c r="J656" s="445"/>
      <c r="K656" s="446"/>
      <c r="M656" s="469">
        <f t="shared" si="22"/>
        <v>9163200</v>
      </c>
      <c r="N656" s="453">
        <v>7636000</v>
      </c>
      <c r="O656" s="454"/>
      <c r="P656" s="454"/>
      <c r="Q656" s="454"/>
      <c r="R656" s="454"/>
      <c r="S656" s="455"/>
    </row>
    <row r="657" spans="1:19">
      <c r="A657" s="446">
        <v>77</v>
      </c>
      <c r="B657" s="447" t="s">
        <v>3349</v>
      </c>
      <c r="C657" s="448"/>
      <c r="D657" s="448"/>
      <c r="E657" s="448" t="s">
        <v>3324</v>
      </c>
      <c r="F657" s="449"/>
      <c r="G657" s="451"/>
      <c r="H657" s="451" t="s">
        <v>1423</v>
      </c>
      <c r="I657" s="445">
        <v>6103560</v>
      </c>
      <c r="J657" s="445"/>
      <c r="K657" s="446"/>
      <c r="M657" s="469">
        <f t="shared" si="22"/>
        <v>6103560</v>
      </c>
      <c r="N657" s="453">
        <v>5086300</v>
      </c>
      <c r="O657" s="454"/>
      <c r="P657" s="454"/>
      <c r="Q657" s="454"/>
      <c r="R657" s="454"/>
      <c r="S657" s="455"/>
    </row>
    <row r="658" spans="1:19">
      <c r="A658" s="446">
        <v>78</v>
      </c>
      <c r="B658" s="447" t="s">
        <v>3349</v>
      </c>
      <c r="C658" s="448"/>
      <c r="D658" s="448"/>
      <c r="E658" s="448" t="s">
        <v>3346</v>
      </c>
      <c r="F658" s="449"/>
      <c r="G658" s="451"/>
      <c r="H658" s="451" t="s">
        <v>1423</v>
      </c>
      <c r="I658" s="445">
        <v>5612160</v>
      </c>
      <c r="J658" s="445"/>
      <c r="K658" s="446"/>
      <c r="M658" s="469">
        <f t="shared" si="22"/>
        <v>5612160</v>
      </c>
      <c r="N658" s="453">
        <v>4676800</v>
      </c>
      <c r="O658" s="454"/>
      <c r="P658" s="454"/>
      <c r="Q658" s="454"/>
      <c r="R658" s="454"/>
      <c r="S658" s="455"/>
    </row>
    <row r="659" spans="1:19">
      <c r="A659" s="446">
        <v>79</v>
      </c>
      <c r="B659" s="447" t="s">
        <v>3786</v>
      </c>
      <c r="C659" s="448"/>
      <c r="D659" s="448"/>
      <c r="E659" s="448" t="s">
        <v>3953</v>
      </c>
      <c r="F659" s="449"/>
      <c r="G659" s="451"/>
      <c r="H659" s="451" t="s">
        <v>2970</v>
      </c>
      <c r="I659" s="445">
        <v>68040</v>
      </c>
      <c r="J659" s="445"/>
      <c r="K659" s="446"/>
      <c r="M659" s="469">
        <f t="shared" si="22"/>
        <v>68040</v>
      </c>
      <c r="N659" s="453">
        <v>56700</v>
      </c>
      <c r="O659" s="454"/>
      <c r="P659" s="454"/>
      <c r="Q659" s="454"/>
      <c r="R659" s="454"/>
      <c r="S659" s="455"/>
    </row>
    <row r="660" spans="1:19">
      <c r="A660" s="446">
        <v>80</v>
      </c>
      <c r="B660" s="447" t="s">
        <v>3787</v>
      </c>
      <c r="C660" s="448"/>
      <c r="D660" s="448"/>
      <c r="E660" s="448" t="s">
        <v>3954</v>
      </c>
      <c r="F660" s="449"/>
      <c r="G660" s="451"/>
      <c r="H660" s="451" t="s">
        <v>2970</v>
      </c>
      <c r="I660" s="445">
        <v>42840</v>
      </c>
      <c r="J660" s="445"/>
      <c r="K660" s="446"/>
      <c r="M660" s="469">
        <f t="shared" si="22"/>
        <v>42840</v>
      </c>
      <c r="N660" s="453">
        <v>35700</v>
      </c>
      <c r="O660" s="454"/>
      <c r="P660" s="454"/>
      <c r="Q660" s="454"/>
      <c r="R660" s="454"/>
      <c r="S660" s="455"/>
    </row>
    <row r="661" spans="1:19">
      <c r="A661" s="446"/>
      <c r="B661" s="447"/>
      <c r="C661" s="448"/>
      <c r="D661" s="448"/>
      <c r="E661" s="448"/>
      <c r="F661" s="449"/>
      <c r="G661" s="451"/>
      <c r="H661" s="451"/>
      <c r="I661" s="445"/>
      <c r="J661" s="445"/>
      <c r="K661" s="446"/>
      <c r="M661" s="469">
        <f t="shared" si="22"/>
        <v>0</v>
      </c>
      <c r="N661" s="453"/>
      <c r="O661" s="454"/>
      <c r="P661" s="454"/>
      <c r="Q661" s="454"/>
      <c r="R661" s="454"/>
      <c r="S661" s="455"/>
    </row>
    <row r="662" spans="1:19">
      <c r="A662" s="446"/>
      <c r="B662" s="447" t="s">
        <v>3955</v>
      </c>
      <c r="C662" s="448"/>
      <c r="D662" s="448"/>
      <c r="E662" s="448"/>
      <c r="F662" s="449"/>
      <c r="G662" s="451"/>
      <c r="H662" s="451"/>
      <c r="I662" s="445"/>
      <c r="J662" s="445"/>
      <c r="K662" s="446"/>
      <c r="M662" s="469">
        <f t="shared" si="22"/>
        <v>0</v>
      </c>
      <c r="N662" s="453"/>
      <c r="O662" s="454"/>
      <c r="P662" s="454"/>
      <c r="Q662" s="454"/>
      <c r="R662" s="454"/>
      <c r="S662" s="455"/>
    </row>
    <row r="663" spans="1:19">
      <c r="A663" s="446">
        <v>1</v>
      </c>
      <c r="B663" s="447" t="s">
        <v>3956</v>
      </c>
      <c r="C663" s="448"/>
      <c r="D663" s="448"/>
      <c r="E663" s="448" t="s">
        <v>3319</v>
      </c>
      <c r="F663" s="449"/>
      <c r="G663" s="451"/>
      <c r="H663" s="451" t="s">
        <v>2970</v>
      </c>
      <c r="I663" s="445">
        <v>360240</v>
      </c>
      <c r="J663" s="445"/>
      <c r="K663" s="446"/>
      <c r="M663" s="469">
        <f t="shared" si="22"/>
        <v>360240</v>
      </c>
      <c r="N663" s="453">
        <v>300200</v>
      </c>
      <c r="O663" s="454"/>
      <c r="P663" s="454"/>
      <c r="Q663" s="454"/>
      <c r="R663" s="454"/>
      <c r="S663" s="455"/>
    </row>
    <row r="664" spans="1:19">
      <c r="A664" s="446">
        <v>2</v>
      </c>
      <c r="B664" s="447" t="s">
        <v>3956</v>
      </c>
      <c r="C664" s="448"/>
      <c r="D664" s="448"/>
      <c r="E664" s="448" t="s">
        <v>3320</v>
      </c>
      <c r="F664" s="449"/>
      <c r="G664" s="451"/>
      <c r="H664" s="451" t="s">
        <v>2970</v>
      </c>
      <c r="I664" s="445">
        <v>172560</v>
      </c>
      <c r="J664" s="445"/>
      <c r="K664" s="446"/>
      <c r="M664" s="469">
        <f t="shared" si="22"/>
        <v>172560</v>
      </c>
      <c r="N664" s="453">
        <v>143800</v>
      </c>
      <c r="O664" s="454"/>
      <c r="P664" s="454"/>
      <c r="Q664" s="454"/>
      <c r="R664" s="454"/>
      <c r="S664" s="455"/>
    </row>
    <row r="665" spans="1:19">
      <c r="A665" s="446">
        <v>3</v>
      </c>
      <c r="B665" s="447" t="s">
        <v>3956</v>
      </c>
      <c r="C665" s="448"/>
      <c r="D665" s="448"/>
      <c r="E665" s="448" t="s">
        <v>3324</v>
      </c>
      <c r="F665" s="449"/>
      <c r="G665" s="451"/>
      <c r="H665" s="451" t="s">
        <v>2970</v>
      </c>
      <c r="I665" s="445">
        <v>115560</v>
      </c>
      <c r="J665" s="445"/>
      <c r="K665" s="446"/>
      <c r="M665" s="469">
        <f t="shared" si="22"/>
        <v>115560</v>
      </c>
      <c r="N665" s="453">
        <v>96300</v>
      </c>
      <c r="O665" s="454"/>
      <c r="P665" s="454"/>
      <c r="Q665" s="454"/>
      <c r="R665" s="454"/>
      <c r="S665" s="455"/>
    </row>
    <row r="666" spans="1:19">
      <c r="A666" s="446">
        <v>4</v>
      </c>
      <c r="B666" s="447" t="s">
        <v>3956</v>
      </c>
      <c r="C666" s="448"/>
      <c r="D666" s="448"/>
      <c r="E666" s="448" t="s">
        <v>3346</v>
      </c>
      <c r="F666" s="449"/>
      <c r="G666" s="451"/>
      <c r="H666" s="451" t="s">
        <v>2970</v>
      </c>
      <c r="I666" s="445">
        <v>57000</v>
      </c>
      <c r="J666" s="445"/>
      <c r="K666" s="446"/>
      <c r="M666" s="469">
        <f t="shared" si="22"/>
        <v>57000</v>
      </c>
      <c r="N666" s="453">
        <v>47500</v>
      </c>
      <c r="O666" s="454"/>
      <c r="P666" s="454"/>
      <c r="Q666" s="454"/>
      <c r="R666" s="454"/>
      <c r="S666" s="455"/>
    </row>
    <row r="667" spans="1:19">
      <c r="A667" s="446">
        <v>5</v>
      </c>
      <c r="B667" s="447" t="s">
        <v>3957</v>
      </c>
      <c r="C667" s="448"/>
      <c r="D667" s="448"/>
      <c r="E667" s="448"/>
      <c r="F667" s="449"/>
      <c r="G667" s="451"/>
      <c r="H667" s="451" t="s">
        <v>2970</v>
      </c>
      <c r="I667" s="445">
        <v>14520</v>
      </c>
      <c r="J667" s="445"/>
      <c r="K667" s="446"/>
      <c r="M667" s="469">
        <f t="shared" si="22"/>
        <v>14520</v>
      </c>
      <c r="N667" s="453">
        <v>12100</v>
      </c>
      <c r="O667" s="454"/>
      <c r="P667" s="454"/>
      <c r="Q667" s="454"/>
      <c r="R667" s="454"/>
      <c r="S667" s="455"/>
    </row>
    <row r="668" spans="1:19">
      <c r="A668" s="446">
        <v>6</v>
      </c>
      <c r="B668" s="447" t="s">
        <v>3358</v>
      </c>
      <c r="C668" s="448"/>
      <c r="D668" s="448"/>
      <c r="E668" s="448"/>
      <c r="F668" s="449"/>
      <c r="G668" s="451"/>
      <c r="H668" s="451"/>
      <c r="I668" s="445">
        <v>11280</v>
      </c>
      <c r="J668" s="445"/>
      <c r="K668" s="446"/>
      <c r="M668" s="469">
        <f t="shared" si="22"/>
        <v>11280</v>
      </c>
      <c r="N668" s="453">
        <v>9400</v>
      </c>
      <c r="O668" s="454"/>
      <c r="P668" s="454"/>
      <c r="Q668" s="454"/>
      <c r="R668" s="454"/>
      <c r="S668" s="455"/>
    </row>
    <row r="669" spans="1:19">
      <c r="A669" s="446">
        <v>7</v>
      </c>
      <c r="B669" s="447" t="s">
        <v>3958</v>
      </c>
      <c r="C669" s="448"/>
      <c r="D669" s="448"/>
      <c r="E669" s="448"/>
      <c r="F669" s="449"/>
      <c r="G669" s="451"/>
      <c r="H669" s="451" t="s">
        <v>1423</v>
      </c>
      <c r="I669" s="445">
        <v>1364040</v>
      </c>
      <c r="J669" s="445"/>
      <c r="K669" s="446"/>
      <c r="M669" s="469">
        <f t="shared" si="22"/>
        <v>1364040</v>
      </c>
      <c r="N669" s="453">
        <v>1136700</v>
      </c>
      <c r="O669" s="454"/>
      <c r="P669" s="454"/>
      <c r="Q669" s="454"/>
      <c r="R669" s="454"/>
      <c r="S669" s="455"/>
    </row>
    <row r="670" spans="1:19">
      <c r="A670" s="446">
        <v>8</v>
      </c>
      <c r="B670" s="447" t="s">
        <v>3959</v>
      </c>
      <c r="C670" s="448"/>
      <c r="D670" s="448"/>
      <c r="E670" s="448"/>
      <c r="F670" s="449"/>
      <c r="G670" s="451"/>
      <c r="H670" s="451" t="s">
        <v>1423</v>
      </c>
      <c r="I670" s="445">
        <v>1247880</v>
      </c>
      <c r="J670" s="445"/>
      <c r="K670" s="446"/>
      <c r="M670" s="469">
        <f t="shared" si="22"/>
        <v>1247880</v>
      </c>
      <c r="N670" s="453">
        <v>1039900</v>
      </c>
      <c r="O670" s="454"/>
      <c r="P670" s="454"/>
      <c r="Q670" s="454"/>
      <c r="R670" s="454"/>
      <c r="S670" s="455"/>
    </row>
    <row r="671" spans="1:19">
      <c r="A671" s="446">
        <v>9</v>
      </c>
      <c r="B671" s="447" t="s">
        <v>3350</v>
      </c>
      <c r="C671" s="448"/>
      <c r="D671" s="448"/>
      <c r="E671" s="448"/>
      <c r="F671" s="449"/>
      <c r="G671" s="451"/>
      <c r="H671" s="451" t="s">
        <v>1423</v>
      </c>
      <c r="I671" s="445">
        <v>824400</v>
      </c>
      <c r="J671" s="445"/>
      <c r="K671" s="446"/>
      <c r="M671" s="469">
        <f t="shared" si="22"/>
        <v>824400</v>
      </c>
      <c r="N671" s="453">
        <v>687000</v>
      </c>
      <c r="O671" s="454"/>
      <c r="P671" s="454"/>
      <c r="Q671" s="454"/>
      <c r="R671" s="454"/>
      <c r="S671" s="455"/>
    </row>
    <row r="672" spans="1:19">
      <c r="A672" s="446">
        <v>10</v>
      </c>
      <c r="B672" s="447" t="s">
        <v>3351</v>
      </c>
      <c r="C672" s="448"/>
      <c r="D672" s="448"/>
      <c r="E672" s="448"/>
      <c r="F672" s="449"/>
      <c r="G672" s="451"/>
      <c r="H672" s="451" t="s">
        <v>1423</v>
      </c>
      <c r="I672" s="445">
        <v>727560</v>
      </c>
      <c r="J672" s="445"/>
      <c r="K672" s="446"/>
      <c r="M672" s="469">
        <f t="shared" si="22"/>
        <v>727560</v>
      </c>
      <c r="N672" s="453">
        <v>606300</v>
      </c>
      <c r="O672" s="454"/>
      <c r="P672" s="454"/>
      <c r="Q672" s="454"/>
      <c r="R672" s="454"/>
      <c r="S672" s="455"/>
    </row>
    <row r="673" spans="1:19">
      <c r="A673" s="446">
        <v>11</v>
      </c>
      <c r="B673" s="447" t="s">
        <v>3352</v>
      </c>
      <c r="C673" s="448"/>
      <c r="D673" s="448"/>
      <c r="E673" s="448"/>
      <c r="F673" s="449"/>
      <c r="G673" s="451"/>
      <c r="H673" s="451" t="s">
        <v>1423</v>
      </c>
      <c r="I673" s="445">
        <v>504480</v>
      </c>
      <c r="J673" s="445"/>
      <c r="K673" s="446"/>
      <c r="M673" s="469">
        <f t="shared" si="22"/>
        <v>504480</v>
      </c>
      <c r="N673" s="453">
        <v>420400</v>
      </c>
      <c r="O673" s="454"/>
      <c r="P673" s="454"/>
      <c r="Q673" s="454"/>
      <c r="R673" s="454"/>
      <c r="S673" s="455"/>
    </row>
    <row r="674" spans="1:19">
      <c r="A674" s="446">
        <v>12</v>
      </c>
      <c r="B674" s="447" t="s">
        <v>3353</v>
      </c>
      <c r="C674" s="448"/>
      <c r="D674" s="448"/>
      <c r="E674" s="448"/>
      <c r="F674" s="449"/>
      <c r="G674" s="451"/>
      <c r="H674" s="451" t="s">
        <v>1423</v>
      </c>
      <c r="I674" s="445">
        <v>426840</v>
      </c>
      <c r="J674" s="445"/>
      <c r="K674" s="446"/>
      <c r="M674" s="469">
        <f t="shared" si="22"/>
        <v>426840</v>
      </c>
      <c r="N674" s="453">
        <v>355700</v>
      </c>
      <c r="O674" s="454"/>
      <c r="P674" s="454"/>
      <c r="Q674" s="454"/>
      <c r="R674" s="454"/>
      <c r="S674" s="455"/>
    </row>
    <row r="675" spans="1:19">
      <c r="A675" s="446">
        <v>13</v>
      </c>
      <c r="B675" s="447" t="s">
        <v>3960</v>
      </c>
      <c r="C675" s="448"/>
      <c r="D675" s="448"/>
      <c r="E675" s="448"/>
      <c r="F675" s="449"/>
      <c r="G675" s="451"/>
      <c r="H675" s="451" t="s">
        <v>1423</v>
      </c>
      <c r="I675" s="445">
        <v>688560</v>
      </c>
      <c r="J675" s="445"/>
      <c r="K675" s="446"/>
      <c r="M675" s="469">
        <f t="shared" si="22"/>
        <v>688560</v>
      </c>
      <c r="N675" s="453">
        <v>573800</v>
      </c>
      <c r="O675" s="454"/>
      <c r="P675" s="454"/>
      <c r="Q675" s="454"/>
      <c r="R675" s="454"/>
      <c r="S675" s="455"/>
    </row>
    <row r="676" spans="1:19">
      <c r="A676" s="446">
        <v>14</v>
      </c>
      <c r="B676" s="447" t="s">
        <v>4707</v>
      </c>
      <c r="C676" s="448"/>
      <c r="D676" s="448"/>
      <c r="E676" s="448"/>
      <c r="F676" s="449"/>
      <c r="G676" s="451"/>
      <c r="H676" s="451" t="s">
        <v>1423</v>
      </c>
      <c r="I676" s="445">
        <v>743640</v>
      </c>
      <c r="J676" s="445"/>
      <c r="K676" s="446"/>
      <c r="M676" s="469">
        <f t="shared" si="22"/>
        <v>743640</v>
      </c>
      <c r="N676" s="453">
        <v>619700</v>
      </c>
      <c r="O676" s="454"/>
      <c r="P676" s="454"/>
      <c r="Q676" s="454"/>
      <c r="R676" s="454"/>
      <c r="S676" s="455"/>
    </row>
    <row r="677" spans="1:19">
      <c r="A677" s="446">
        <v>15</v>
      </c>
      <c r="B677" s="447" t="s">
        <v>4708</v>
      </c>
      <c r="C677" s="448"/>
      <c r="D677" s="448"/>
      <c r="E677" s="448"/>
      <c r="F677" s="449"/>
      <c r="G677" s="451"/>
      <c r="H677" s="451" t="s">
        <v>1423</v>
      </c>
      <c r="I677" s="445">
        <v>517200</v>
      </c>
      <c r="J677" s="445"/>
      <c r="K677" s="446"/>
      <c r="M677" s="469">
        <f t="shared" si="22"/>
        <v>517200</v>
      </c>
      <c r="N677" s="453">
        <v>431000</v>
      </c>
      <c r="O677" s="454"/>
      <c r="P677" s="454"/>
      <c r="Q677" s="454"/>
      <c r="R677" s="454"/>
      <c r="S677" s="455"/>
    </row>
    <row r="678" spans="1:19">
      <c r="A678" s="446">
        <v>16</v>
      </c>
      <c r="B678" s="447" t="s">
        <v>4709</v>
      </c>
      <c r="C678" s="448"/>
      <c r="D678" s="448"/>
      <c r="E678" s="448"/>
      <c r="F678" s="449"/>
      <c r="G678" s="451"/>
      <c r="H678" s="451" t="s">
        <v>1423</v>
      </c>
      <c r="I678" s="445">
        <v>307200</v>
      </c>
      <c r="J678" s="445"/>
      <c r="K678" s="446"/>
      <c r="M678" s="469">
        <f t="shared" si="22"/>
        <v>307200</v>
      </c>
      <c r="N678" s="453">
        <v>256000</v>
      </c>
      <c r="O678" s="454"/>
      <c r="P678" s="454"/>
      <c r="Q678" s="454"/>
      <c r="R678" s="454"/>
      <c r="S678" s="455"/>
    </row>
    <row r="679" spans="1:19">
      <c r="A679" s="446">
        <v>17</v>
      </c>
      <c r="B679" s="447" t="s">
        <v>3354</v>
      </c>
      <c r="C679" s="448"/>
      <c r="D679" s="448"/>
      <c r="E679" s="448"/>
      <c r="F679" s="449"/>
      <c r="G679" s="451"/>
      <c r="H679" s="451" t="s">
        <v>1423</v>
      </c>
      <c r="I679" s="445">
        <v>68160</v>
      </c>
      <c r="J679" s="445"/>
      <c r="K679" s="446"/>
      <c r="M679" s="469">
        <f t="shared" si="22"/>
        <v>68160</v>
      </c>
      <c r="N679" s="453">
        <v>56800</v>
      </c>
      <c r="O679" s="454"/>
      <c r="P679" s="454"/>
      <c r="Q679" s="454"/>
      <c r="R679" s="454"/>
      <c r="S679" s="455"/>
    </row>
    <row r="680" spans="1:19">
      <c r="A680" s="446">
        <v>18</v>
      </c>
      <c r="B680" s="447" t="s">
        <v>3355</v>
      </c>
      <c r="C680" s="448"/>
      <c r="D680" s="448"/>
      <c r="E680" s="448"/>
      <c r="F680" s="449"/>
      <c r="G680" s="451"/>
      <c r="H680" s="451" t="s">
        <v>1423</v>
      </c>
      <c r="I680" s="445">
        <v>106920</v>
      </c>
      <c r="J680" s="445"/>
      <c r="K680" s="446"/>
      <c r="M680" s="469">
        <f t="shared" si="22"/>
        <v>106920</v>
      </c>
      <c r="N680" s="453">
        <v>89100</v>
      </c>
      <c r="O680" s="454"/>
      <c r="P680" s="454"/>
      <c r="Q680" s="454"/>
      <c r="R680" s="454"/>
      <c r="S680" s="455"/>
    </row>
    <row r="681" spans="1:19">
      <c r="A681" s="446">
        <v>19</v>
      </c>
      <c r="B681" s="447" t="s">
        <v>3961</v>
      </c>
      <c r="C681" s="448"/>
      <c r="D681" s="448"/>
      <c r="E681" s="448"/>
      <c r="F681" s="449"/>
      <c r="G681" s="451"/>
      <c r="H681" s="451"/>
      <c r="I681" s="445">
        <v>388080</v>
      </c>
      <c r="J681" s="445"/>
      <c r="K681" s="446"/>
      <c r="M681" s="469">
        <f t="shared" si="22"/>
        <v>388080</v>
      </c>
      <c r="N681" s="453">
        <v>323400</v>
      </c>
      <c r="O681" s="454"/>
      <c r="P681" s="454"/>
      <c r="Q681" s="454"/>
      <c r="R681" s="454"/>
      <c r="S681" s="455"/>
    </row>
    <row r="682" spans="1:19">
      <c r="A682" s="446">
        <v>20</v>
      </c>
      <c r="B682" s="447" t="s">
        <v>3356</v>
      </c>
      <c r="C682" s="448"/>
      <c r="D682" s="448"/>
      <c r="E682" s="448"/>
      <c r="F682" s="449"/>
      <c r="G682" s="451"/>
      <c r="H682" s="451" t="s">
        <v>1423</v>
      </c>
      <c r="I682" s="445">
        <v>298080</v>
      </c>
      <c r="J682" s="445"/>
      <c r="K682" s="446"/>
      <c r="M682" s="469">
        <f t="shared" si="22"/>
        <v>298080</v>
      </c>
      <c r="N682" s="453">
        <v>248400</v>
      </c>
      <c r="O682" s="454"/>
      <c r="P682" s="454"/>
      <c r="Q682" s="454"/>
      <c r="R682" s="454"/>
      <c r="S682" s="455"/>
    </row>
    <row r="683" spans="1:19">
      <c r="A683" s="446">
        <v>21</v>
      </c>
      <c r="B683" s="447" t="s">
        <v>3357</v>
      </c>
      <c r="C683" s="448"/>
      <c r="D683" s="448"/>
      <c r="E683" s="448"/>
      <c r="F683" s="449"/>
      <c r="G683" s="451"/>
      <c r="H683" s="451" t="s">
        <v>1423</v>
      </c>
      <c r="I683" s="445">
        <v>629760</v>
      </c>
      <c r="J683" s="445"/>
      <c r="K683" s="446"/>
      <c r="M683" s="469">
        <f t="shared" si="22"/>
        <v>629760</v>
      </c>
      <c r="N683" s="453">
        <v>524800</v>
      </c>
      <c r="O683" s="454"/>
      <c r="P683" s="454"/>
      <c r="Q683" s="454"/>
      <c r="R683" s="454"/>
      <c r="S683" s="455"/>
    </row>
    <row r="684" spans="1:19">
      <c r="A684" s="446">
        <v>22</v>
      </c>
      <c r="B684" s="447" t="s">
        <v>3962</v>
      </c>
      <c r="C684" s="448"/>
      <c r="D684" s="448"/>
      <c r="E684" s="448"/>
      <c r="F684" s="449"/>
      <c r="G684" s="451"/>
      <c r="H684" s="451" t="s">
        <v>1423</v>
      </c>
      <c r="I684" s="445">
        <v>751680</v>
      </c>
      <c r="J684" s="445"/>
      <c r="K684" s="446"/>
      <c r="M684" s="469">
        <f t="shared" si="22"/>
        <v>751680</v>
      </c>
      <c r="N684" s="453">
        <v>626400</v>
      </c>
      <c r="O684" s="454"/>
      <c r="P684" s="454"/>
      <c r="Q684" s="454"/>
      <c r="R684" s="454"/>
      <c r="S684" s="455"/>
    </row>
    <row r="685" spans="1:19">
      <c r="A685" s="446">
        <v>23</v>
      </c>
      <c r="B685" s="447" t="s">
        <v>3963</v>
      </c>
      <c r="C685" s="448"/>
      <c r="D685" s="448"/>
      <c r="E685" s="448"/>
      <c r="F685" s="449"/>
      <c r="G685" s="451"/>
      <c r="H685" s="451" t="s">
        <v>1423</v>
      </c>
      <c r="I685" s="445">
        <v>336600</v>
      </c>
      <c r="J685" s="445"/>
      <c r="K685" s="446"/>
      <c r="M685" s="469">
        <f t="shared" si="22"/>
        <v>336600</v>
      </c>
      <c r="N685" s="453">
        <v>280500</v>
      </c>
      <c r="O685" s="454"/>
      <c r="P685" s="454"/>
      <c r="Q685" s="454"/>
      <c r="R685" s="454"/>
      <c r="S685" s="455"/>
    </row>
    <row r="686" spans="1:19">
      <c r="A686" s="446">
        <v>24</v>
      </c>
      <c r="B686" s="447" t="s">
        <v>3964</v>
      </c>
      <c r="C686" s="448"/>
      <c r="D686" s="448"/>
      <c r="E686" s="448"/>
      <c r="F686" s="449"/>
      <c r="G686" s="451"/>
      <c r="H686" s="451" t="s">
        <v>1423</v>
      </c>
      <c r="I686" s="445">
        <v>318960</v>
      </c>
      <c r="J686" s="445"/>
      <c r="K686" s="446"/>
      <c r="M686" s="469">
        <f t="shared" si="22"/>
        <v>318960</v>
      </c>
      <c r="N686" s="453">
        <v>265800</v>
      </c>
      <c r="O686" s="454"/>
      <c r="P686" s="454"/>
      <c r="Q686" s="454"/>
      <c r="R686" s="454"/>
      <c r="S686" s="455"/>
    </row>
    <row r="687" spans="1:19">
      <c r="A687" s="446">
        <v>25</v>
      </c>
      <c r="B687" s="447" t="s">
        <v>3965</v>
      </c>
      <c r="C687" s="448"/>
      <c r="D687" s="448"/>
      <c r="E687" s="448"/>
      <c r="F687" s="449"/>
      <c r="G687" s="451"/>
      <c r="H687" s="451" t="s">
        <v>1423</v>
      </c>
      <c r="I687" s="445">
        <v>212640</v>
      </c>
      <c r="J687" s="445"/>
      <c r="K687" s="446"/>
      <c r="M687" s="469">
        <f t="shared" si="22"/>
        <v>212640</v>
      </c>
      <c r="N687" s="453">
        <v>177200</v>
      </c>
      <c r="O687" s="454"/>
      <c r="P687" s="454"/>
      <c r="Q687" s="454"/>
      <c r="R687" s="454"/>
      <c r="S687" s="455"/>
    </row>
    <row r="688" spans="1:19">
      <c r="A688" s="446">
        <v>26</v>
      </c>
      <c r="B688" s="447" t="s">
        <v>3966</v>
      </c>
      <c r="C688" s="448"/>
      <c r="D688" s="448"/>
      <c r="E688" s="448"/>
      <c r="F688" s="449"/>
      <c r="G688" s="451"/>
      <c r="H688" s="451" t="s">
        <v>1423</v>
      </c>
      <c r="I688" s="445">
        <v>123960</v>
      </c>
      <c r="J688" s="445"/>
      <c r="K688" s="446"/>
      <c r="M688" s="469">
        <f t="shared" si="22"/>
        <v>123960</v>
      </c>
      <c r="N688" s="453">
        <v>103300</v>
      </c>
      <c r="O688" s="454"/>
      <c r="P688" s="454"/>
      <c r="Q688" s="454"/>
      <c r="R688" s="454"/>
      <c r="S688" s="455"/>
    </row>
    <row r="689" spans="1:19">
      <c r="A689" s="446">
        <v>27</v>
      </c>
      <c r="B689" s="447" t="s">
        <v>3967</v>
      </c>
      <c r="C689" s="448"/>
      <c r="D689" s="448"/>
      <c r="E689" s="448"/>
      <c r="F689" s="449"/>
      <c r="G689" s="451"/>
      <c r="H689" s="451" t="s">
        <v>1423</v>
      </c>
      <c r="I689" s="445">
        <v>63840</v>
      </c>
      <c r="J689" s="445"/>
      <c r="K689" s="446"/>
      <c r="M689" s="469">
        <f t="shared" si="22"/>
        <v>63840</v>
      </c>
      <c r="N689" s="453">
        <v>53200</v>
      </c>
      <c r="O689" s="454"/>
      <c r="P689" s="454"/>
      <c r="Q689" s="454"/>
      <c r="R689" s="454"/>
      <c r="S689" s="455"/>
    </row>
    <row r="690" spans="1:19">
      <c r="A690" s="446">
        <v>28</v>
      </c>
      <c r="B690" s="447" t="s">
        <v>3968</v>
      </c>
      <c r="C690" s="448"/>
      <c r="D690" s="448"/>
      <c r="E690" s="448"/>
      <c r="F690" s="449"/>
      <c r="G690" s="451"/>
      <c r="H690" s="451" t="s">
        <v>1423</v>
      </c>
      <c r="I690" s="445">
        <v>40320</v>
      </c>
      <c r="J690" s="445"/>
      <c r="K690" s="446"/>
      <c r="M690" s="469">
        <f t="shared" si="22"/>
        <v>40320</v>
      </c>
      <c r="N690" s="453">
        <v>33600</v>
      </c>
      <c r="O690" s="454"/>
      <c r="P690" s="454"/>
      <c r="Q690" s="454"/>
      <c r="R690" s="454"/>
      <c r="S690" s="455"/>
    </row>
    <row r="691" spans="1:19">
      <c r="A691" s="446">
        <v>29</v>
      </c>
      <c r="B691" s="447" t="s">
        <v>3969</v>
      </c>
      <c r="C691" s="448"/>
      <c r="D691" s="448"/>
      <c r="E691" s="448"/>
      <c r="F691" s="449"/>
      <c r="G691" s="451"/>
      <c r="H691" s="451" t="s">
        <v>1423</v>
      </c>
      <c r="I691" s="445">
        <v>37200</v>
      </c>
      <c r="J691" s="445"/>
      <c r="K691" s="446"/>
      <c r="M691" s="469">
        <f t="shared" si="22"/>
        <v>37200</v>
      </c>
      <c r="N691" s="453">
        <v>31000</v>
      </c>
      <c r="O691" s="454"/>
      <c r="P691" s="454"/>
      <c r="Q691" s="454"/>
      <c r="R691" s="454"/>
      <c r="S691" s="455"/>
    </row>
    <row r="692" spans="1:19">
      <c r="A692" s="446">
        <v>30</v>
      </c>
      <c r="B692" s="447" t="s">
        <v>3970</v>
      </c>
      <c r="C692" s="448"/>
      <c r="D692" s="448"/>
      <c r="E692" s="448"/>
      <c r="F692" s="449"/>
      <c r="G692" s="451"/>
      <c r="H692" s="451" t="s">
        <v>1423</v>
      </c>
      <c r="I692" s="445">
        <v>31080</v>
      </c>
      <c r="J692" s="445"/>
      <c r="K692" s="446"/>
      <c r="M692" s="469">
        <f t="shared" si="22"/>
        <v>31080</v>
      </c>
      <c r="N692" s="453">
        <v>25900</v>
      </c>
      <c r="O692" s="454"/>
      <c r="P692" s="454"/>
      <c r="Q692" s="454"/>
      <c r="R692" s="454"/>
      <c r="S692" s="455"/>
    </row>
    <row r="693" spans="1:19">
      <c r="A693" s="446">
        <v>31</v>
      </c>
      <c r="B693" s="447" t="s">
        <v>3788</v>
      </c>
      <c r="C693" s="448"/>
      <c r="D693" s="448"/>
      <c r="E693" s="448"/>
      <c r="F693" s="449"/>
      <c r="G693" s="451"/>
      <c r="H693" s="451" t="s">
        <v>1423</v>
      </c>
      <c r="I693" s="445">
        <v>58200</v>
      </c>
      <c r="J693" s="445"/>
      <c r="K693" s="446"/>
      <c r="M693" s="469">
        <f t="shared" si="22"/>
        <v>58200</v>
      </c>
      <c r="N693" s="453">
        <v>48500</v>
      </c>
      <c r="O693" s="454"/>
      <c r="P693" s="454"/>
      <c r="Q693" s="454"/>
      <c r="R693" s="454"/>
      <c r="S693" s="455"/>
    </row>
    <row r="694" spans="1:19">
      <c r="A694" s="446">
        <v>32</v>
      </c>
      <c r="B694" s="447" t="s">
        <v>3790</v>
      </c>
      <c r="C694" s="448"/>
      <c r="D694" s="448"/>
      <c r="E694" s="448"/>
      <c r="F694" s="449"/>
      <c r="G694" s="451"/>
      <c r="H694" s="451" t="s">
        <v>1423</v>
      </c>
      <c r="I694" s="445">
        <v>37440</v>
      </c>
      <c r="J694" s="445"/>
      <c r="K694" s="446"/>
      <c r="M694" s="469">
        <f t="shared" si="22"/>
        <v>37440</v>
      </c>
      <c r="N694" s="453">
        <v>31200</v>
      </c>
      <c r="O694" s="454"/>
      <c r="P694" s="454"/>
      <c r="Q694" s="454"/>
      <c r="R694" s="454"/>
      <c r="S694" s="455"/>
    </row>
    <row r="695" spans="1:19">
      <c r="A695" s="446">
        <v>33</v>
      </c>
      <c r="B695" s="447" t="s">
        <v>3791</v>
      </c>
      <c r="C695" s="448"/>
      <c r="D695" s="448"/>
      <c r="E695" s="448"/>
      <c r="F695" s="449"/>
      <c r="G695" s="451"/>
      <c r="H695" s="451" t="s">
        <v>1423</v>
      </c>
      <c r="I695" s="445">
        <v>301200</v>
      </c>
      <c r="J695" s="445"/>
      <c r="K695" s="446"/>
      <c r="M695" s="469">
        <f t="shared" si="22"/>
        <v>301200</v>
      </c>
      <c r="N695" s="453">
        <v>251000</v>
      </c>
      <c r="O695" s="454"/>
      <c r="P695" s="454"/>
      <c r="Q695" s="454"/>
      <c r="R695" s="454"/>
      <c r="S695" s="455"/>
    </row>
    <row r="696" spans="1:19">
      <c r="A696" s="446">
        <v>34</v>
      </c>
      <c r="B696" s="447" t="s">
        <v>3792</v>
      </c>
      <c r="C696" s="448"/>
      <c r="D696" s="448"/>
      <c r="E696" s="448"/>
      <c r="F696" s="449"/>
      <c r="G696" s="451"/>
      <c r="H696" s="451" t="s">
        <v>1423</v>
      </c>
      <c r="I696" s="445">
        <v>59520</v>
      </c>
      <c r="J696" s="445"/>
      <c r="K696" s="446"/>
      <c r="M696" s="469">
        <f t="shared" si="22"/>
        <v>59520</v>
      </c>
      <c r="N696" s="453">
        <v>49600</v>
      </c>
      <c r="O696" s="454"/>
      <c r="P696" s="454"/>
      <c r="Q696" s="454"/>
      <c r="R696" s="454"/>
      <c r="S696" s="455"/>
    </row>
    <row r="697" spans="1:19">
      <c r="A697" s="446">
        <v>35</v>
      </c>
      <c r="B697" s="447" t="s">
        <v>3359</v>
      </c>
      <c r="C697" s="448"/>
      <c r="D697" s="448"/>
      <c r="E697" s="448"/>
      <c r="F697" s="449"/>
      <c r="G697" s="451"/>
      <c r="H697" s="451" t="s">
        <v>1423</v>
      </c>
      <c r="I697" s="445">
        <v>71280</v>
      </c>
      <c r="J697" s="445"/>
      <c r="K697" s="446"/>
      <c r="M697" s="469">
        <f t="shared" si="22"/>
        <v>71280</v>
      </c>
      <c r="N697" s="453">
        <v>59400</v>
      </c>
      <c r="O697" s="454"/>
      <c r="P697" s="454"/>
      <c r="Q697" s="454"/>
      <c r="R697" s="454"/>
      <c r="S697" s="455"/>
    </row>
    <row r="698" spans="1:19">
      <c r="A698" s="446">
        <v>36</v>
      </c>
      <c r="B698" s="447" t="s">
        <v>3793</v>
      </c>
      <c r="C698" s="448"/>
      <c r="D698" s="448"/>
      <c r="E698" s="448"/>
      <c r="F698" s="449"/>
      <c r="G698" s="451"/>
      <c r="H698" s="451" t="s">
        <v>1423</v>
      </c>
      <c r="I698" s="445">
        <v>277200</v>
      </c>
      <c r="J698" s="445"/>
      <c r="K698" s="446"/>
      <c r="M698" s="469">
        <f t="shared" si="22"/>
        <v>277200</v>
      </c>
      <c r="N698" s="453">
        <v>231000</v>
      </c>
      <c r="O698" s="454"/>
      <c r="P698" s="454"/>
      <c r="Q698" s="454"/>
      <c r="R698" s="454"/>
      <c r="S698" s="455"/>
    </row>
    <row r="699" spans="1:19">
      <c r="A699" s="446">
        <v>37</v>
      </c>
      <c r="B699" s="447" t="s">
        <v>3794</v>
      </c>
      <c r="C699" s="448"/>
      <c r="D699" s="448"/>
      <c r="E699" s="448"/>
      <c r="F699" s="449"/>
      <c r="G699" s="451"/>
      <c r="H699" s="451" t="s">
        <v>1423</v>
      </c>
      <c r="I699" s="445">
        <v>12600</v>
      </c>
      <c r="J699" s="445"/>
      <c r="K699" s="446"/>
      <c r="M699" s="469">
        <f t="shared" si="22"/>
        <v>12600</v>
      </c>
      <c r="N699" s="453">
        <v>10500</v>
      </c>
      <c r="O699" s="454"/>
      <c r="P699" s="454"/>
      <c r="Q699" s="454"/>
      <c r="R699" s="454"/>
      <c r="S699" s="455"/>
    </row>
    <row r="700" spans="1:19">
      <c r="A700" s="446">
        <v>38</v>
      </c>
      <c r="B700" s="447" t="s">
        <v>3795</v>
      </c>
      <c r="C700" s="448"/>
      <c r="D700" s="448"/>
      <c r="E700" s="448"/>
      <c r="F700" s="449"/>
      <c r="G700" s="451"/>
      <c r="H700" s="451" t="s">
        <v>1423</v>
      </c>
      <c r="I700" s="445">
        <v>54120</v>
      </c>
      <c r="J700" s="445"/>
      <c r="K700" s="446"/>
      <c r="M700" s="469">
        <f t="shared" si="22"/>
        <v>54120</v>
      </c>
      <c r="N700" s="453">
        <v>45100</v>
      </c>
      <c r="O700" s="454"/>
      <c r="P700" s="454"/>
      <c r="Q700" s="454"/>
      <c r="R700" s="454"/>
      <c r="S700" s="455"/>
    </row>
    <row r="701" spans="1:19">
      <c r="A701" s="486">
        <v>39</v>
      </c>
      <c r="B701" s="487" t="s">
        <v>3796</v>
      </c>
      <c r="C701" s="488"/>
      <c r="D701" s="488"/>
      <c r="E701" s="488"/>
      <c r="F701" s="489"/>
      <c r="G701" s="490"/>
      <c r="H701" s="490" t="s">
        <v>1423</v>
      </c>
      <c r="I701" s="471">
        <v>6480</v>
      </c>
      <c r="J701" s="471"/>
      <c r="K701" s="486"/>
      <c r="M701" s="469">
        <f t="shared" si="22"/>
        <v>6480</v>
      </c>
      <c r="N701" s="453">
        <v>5400</v>
      </c>
      <c r="O701" s="454"/>
      <c r="P701" s="454"/>
      <c r="Q701" s="454"/>
      <c r="R701" s="454"/>
      <c r="S701" s="455"/>
    </row>
    <row r="702" spans="1:19">
      <c r="A702" s="491">
        <v>40</v>
      </c>
      <c r="B702" s="492" t="s">
        <v>3797</v>
      </c>
      <c r="C702" s="493"/>
      <c r="D702" s="493"/>
      <c r="E702" s="493"/>
      <c r="F702" s="494"/>
      <c r="G702" s="495"/>
      <c r="H702" s="495" t="s">
        <v>1423</v>
      </c>
      <c r="I702" s="444">
        <v>6120</v>
      </c>
      <c r="J702" s="444"/>
      <c r="K702" s="491"/>
      <c r="M702" s="469">
        <f t="shared" si="22"/>
        <v>6120</v>
      </c>
      <c r="N702" s="453">
        <v>5100</v>
      </c>
      <c r="O702" s="454"/>
      <c r="P702" s="454"/>
      <c r="Q702" s="454"/>
      <c r="R702" s="454"/>
      <c r="S702" s="455"/>
    </row>
    <row r="703" spans="1:19">
      <c r="A703" s="446">
        <v>41</v>
      </c>
      <c r="B703" s="447" t="s">
        <v>3798</v>
      </c>
      <c r="C703" s="448"/>
      <c r="D703" s="448"/>
      <c r="E703" s="448"/>
      <c r="F703" s="449"/>
      <c r="G703" s="451"/>
      <c r="H703" s="451" t="s">
        <v>1423</v>
      </c>
      <c r="I703" s="445">
        <v>358320</v>
      </c>
      <c r="J703" s="445"/>
      <c r="K703" s="446"/>
      <c r="M703" s="469">
        <f t="shared" si="22"/>
        <v>358320</v>
      </c>
      <c r="N703" s="453">
        <v>298600</v>
      </c>
      <c r="O703" s="454"/>
      <c r="P703" s="454"/>
      <c r="Q703" s="454"/>
      <c r="R703" s="454"/>
      <c r="S703" s="455"/>
    </row>
    <row r="704" spans="1:19">
      <c r="A704" s="446">
        <v>42</v>
      </c>
      <c r="B704" s="447" t="s">
        <v>3799</v>
      </c>
      <c r="C704" s="448"/>
      <c r="D704" s="448"/>
      <c r="E704" s="448"/>
      <c r="F704" s="449"/>
      <c r="G704" s="451"/>
      <c r="H704" s="451" t="s">
        <v>1423</v>
      </c>
      <c r="I704" s="445">
        <v>792000</v>
      </c>
      <c r="J704" s="445"/>
      <c r="K704" s="446"/>
      <c r="M704" s="469">
        <f t="shared" si="22"/>
        <v>792000</v>
      </c>
      <c r="N704" s="453">
        <v>660000</v>
      </c>
      <c r="O704" s="454"/>
      <c r="P704" s="454"/>
      <c r="Q704" s="454"/>
      <c r="R704" s="454"/>
      <c r="S704" s="455"/>
    </row>
    <row r="705" spans="1:19">
      <c r="A705" s="446">
        <v>43</v>
      </c>
      <c r="B705" s="447" t="s">
        <v>3801</v>
      </c>
      <c r="C705" s="448"/>
      <c r="D705" s="448"/>
      <c r="E705" s="448"/>
      <c r="F705" s="449"/>
      <c r="G705" s="451"/>
      <c r="H705" s="451" t="s">
        <v>1423</v>
      </c>
      <c r="I705" s="445">
        <v>3960</v>
      </c>
      <c r="J705" s="445"/>
      <c r="K705" s="446"/>
      <c r="M705" s="469">
        <f t="shared" si="22"/>
        <v>3960</v>
      </c>
      <c r="N705" s="453">
        <v>3300</v>
      </c>
      <c r="O705" s="454"/>
      <c r="P705" s="454"/>
      <c r="Q705" s="454"/>
      <c r="R705" s="454"/>
      <c r="S705" s="455"/>
    </row>
    <row r="706" spans="1:19">
      <c r="A706" s="446">
        <v>44</v>
      </c>
      <c r="B706" s="447" t="s">
        <v>3802</v>
      </c>
      <c r="C706" s="448"/>
      <c r="D706" s="448"/>
      <c r="E706" s="448"/>
      <c r="F706" s="449"/>
      <c r="G706" s="451"/>
      <c r="H706" s="451" t="s">
        <v>1423</v>
      </c>
      <c r="I706" s="445">
        <v>12240</v>
      </c>
      <c r="J706" s="445"/>
      <c r="K706" s="446"/>
      <c r="M706" s="469">
        <f t="shared" si="22"/>
        <v>12240</v>
      </c>
      <c r="N706" s="453">
        <v>10200</v>
      </c>
      <c r="O706" s="454"/>
      <c r="P706" s="454"/>
      <c r="Q706" s="454"/>
      <c r="R706" s="454"/>
      <c r="S706" s="455"/>
    </row>
    <row r="707" spans="1:19">
      <c r="A707" s="446">
        <v>45</v>
      </c>
      <c r="B707" s="447" t="s">
        <v>3360</v>
      </c>
      <c r="C707" s="448"/>
      <c r="D707" s="448"/>
      <c r="E707" s="448"/>
      <c r="F707" s="449"/>
      <c r="G707" s="451"/>
      <c r="H707" s="451" t="s">
        <v>1423</v>
      </c>
      <c r="I707" s="445">
        <v>110160</v>
      </c>
      <c r="J707" s="445"/>
      <c r="K707" s="446"/>
      <c r="M707" s="469">
        <f t="shared" si="22"/>
        <v>110160</v>
      </c>
      <c r="N707" s="453">
        <v>91800</v>
      </c>
      <c r="O707" s="454"/>
      <c r="P707" s="454"/>
      <c r="Q707" s="454"/>
      <c r="R707" s="454"/>
      <c r="S707" s="455"/>
    </row>
    <row r="708" spans="1:19">
      <c r="A708" s="446"/>
      <c r="B708" s="447"/>
      <c r="C708" s="448"/>
      <c r="D708" s="448"/>
      <c r="E708" s="448"/>
      <c r="F708" s="449"/>
      <c r="G708" s="451"/>
      <c r="H708" s="451"/>
      <c r="I708" s="445"/>
      <c r="J708" s="445"/>
      <c r="K708" s="446"/>
      <c r="M708" s="469">
        <f t="shared" si="22"/>
        <v>0</v>
      </c>
      <c r="N708" s="453"/>
      <c r="O708" s="454"/>
      <c r="P708" s="454"/>
      <c r="Q708" s="454"/>
      <c r="R708" s="454"/>
      <c r="S708" s="455"/>
    </row>
    <row r="709" spans="1:19" hidden="1">
      <c r="A709" s="446"/>
      <c r="B709" s="447" t="s">
        <v>3366</v>
      </c>
      <c r="C709" s="448"/>
      <c r="D709" s="448"/>
      <c r="E709" s="448"/>
      <c r="F709" s="449"/>
      <c r="G709" s="451"/>
      <c r="H709" s="451"/>
      <c r="I709" s="445"/>
      <c r="J709" s="445"/>
      <c r="K709" s="446"/>
      <c r="M709" s="469">
        <f t="shared" si="22"/>
        <v>0</v>
      </c>
      <c r="N709" s="453"/>
      <c r="O709" s="454"/>
      <c r="P709" s="454"/>
      <c r="Q709" s="454"/>
      <c r="R709" s="454"/>
      <c r="S709" s="455"/>
    </row>
    <row r="710" spans="1:19" hidden="1">
      <c r="A710" s="446">
        <v>1</v>
      </c>
      <c r="B710" s="447" t="s">
        <v>3361</v>
      </c>
      <c r="C710" s="448"/>
      <c r="D710" s="448"/>
      <c r="E710" s="448" t="s">
        <v>3334</v>
      </c>
      <c r="F710" s="449" t="s">
        <v>3318</v>
      </c>
      <c r="G710" s="451"/>
      <c r="H710" s="451" t="s">
        <v>3367</v>
      </c>
      <c r="I710" s="445">
        <v>1834800.0000000002</v>
      </c>
      <c r="J710" s="445"/>
      <c r="K710" s="446"/>
      <c r="M710" s="469">
        <f t="shared" si="22"/>
        <v>1834800.0000000002</v>
      </c>
      <c r="N710" s="453">
        <v>1529000.0000000002</v>
      </c>
      <c r="O710" s="454"/>
      <c r="P710" s="454"/>
      <c r="Q710" s="454"/>
      <c r="R710" s="454"/>
      <c r="S710" s="455"/>
    </row>
    <row r="711" spans="1:19" hidden="1">
      <c r="A711" s="446">
        <v>2</v>
      </c>
      <c r="B711" s="447" t="s">
        <v>3361</v>
      </c>
      <c r="C711" s="448"/>
      <c r="D711" s="448"/>
      <c r="E711" s="448" t="s">
        <v>3319</v>
      </c>
      <c r="F711" s="449" t="s">
        <v>3319</v>
      </c>
      <c r="G711" s="451"/>
      <c r="H711" s="451" t="s">
        <v>3367</v>
      </c>
      <c r="I711" s="445">
        <v>1834800.0000000002</v>
      </c>
      <c r="J711" s="445"/>
      <c r="K711" s="446"/>
      <c r="M711" s="469">
        <f t="shared" si="22"/>
        <v>1834800.0000000002</v>
      </c>
      <c r="N711" s="453">
        <v>1529000.0000000002</v>
      </c>
      <c r="O711" s="454"/>
      <c r="P711" s="454"/>
      <c r="Q711" s="454"/>
      <c r="R711" s="454"/>
      <c r="S711" s="455"/>
    </row>
    <row r="712" spans="1:19" hidden="1">
      <c r="A712" s="446">
        <v>3</v>
      </c>
      <c r="B712" s="447" t="s">
        <v>3361</v>
      </c>
      <c r="C712" s="448"/>
      <c r="D712" s="448"/>
      <c r="E712" s="448" t="s">
        <v>3320</v>
      </c>
      <c r="F712" s="449" t="s">
        <v>3320</v>
      </c>
      <c r="G712" s="451"/>
      <c r="H712" s="451" t="s">
        <v>3367</v>
      </c>
      <c r="I712" s="445">
        <v>1030920.0000000001</v>
      </c>
      <c r="J712" s="445"/>
      <c r="K712" s="446"/>
      <c r="M712" s="469">
        <f t="shared" si="22"/>
        <v>1030920.0000000001</v>
      </c>
      <c r="N712" s="453">
        <v>859100.00000000012</v>
      </c>
      <c r="O712" s="454"/>
      <c r="P712" s="454"/>
      <c r="Q712" s="454"/>
      <c r="R712" s="454"/>
      <c r="S712" s="455"/>
    </row>
    <row r="713" spans="1:19" hidden="1">
      <c r="A713" s="446">
        <v>4</v>
      </c>
      <c r="B713" s="447" t="s">
        <v>3361</v>
      </c>
      <c r="C713" s="448"/>
      <c r="D713" s="448"/>
      <c r="E713" s="448" t="s">
        <v>3324</v>
      </c>
      <c r="F713" s="449" t="s">
        <v>3324</v>
      </c>
      <c r="G713" s="451"/>
      <c r="H713" s="451" t="s">
        <v>3367</v>
      </c>
      <c r="I713" s="445">
        <v>687720</v>
      </c>
      <c r="J713" s="445"/>
      <c r="K713" s="446"/>
      <c r="M713" s="469">
        <f t="shared" ref="M713:M776" si="23">N713*1.2</f>
        <v>687720</v>
      </c>
      <c r="N713" s="453">
        <v>573100</v>
      </c>
      <c r="O713" s="454"/>
      <c r="P713" s="454"/>
      <c r="Q713" s="454"/>
      <c r="R713" s="454"/>
      <c r="S713" s="455"/>
    </row>
    <row r="714" spans="1:19" hidden="1">
      <c r="A714" s="446">
        <v>5</v>
      </c>
      <c r="B714" s="447" t="s">
        <v>3362</v>
      </c>
      <c r="C714" s="448"/>
      <c r="D714" s="448"/>
      <c r="E714" s="448" t="s">
        <v>3319</v>
      </c>
      <c r="F714" s="449" t="s">
        <v>3324</v>
      </c>
      <c r="G714" s="451"/>
      <c r="H714" s="451" t="s">
        <v>3367</v>
      </c>
      <c r="I714" s="445">
        <v>294360</v>
      </c>
      <c r="J714" s="445"/>
      <c r="K714" s="446"/>
      <c r="M714" s="469">
        <f t="shared" si="23"/>
        <v>294360</v>
      </c>
      <c r="N714" s="453">
        <v>245300.00000000003</v>
      </c>
      <c r="O714" s="454"/>
      <c r="P714" s="454"/>
      <c r="Q714" s="454"/>
      <c r="R714" s="454"/>
      <c r="S714" s="455"/>
    </row>
    <row r="715" spans="1:19" hidden="1">
      <c r="A715" s="446">
        <v>6</v>
      </c>
      <c r="B715" s="447" t="s">
        <v>3362</v>
      </c>
      <c r="C715" s="448"/>
      <c r="D715" s="448"/>
      <c r="E715" s="448" t="s">
        <v>3320</v>
      </c>
      <c r="F715" s="449" t="s">
        <v>3346</v>
      </c>
      <c r="G715" s="451"/>
      <c r="H715" s="451" t="s">
        <v>3367</v>
      </c>
      <c r="I715" s="445">
        <v>204600</v>
      </c>
      <c r="J715" s="445"/>
      <c r="K715" s="446"/>
      <c r="M715" s="469">
        <f t="shared" si="23"/>
        <v>204600</v>
      </c>
      <c r="N715" s="453">
        <v>170500</v>
      </c>
      <c r="O715" s="454"/>
      <c r="P715" s="454"/>
      <c r="Q715" s="454"/>
      <c r="R715" s="454"/>
      <c r="S715" s="455"/>
    </row>
    <row r="716" spans="1:19" hidden="1">
      <c r="A716" s="446">
        <v>7</v>
      </c>
      <c r="B716" s="447" t="s">
        <v>3362</v>
      </c>
      <c r="C716" s="448"/>
      <c r="D716" s="448"/>
      <c r="E716" s="448" t="s">
        <v>3324</v>
      </c>
      <c r="F716" s="449" t="s">
        <v>3324</v>
      </c>
      <c r="G716" s="451"/>
      <c r="H716" s="451" t="s">
        <v>3367</v>
      </c>
      <c r="I716" s="445">
        <v>294360</v>
      </c>
      <c r="J716" s="445"/>
      <c r="K716" s="446"/>
      <c r="M716" s="469">
        <f t="shared" si="23"/>
        <v>294360</v>
      </c>
      <c r="N716" s="453">
        <v>245300.00000000003</v>
      </c>
      <c r="O716" s="454"/>
      <c r="P716" s="454"/>
      <c r="Q716" s="454"/>
      <c r="R716" s="454"/>
      <c r="S716" s="455"/>
    </row>
    <row r="717" spans="1:19" hidden="1">
      <c r="A717" s="446">
        <v>8</v>
      </c>
      <c r="B717" s="447" t="s">
        <v>3362</v>
      </c>
      <c r="C717" s="448"/>
      <c r="D717" s="448"/>
      <c r="E717" s="448" t="s">
        <v>3346</v>
      </c>
      <c r="F717" s="449" t="s">
        <v>3346</v>
      </c>
      <c r="G717" s="451"/>
      <c r="H717" s="451" t="s">
        <v>3367</v>
      </c>
      <c r="I717" s="445">
        <v>204600</v>
      </c>
      <c r="J717" s="445"/>
      <c r="K717" s="446"/>
      <c r="M717" s="469">
        <f t="shared" si="23"/>
        <v>204600</v>
      </c>
      <c r="N717" s="453">
        <v>170500</v>
      </c>
      <c r="O717" s="454"/>
      <c r="P717" s="454"/>
      <c r="Q717" s="454"/>
      <c r="R717" s="454"/>
      <c r="S717" s="455"/>
    </row>
    <row r="718" spans="1:19" hidden="1">
      <c r="A718" s="446">
        <v>9</v>
      </c>
      <c r="B718" s="447" t="s">
        <v>3363</v>
      </c>
      <c r="C718" s="448"/>
      <c r="D718" s="448"/>
      <c r="E718" s="448" t="s">
        <v>3319</v>
      </c>
      <c r="F718" s="449" t="s">
        <v>3319</v>
      </c>
      <c r="G718" s="451"/>
      <c r="H718" s="451" t="s">
        <v>3367</v>
      </c>
      <c r="I718" s="445">
        <v>205920</v>
      </c>
      <c r="J718" s="445"/>
      <c r="K718" s="446"/>
      <c r="M718" s="469">
        <f t="shared" si="23"/>
        <v>205920</v>
      </c>
      <c r="N718" s="453">
        <v>171600</v>
      </c>
      <c r="O718" s="454"/>
      <c r="P718" s="454"/>
      <c r="Q718" s="454"/>
      <c r="R718" s="454"/>
      <c r="S718" s="455"/>
    </row>
    <row r="719" spans="1:19" hidden="1">
      <c r="A719" s="446">
        <v>10</v>
      </c>
      <c r="B719" s="447" t="s">
        <v>3363</v>
      </c>
      <c r="C719" s="448"/>
      <c r="D719" s="448"/>
      <c r="E719" s="448" t="s">
        <v>3320</v>
      </c>
      <c r="F719" s="449" t="s">
        <v>3324</v>
      </c>
      <c r="G719" s="451"/>
      <c r="H719" s="451" t="s">
        <v>3367</v>
      </c>
      <c r="I719" s="445">
        <v>69960</v>
      </c>
      <c r="J719" s="445"/>
      <c r="K719" s="446"/>
      <c r="M719" s="469">
        <f t="shared" si="23"/>
        <v>69960</v>
      </c>
      <c r="N719" s="453">
        <v>58300.000000000007</v>
      </c>
      <c r="O719" s="454"/>
      <c r="P719" s="454"/>
      <c r="Q719" s="454"/>
      <c r="R719" s="454"/>
      <c r="S719" s="455"/>
    </row>
    <row r="720" spans="1:19" hidden="1">
      <c r="A720" s="446">
        <v>11</v>
      </c>
      <c r="B720" s="447" t="s">
        <v>3363</v>
      </c>
      <c r="C720" s="448"/>
      <c r="D720" s="448"/>
      <c r="E720" s="448" t="s">
        <v>3324</v>
      </c>
      <c r="F720" s="449" t="s">
        <v>3324</v>
      </c>
      <c r="G720" s="451"/>
      <c r="H720" s="451" t="s">
        <v>3367</v>
      </c>
      <c r="I720" s="445">
        <v>69960</v>
      </c>
      <c r="J720" s="445"/>
      <c r="K720" s="446"/>
      <c r="M720" s="469">
        <f t="shared" si="23"/>
        <v>69960</v>
      </c>
      <c r="N720" s="453">
        <v>58300.000000000007</v>
      </c>
      <c r="O720" s="454"/>
      <c r="P720" s="454"/>
      <c r="Q720" s="454"/>
      <c r="R720" s="454"/>
      <c r="S720" s="455"/>
    </row>
    <row r="721" spans="1:19" hidden="1">
      <c r="A721" s="446">
        <v>12</v>
      </c>
      <c r="B721" s="447" t="s">
        <v>3368</v>
      </c>
      <c r="C721" s="448"/>
      <c r="D721" s="448"/>
      <c r="E721" s="448" t="s">
        <v>3319</v>
      </c>
      <c r="F721" s="449" t="s">
        <v>3319</v>
      </c>
      <c r="G721" s="451"/>
      <c r="H721" s="451" t="s">
        <v>3367</v>
      </c>
      <c r="I721" s="445">
        <v>347160</v>
      </c>
      <c r="J721" s="445"/>
      <c r="K721" s="446"/>
      <c r="M721" s="469">
        <f t="shared" si="23"/>
        <v>347160</v>
      </c>
      <c r="N721" s="453">
        <v>289300</v>
      </c>
      <c r="O721" s="454"/>
      <c r="P721" s="454"/>
      <c r="Q721" s="454"/>
      <c r="R721" s="454"/>
      <c r="S721" s="455"/>
    </row>
    <row r="722" spans="1:19" hidden="1">
      <c r="A722" s="446">
        <v>13</v>
      </c>
      <c r="B722" s="447" t="s">
        <v>3368</v>
      </c>
      <c r="C722" s="448"/>
      <c r="D722" s="448"/>
      <c r="E722" s="448" t="s">
        <v>3320</v>
      </c>
      <c r="F722" s="449" t="s">
        <v>3319</v>
      </c>
      <c r="G722" s="451"/>
      <c r="H722" s="451" t="s">
        <v>3367</v>
      </c>
      <c r="I722" s="445">
        <v>347160</v>
      </c>
      <c r="J722" s="445"/>
      <c r="K722" s="446"/>
      <c r="M722" s="469">
        <f t="shared" si="23"/>
        <v>347160</v>
      </c>
      <c r="N722" s="453">
        <v>289300</v>
      </c>
      <c r="O722" s="454"/>
      <c r="P722" s="454"/>
      <c r="Q722" s="454"/>
      <c r="R722" s="454"/>
      <c r="S722" s="455"/>
    </row>
    <row r="723" spans="1:19" hidden="1">
      <c r="A723" s="446">
        <v>14</v>
      </c>
      <c r="B723" s="447" t="s">
        <v>3368</v>
      </c>
      <c r="C723" s="448"/>
      <c r="D723" s="448"/>
      <c r="E723" s="448" t="s">
        <v>3324</v>
      </c>
      <c r="F723" s="449" t="s">
        <v>3319</v>
      </c>
      <c r="G723" s="451"/>
      <c r="H723" s="451" t="s">
        <v>3367</v>
      </c>
      <c r="I723" s="445">
        <v>347160</v>
      </c>
      <c r="J723" s="445"/>
      <c r="K723" s="446"/>
      <c r="M723" s="469">
        <f t="shared" si="23"/>
        <v>347160</v>
      </c>
      <c r="N723" s="453">
        <v>289300</v>
      </c>
      <c r="O723" s="454"/>
      <c r="P723" s="454"/>
      <c r="Q723" s="454"/>
      <c r="R723" s="454"/>
      <c r="S723" s="455"/>
    </row>
    <row r="724" spans="1:19" hidden="1">
      <c r="A724" s="446">
        <v>15</v>
      </c>
      <c r="B724" s="447" t="s">
        <v>3364</v>
      </c>
      <c r="C724" s="448"/>
      <c r="D724" s="448"/>
      <c r="E724" s="448" t="s">
        <v>3319</v>
      </c>
      <c r="F724" s="449" t="s">
        <v>3319</v>
      </c>
      <c r="G724" s="451"/>
      <c r="H724" s="451" t="s">
        <v>2970</v>
      </c>
      <c r="I724" s="445">
        <v>205920</v>
      </c>
      <c r="J724" s="445"/>
      <c r="K724" s="446"/>
      <c r="M724" s="469">
        <f t="shared" si="23"/>
        <v>205920</v>
      </c>
      <c r="N724" s="453">
        <v>171600</v>
      </c>
      <c r="O724" s="454"/>
      <c r="P724" s="454"/>
      <c r="Q724" s="454"/>
      <c r="R724" s="454"/>
      <c r="S724" s="455"/>
    </row>
    <row r="725" spans="1:19" hidden="1">
      <c r="A725" s="446">
        <v>16</v>
      </c>
      <c r="B725" s="447" t="s">
        <v>3364</v>
      </c>
      <c r="C725" s="448"/>
      <c r="D725" s="448"/>
      <c r="E725" s="448" t="s">
        <v>3320</v>
      </c>
      <c r="F725" s="449" t="s">
        <v>3320</v>
      </c>
      <c r="G725" s="451"/>
      <c r="H725" s="451" t="s">
        <v>2970</v>
      </c>
      <c r="I725" s="445">
        <v>205920</v>
      </c>
      <c r="J725" s="445"/>
      <c r="K725" s="446"/>
      <c r="M725" s="469">
        <f t="shared" si="23"/>
        <v>205920</v>
      </c>
      <c r="N725" s="453">
        <v>171600</v>
      </c>
      <c r="O725" s="454"/>
      <c r="P725" s="454"/>
      <c r="Q725" s="454"/>
      <c r="R725" s="454"/>
      <c r="S725" s="455"/>
    </row>
    <row r="726" spans="1:19" hidden="1">
      <c r="A726" s="446">
        <v>17</v>
      </c>
      <c r="B726" s="447" t="s">
        <v>3364</v>
      </c>
      <c r="C726" s="448"/>
      <c r="D726" s="448"/>
      <c r="E726" s="448" t="s">
        <v>3324</v>
      </c>
      <c r="F726" s="449" t="s">
        <v>3319</v>
      </c>
      <c r="G726" s="451"/>
      <c r="H726" s="451" t="s">
        <v>2970</v>
      </c>
      <c r="I726" s="445">
        <v>205920</v>
      </c>
      <c r="J726" s="445"/>
      <c r="K726" s="446"/>
      <c r="M726" s="469">
        <f t="shared" si="23"/>
        <v>205920</v>
      </c>
      <c r="N726" s="453">
        <v>171600</v>
      </c>
      <c r="O726" s="454"/>
      <c r="P726" s="454"/>
      <c r="Q726" s="454"/>
      <c r="R726" s="454"/>
      <c r="S726" s="455"/>
    </row>
    <row r="727" spans="1:19" hidden="1">
      <c r="A727" s="446">
        <v>18</v>
      </c>
      <c r="B727" s="447" t="s">
        <v>3364</v>
      </c>
      <c r="C727" s="448"/>
      <c r="D727" s="448"/>
      <c r="E727" s="448" t="s">
        <v>3346</v>
      </c>
      <c r="F727" s="449" t="s">
        <v>3320</v>
      </c>
      <c r="G727" s="451"/>
      <c r="H727" s="451" t="s">
        <v>2970</v>
      </c>
      <c r="I727" s="445">
        <v>205920</v>
      </c>
      <c r="J727" s="445"/>
      <c r="K727" s="446"/>
      <c r="M727" s="469">
        <f t="shared" si="23"/>
        <v>205920</v>
      </c>
      <c r="N727" s="453">
        <v>171600</v>
      </c>
      <c r="O727" s="454"/>
      <c r="P727" s="454"/>
      <c r="Q727" s="454"/>
      <c r="R727" s="454"/>
      <c r="S727" s="455"/>
    </row>
    <row r="728" spans="1:19" hidden="1">
      <c r="A728" s="446">
        <v>19</v>
      </c>
      <c r="B728" s="447" t="s">
        <v>3369</v>
      </c>
      <c r="C728" s="448"/>
      <c r="D728" s="448"/>
      <c r="E728" s="448" t="s">
        <v>3319</v>
      </c>
      <c r="F728" s="449" t="s">
        <v>3319</v>
      </c>
      <c r="G728" s="451"/>
      <c r="H728" s="451" t="s">
        <v>2970</v>
      </c>
      <c r="I728" s="445">
        <v>108240.00000000001</v>
      </c>
      <c r="J728" s="445"/>
      <c r="K728" s="446"/>
      <c r="M728" s="469">
        <f t="shared" si="23"/>
        <v>108240.00000000001</v>
      </c>
      <c r="N728" s="453">
        <v>90200.000000000015</v>
      </c>
      <c r="O728" s="454"/>
      <c r="P728" s="454"/>
      <c r="Q728" s="454"/>
      <c r="R728" s="454"/>
      <c r="S728" s="455"/>
    </row>
    <row r="729" spans="1:19" hidden="1">
      <c r="A729" s="446">
        <v>20</v>
      </c>
      <c r="B729" s="447" t="s">
        <v>3370</v>
      </c>
      <c r="C729" s="448"/>
      <c r="D729" s="448"/>
      <c r="E729" s="448" t="s">
        <v>3320</v>
      </c>
      <c r="F729" s="449" t="s">
        <v>3320</v>
      </c>
      <c r="G729" s="451"/>
      <c r="H729" s="451" t="s">
        <v>2970</v>
      </c>
      <c r="I729" s="445">
        <v>108240.00000000001</v>
      </c>
      <c r="J729" s="445"/>
      <c r="K729" s="446"/>
      <c r="M729" s="469">
        <f t="shared" si="23"/>
        <v>108240.00000000001</v>
      </c>
      <c r="N729" s="453">
        <v>90200.000000000015</v>
      </c>
      <c r="O729" s="454"/>
      <c r="P729" s="454"/>
      <c r="Q729" s="454"/>
      <c r="R729" s="454"/>
      <c r="S729" s="455"/>
    </row>
    <row r="730" spans="1:19" hidden="1">
      <c r="A730" s="446">
        <v>21</v>
      </c>
      <c r="B730" s="447" t="s">
        <v>3370</v>
      </c>
      <c r="C730" s="448"/>
      <c r="D730" s="448"/>
      <c r="E730" s="448" t="s">
        <v>3324</v>
      </c>
      <c r="F730" s="449" t="s">
        <v>3324</v>
      </c>
      <c r="G730" s="451"/>
      <c r="H730" s="451" t="s">
        <v>2970</v>
      </c>
      <c r="I730" s="445">
        <v>96360</v>
      </c>
      <c r="J730" s="445"/>
      <c r="K730" s="446"/>
      <c r="M730" s="469">
        <f t="shared" si="23"/>
        <v>96360</v>
      </c>
      <c r="N730" s="453">
        <v>80300</v>
      </c>
      <c r="O730" s="454"/>
      <c r="P730" s="454"/>
      <c r="Q730" s="454"/>
      <c r="R730" s="454"/>
      <c r="S730" s="455"/>
    </row>
    <row r="731" spans="1:19" hidden="1">
      <c r="A731" s="446">
        <v>22</v>
      </c>
      <c r="B731" s="447" t="s">
        <v>3370</v>
      </c>
      <c r="C731" s="448"/>
      <c r="D731" s="448"/>
      <c r="E731" s="448" t="s">
        <v>3346</v>
      </c>
      <c r="F731" s="449" t="s">
        <v>3346</v>
      </c>
      <c r="G731" s="451"/>
      <c r="H731" s="451" t="s">
        <v>2970</v>
      </c>
      <c r="I731" s="445">
        <v>84480</v>
      </c>
      <c r="J731" s="445"/>
      <c r="K731" s="446"/>
      <c r="M731" s="469">
        <f t="shared" si="23"/>
        <v>84480</v>
      </c>
      <c r="N731" s="453">
        <v>70400</v>
      </c>
      <c r="O731" s="454"/>
      <c r="P731" s="454"/>
      <c r="Q731" s="454"/>
      <c r="R731" s="454"/>
      <c r="S731" s="455"/>
    </row>
    <row r="732" spans="1:19" hidden="1">
      <c r="A732" s="446">
        <v>23</v>
      </c>
      <c r="B732" s="447" t="s">
        <v>3371</v>
      </c>
      <c r="C732" s="448"/>
      <c r="D732" s="448"/>
      <c r="E732" s="448" t="s">
        <v>3334</v>
      </c>
      <c r="F732" s="449" t="s">
        <v>3334</v>
      </c>
      <c r="G732" s="451"/>
      <c r="H732" s="451" t="s">
        <v>2970</v>
      </c>
      <c r="I732" s="445">
        <v>38280</v>
      </c>
      <c r="J732" s="445"/>
      <c r="K732" s="446"/>
      <c r="M732" s="469">
        <f t="shared" si="23"/>
        <v>38280</v>
      </c>
      <c r="N732" s="453">
        <v>31900.000000000004</v>
      </c>
      <c r="O732" s="454"/>
      <c r="P732" s="454"/>
      <c r="Q732" s="454"/>
      <c r="R732" s="454"/>
      <c r="S732" s="455"/>
    </row>
    <row r="733" spans="1:19" hidden="1">
      <c r="A733" s="446">
        <v>24</v>
      </c>
      <c r="B733" s="447" t="s">
        <v>3371</v>
      </c>
      <c r="C733" s="448"/>
      <c r="D733" s="448"/>
      <c r="E733" s="448" t="s">
        <v>3319</v>
      </c>
      <c r="F733" s="449" t="s">
        <v>3319</v>
      </c>
      <c r="G733" s="451"/>
      <c r="H733" s="451" t="s">
        <v>2970</v>
      </c>
      <c r="I733" s="445">
        <v>38280</v>
      </c>
      <c r="J733" s="445"/>
      <c r="K733" s="446"/>
      <c r="M733" s="469">
        <f t="shared" si="23"/>
        <v>38280</v>
      </c>
      <c r="N733" s="453">
        <v>31900.000000000004</v>
      </c>
      <c r="O733" s="454"/>
      <c r="P733" s="454"/>
      <c r="Q733" s="454"/>
      <c r="R733" s="454"/>
      <c r="S733" s="455"/>
    </row>
    <row r="734" spans="1:19" hidden="1">
      <c r="A734" s="446">
        <v>25</v>
      </c>
      <c r="B734" s="447" t="s">
        <v>3371</v>
      </c>
      <c r="C734" s="448"/>
      <c r="D734" s="448"/>
      <c r="E734" s="448" t="s">
        <v>3320</v>
      </c>
      <c r="F734" s="449" t="s">
        <v>3320</v>
      </c>
      <c r="G734" s="451"/>
      <c r="H734" s="451" t="s">
        <v>2970</v>
      </c>
      <c r="I734" s="445">
        <v>38280</v>
      </c>
      <c r="J734" s="445"/>
      <c r="K734" s="446"/>
      <c r="M734" s="469">
        <f t="shared" si="23"/>
        <v>38280</v>
      </c>
      <c r="N734" s="453">
        <v>31900.000000000004</v>
      </c>
      <c r="O734" s="454"/>
      <c r="P734" s="454"/>
      <c r="Q734" s="454"/>
      <c r="R734" s="454"/>
      <c r="S734" s="455"/>
    </row>
    <row r="735" spans="1:19" hidden="1">
      <c r="A735" s="446">
        <v>26</v>
      </c>
      <c r="B735" s="447" t="s">
        <v>3371</v>
      </c>
      <c r="C735" s="448"/>
      <c r="D735" s="448"/>
      <c r="E735" s="448" t="s">
        <v>3324</v>
      </c>
      <c r="F735" s="449" t="s">
        <v>3324</v>
      </c>
      <c r="G735" s="451"/>
      <c r="H735" s="451" t="s">
        <v>2970</v>
      </c>
      <c r="I735" s="445">
        <v>34320</v>
      </c>
      <c r="J735" s="445"/>
      <c r="K735" s="446"/>
      <c r="M735" s="469">
        <f t="shared" si="23"/>
        <v>34320</v>
      </c>
      <c r="N735" s="453">
        <v>28600.000000000004</v>
      </c>
      <c r="O735" s="454"/>
      <c r="P735" s="454"/>
      <c r="Q735" s="454"/>
      <c r="R735" s="454"/>
      <c r="S735" s="455"/>
    </row>
    <row r="736" spans="1:19" hidden="1">
      <c r="A736" s="446">
        <v>27</v>
      </c>
      <c r="B736" s="447" t="s">
        <v>3371</v>
      </c>
      <c r="C736" s="448"/>
      <c r="D736" s="448"/>
      <c r="E736" s="448" t="s">
        <v>3346</v>
      </c>
      <c r="F736" s="449" t="s">
        <v>3319</v>
      </c>
      <c r="G736" s="451"/>
      <c r="H736" s="451" t="s">
        <v>2970</v>
      </c>
      <c r="I736" s="445">
        <v>38280</v>
      </c>
      <c r="J736" s="445"/>
      <c r="K736" s="446"/>
      <c r="M736" s="469">
        <f t="shared" si="23"/>
        <v>38280</v>
      </c>
      <c r="N736" s="453">
        <v>31900.000000000004</v>
      </c>
      <c r="O736" s="454"/>
      <c r="P736" s="454"/>
      <c r="Q736" s="454"/>
      <c r="R736" s="454"/>
      <c r="S736" s="455"/>
    </row>
    <row r="737" spans="1:19" hidden="1">
      <c r="A737" s="446"/>
      <c r="B737" s="447"/>
      <c r="C737" s="448"/>
      <c r="D737" s="448"/>
      <c r="E737" s="448"/>
      <c r="F737" s="449"/>
      <c r="G737" s="451"/>
      <c r="H737" s="451"/>
      <c r="I737" s="445"/>
      <c r="J737" s="445"/>
      <c r="K737" s="446"/>
      <c r="M737" s="469">
        <f t="shared" si="23"/>
        <v>0</v>
      </c>
      <c r="N737" s="453"/>
      <c r="O737" s="454"/>
      <c r="P737" s="454"/>
      <c r="Q737" s="454"/>
      <c r="R737" s="454"/>
      <c r="S737" s="455"/>
    </row>
    <row r="738" spans="1:19" hidden="1">
      <c r="A738" s="446"/>
      <c r="B738" s="447" t="s">
        <v>3372</v>
      </c>
      <c r="C738" s="448"/>
      <c r="D738" s="448"/>
      <c r="E738" s="448"/>
      <c r="F738" s="449"/>
      <c r="G738" s="451"/>
      <c r="H738" s="451"/>
      <c r="I738" s="445"/>
      <c r="J738" s="445"/>
      <c r="K738" s="446"/>
      <c r="M738" s="469">
        <f t="shared" si="23"/>
        <v>0</v>
      </c>
      <c r="N738" s="453"/>
      <c r="O738" s="454"/>
      <c r="P738" s="454"/>
      <c r="Q738" s="454"/>
      <c r="R738" s="454"/>
      <c r="S738" s="455"/>
    </row>
    <row r="739" spans="1:19" hidden="1">
      <c r="A739" s="446">
        <v>1</v>
      </c>
      <c r="B739" s="447" t="s">
        <v>3361</v>
      </c>
      <c r="C739" s="448"/>
      <c r="D739" s="448"/>
      <c r="E739" s="448" t="s">
        <v>3334</v>
      </c>
      <c r="F739" s="449" t="s">
        <v>3318</v>
      </c>
      <c r="G739" s="451"/>
      <c r="H739" s="451" t="s">
        <v>3367</v>
      </c>
      <c r="I739" s="445">
        <v>1834800.0000000002</v>
      </c>
      <c r="J739" s="445"/>
      <c r="K739" s="446"/>
      <c r="M739" s="469">
        <f t="shared" si="23"/>
        <v>1834800.0000000002</v>
      </c>
      <c r="N739" s="453">
        <v>1529000.0000000002</v>
      </c>
      <c r="O739" s="454"/>
      <c r="P739" s="454"/>
      <c r="Q739" s="454"/>
      <c r="R739" s="454"/>
      <c r="S739" s="455"/>
    </row>
    <row r="740" spans="1:19" hidden="1">
      <c r="A740" s="446">
        <v>2</v>
      </c>
      <c r="B740" s="447" t="s">
        <v>3361</v>
      </c>
      <c r="C740" s="448"/>
      <c r="D740" s="448"/>
      <c r="E740" s="448" t="s">
        <v>3319</v>
      </c>
      <c r="F740" s="449" t="s">
        <v>3319</v>
      </c>
      <c r="G740" s="451"/>
      <c r="H740" s="451" t="s">
        <v>3367</v>
      </c>
      <c r="I740" s="445">
        <v>1834800.0000000002</v>
      </c>
      <c r="J740" s="445"/>
      <c r="K740" s="446"/>
      <c r="M740" s="469">
        <f t="shared" si="23"/>
        <v>1834800.0000000002</v>
      </c>
      <c r="N740" s="453">
        <v>1529000.0000000002</v>
      </c>
      <c r="O740" s="454"/>
      <c r="P740" s="454"/>
      <c r="Q740" s="454"/>
      <c r="R740" s="454"/>
      <c r="S740" s="455"/>
    </row>
    <row r="741" spans="1:19" hidden="1">
      <c r="A741" s="446">
        <v>3</v>
      </c>
      <c r="B741" s="447" t="s">
        <v>3361</v>
      </c>
      <c r="C741" s="448"/>
      <c r="D741" s="448"/>
      <c r="E741" s="448" t="s">
        <v>3320</v>
      </c>
      <c r="F741" s="449" t="s">
        <v>3320</v>
      </c>
      <c r="G741" s="451"/>
      <c r="H741" s="451" t="s">
        <v>3367</v>
      </c>
      <c r="I741" s="445">
        <v>1030920.0000000001</v>
      </c>
      <c r="J741" s="445"/>
      <c r="K741" s="446"/>
      <c r="M741" s="469">
        <f t="shared" si="23"/>
        <v>1030920.0000000001</v>
      </c>
      <c r="N741" s="453">
        <v>859100.00000000012</v>
      </c>
      <c r="O741" s="454"/>
      <c r="P741" s="454"/>
      <c r="Q741" s="454"/>
      <c r="R741" s="454"/>
      <c r="S741" s="455"/>
    </row>
    <row r="742" spans="1:19" hidden="1">
      <c r="A742" s="446">
        <v>4</v>
      </c>
      <c r="B742" s="447" t="s">
        <v>3361</v>
      </c>
      <c r="C742" s="448"/>
      <c r="D742" s="448"/>
      <c r="E742" s="448" t="s">
        <v>3324</v>
      </c>
      <c r="F742" s="449" t="s">
        <v>3324</v>
      </c>
      <c r="G742" s="451"/>
      <c r="H742" s="451" t="s">
        <v>3367</v>
      </c>
      <c r="I742" s="445">
        <v>687720</v>
      </c>
      <c r="J742" s="445"/>
      <c r="K742" s="446"/>
      <c r="M742" s="469">
        <f t="shared" si="23"/>
        <v>687720</v>
      </c>
      <c r="N742" s="453">
        <v>573100</v>
      </c>
      <c r="O742" s="454"/>
      <c r="P742" s="454"/>
      <c r="Q742" s="454"/>
      <c r="R742" s="454"/>
      <c r="S742" s="455"/>
    </row>
    <row r="743" spans="1:19" hidden="1">
      <c r="A743" s="446">
        <v>5</v>
      </c>
      <c r="B743" s="447" t="s">
        <v>3362</v>
      </c>
      <c r="C743" s="448"/>
      <c r="D743" s="448"/>
      <c r="E743" s="448" t="s">
        <v>3319</v>
      </c>
      <c r="F743" s="449" t="s">
        <v>3324</v>
      </c>
      <c r="G743" s="451"/>
      <c r="H743" s="451" t="s">
        <v>3367</v>
      </c>
      <c r="I743" s="445">
        <v>294360</v>
      </c>
      <c r="J743" s="445"/>
      <c r="K743" s="446"/>
      <c r="M743" s="469">
        <f t="shared" si="23"/>
        <v>294360</v>
      </c>
      <c r="N743" s="453">
        <v>245300.00000000003</v>
      </c>
      <c r="O743" s="454"/>
      <c r="P743" s="454"/>
      <c r="Q743" s="454"/>
      <c r="R743" s="454"/>
      <c r="S743" s="455"/>
    </row>
    <row r="744" spans="1:19" hidden="1">
      <c r="A744" s="446">
        <v>6</v>
      </c>
      <c r="B744" s="447" t="s">
        <v>3362</v>
      </c>
      <c r="C744" s="448"/>
      <c r="D744" s="448"/>
      <c r="E744" s="448" t="s">
        <v>3320</v>
      </c>
      <c r="F744" s="449" t="s">
        <v>3346</v>
      </c>
      <c r="G744" s="451"/>
      <c r="H744" s="451" t="s">
        <v>3367</v>
      </c>
      <c r="I744" s="445">
        <v>204600</v>
      </c>
      <c r="J744" s="445"/>
      <c r="K744" s="446"/>
      <c r="M744" s="469">
        <f t="shared" si="23"/>
        <v>204600</v>
      </c>
      <c r="N744" s="453">
        <v>170500</v>
      </c>
      <c r="O744" s="454"/>
      <c r="P744" s="454"/>
      <c r="Q744" s="454"/>
      <c r="R744" s="454"/>
      <c r="S744" s="455"/>
    </row>
    <row r="745" spans="1:19" hidden="1">
      <c r="A745" s="446">
        <v>7</v>
      </c>
      <c r="B745" s="447" t="s">
        <v>3362</v>
      </c>
      <c r="C745" s="448"/>
      <c r="D745" s="448"/>
      <c r="E745" s="448" t="s">
        <v>3324</v>
      </c>
      <c r="F745" s="449" t="s">
        <v>3324</v>
      </c>
      <c r="G745" s="451"/>
      <c r="H745" s="451" t="s">
        <v>3367</v>
      </c>
      <c r="I745" s="445">
        <v>294360</v>
      </c>
      <c r="J745" s="445"/>
      <c r="K745" s="446"/>
      <c r="M745" s="469">
        <f t="shared" si="23"/>
        <v>294360</v>
      </c>
      <c r="N745" s="453">
        <v>245300.00000000003</v>
      </c>
      <c r="O745" s="454"/>
      <c r="P745" s="454"/>
      <c r="Q745" s="454"/>
      <c r="R745" s="454"/>
      <c r="S745" s="455"/>
    </row>
    <row r="746" spans="1:19" hidden="1">
      <c r="A746" s="446">
        <v>8</v>
      </c>
      <c r="B746" s="447" t="s">
        <v>3362</v>
      </c>
      <c r="C746" s="448"/>
      <c r="D746" s="448"/>
      <c r="E746" s="448" t="s">
        <v>3346</v>
      </c>
      <c r="F746" s="449" t="s">
        <v>3346</v>
      </c>
      <c r="G746" s="451"/>
      <c r="H746" s="451" t="s">
        <v>3367</v>
      </c>
      <c r="I746" s="445">
        <v>204600</v>
      </c>
      <c r="J746" s="445"/>
      <c r="K746" s="446"/>
      <c r="M746" s="469">
        <f t="shared" si="23"/>
        <v>204600</v>
      </c>
      <c r="N746" s="453">
        <v>170500</v>
      </c>
      <c r="O746" s="454"/>
      <c r="P746" s="454"/>
      <c r="Q746" s="454"/>
      <c r="R746" s="454"/>
      <c r="S746" s="455"/>
    </row>
    <row r="747" spans="1:19" hidden="1">
      <c r="A747" s="446">
        <v>9</v>
      </c>
      <c r="B747" s="447" t="s">
        <v>3363</v>
      </c>
      <c r="C747" s="448"/>
      <c r="D747" s="448"/>
      <c r="E747" s="448" t="s">
        <v>3319</v>
      </c>
      <c r="F747" s="449" t="s">
        <v>3319</v>
      </c>
      <c r="G747" s="451"/>
      <c r="H747" s="451" t="s">
        <v>3367</v>
      </c>
      <c r="I747" s="445">
        <v>205920</v>
      </c>
      <c r="J747" s="445"/>
      <c r="K747" s="446"/>
      <c r="M747" s="469">
        <f t="shared" si="23"/>
        <v>205920</v>
      </c>
      <c r="N747" s="453">
        <v>171600</v>
      </c>
      <c r="O747" s="454"/>
      <c r="P747" s="454"/>
      <c r="Q747" s="454"/>
      <c r="R747" s="454"/>
      <c r="S747" s="455"/>
    </row>
    <row r="748" spans="1:19" hidden="1">
      <c r="A748" s="446">
        <v>10</v>
      </c>
      <c r="B748" s="447" t="s">
        <v>3363</v>
      </c>
      <c r="C748" s="448"/>
      <c r="D748" s="448"/>
      <c r="E748" s="448" t="s">
        <v>3320</v>
      </c>
      <c r="F748" s="449" t="s">
        <v>3324</v>
      </c>
      <c r="G748" s="451"/>
      <c r="H748" s="451" t="s">
        <v>3367</v>
      </c>
      <c r="I748" s="445">
        <v>69960</v>
      </c>
      <c r="J748" s="445"/>
      <c r="K748" s="446"/>
      <c r="M748" s="469">
        <f t="shared" si="23"/>
        <v>69960</v>
      </c>
      <c r="N748" s="453">
        <v>58300.000000000007</v>
      </c>
      <c r="O748" s="454"/>
      <c r="P748" s="454"/>
      <c r="Q748" s="454"/>
      <c r="R748" s="454"/>
      <c r="S748" s="455"/>
    </row>
    <row r="749" spans="1:19" hidden="1">
      <c r="A749" s="446">
        <v>11</v>
      </c>
      <c r="B749" s="447" t="s">
        <v>3363</v>
      </c>
      <c r="C749" s="448"/>
      <c r="D749" s="448"/>
      <c r="E749" s="448" t="s">
        <v>3324</v>
      </c>
      <c r="F749" s="449" t="s">
        <v>3324</v>
      </c>
      <c r="G749" s="451"/>
      <c r="H749" s="451" t="s">
        <v>3367</v>
      </c>
      <c r="I749" s="445">
        <v>69960</v>
      </c>
      <c r="J749" s="445"/>
      <c r="K749" s="446"/>
      <c r="M749" s="469">
        <f t="shared" si="23"/>
        <v>69960</v>
      </c>
      <c r="N749" s="453">
        <v>58300.000000000007</v>
      </c>
      <c r="O749" s="454"/>
      <c r="P749" s="454"/>
      <c r="Q749" s="454"/>
      <c r="R749" s="454"/>
      <c r="S749" s="455"/>
    </row>
    <row r="750" spans="1:19" hidden="1">
      <c r="A750" s="446">
        <v>12</v>
      </c>
      <c r="B750" s="447" t="s">
        <v>3368</v>
      </c>
      <c r="C750" s="448"/>
      <c r="D750" s="448"/>
      <c r="E750" s="448" t="s">
        <v>3319</v>
      </c>
      <c r="F750" s="449" t="s">
        <v>3319</v>
      </c>
      <c r="G750" s="451"/>
      <c r="H750" s="451" t="s">
        <v>3367</v>
      </c>
      <c r="I750" s="445">
        <v>347160</v>
      </c>
      <c r="J750" s="445"/>
      <c r="K750" s="446"/>
      <c r="M750" s="469">
        <f t="shared" si="23"/>
        <v>347160</v>
      </c>
      <c r="N750" s="453">
        <v>289300</v>
      </c>
      <c r="O750" s="454"/>
      <c r="P750" s="454"/>
      <c r="Q750" s="454"/>
      <c r="R750" s="454"/>
      <c r="S750" s="455"/>
    </row>
    <row r="751" spans="1:19" hidden="1">
      <c r="A751" s="446">
        <v>13</v>
      </c>
      <c r="B751" s="447" t="s">
        <v>3368</v>
      </c>
      <c r="C751" s="448"/>
      <c r="D751" s="448"/>
      <c r="E751" s="448" t="s">
        <v>3320</v>
      </c>
      <c r="F751" s="449" t="s">
        <v>3319</v>
      </c>
      <c r="G751" s="451"/>
      <c r="H751" s="451" t="s">
        <v>3367</v>
      </c>
      <c r="I751" s="445">
        <v>347160</v>
      </c>
      <c r="J751" s="445"/>
      <c r="K751" s="446"/>
      <c r="M751" s="469">
        <f t="shared" si="23"/>
        <v>347160</v>
      </c>
      <c r="N751" s="453">
        <v>289300</v>
      </c>
      <c r="O751" s="454"/>
      <c r="P751" s="454"/>
      <c r="Q751" s="454"/>
      <c r="R751" s="454"/>
      <c r="S751" s="455"/>
    </row>
    <row r="752" spans="1:19" hidden="1">
      <c r="A752" s="446">
        <v>14</v>
      </c>
      <c r="B752" s="447" t="s">
        <v>3368</v>
      </c>
      <c r="C752" s="448"/>
      <c r="D752" s="448"/>
      <c r="E752" s="448" t="s">
        <v>3324</v>
      </c>
      <c r="F752" s="449" t="s">
        <v>3319</v>
      </c>
      <c r="G752" s="451"/>
      <c r="H752" s="451" t="s">
        <v>3367</v>
      </c>
      <c r="I752" s="445">
        <v>347160</v>
      </c>
      <c r="J752" s="445"/>
      <c r="K752" s="446"/>
      <c r="M752" s="469">
        <f t="shared" si="23"/>
        <v>347160</v>
      </c>
      <c r="N752" s="453">
        <v>289300</v>
      </c>
      <c r="O752" s="454"/>
      <c r="P752" s="454"/>
      <c r="Q752" s="454"/>
      <c r="R752" s="454"/>
      <c r="S752" s="455"/>
    </row>
    <row r="753" spans="1:19" hidden="1">
      <c r="A753" s="446">
        <v>15</v>
      </c>
      <c r="B753" s="447" t="s">
        <v>3364</v>
      </c>
      <c r="C753" s="448"/>
      <c r="D753" s="448"/>
      <c r="E753" s="448" t="s">
        <v>3319</v>
      </c>
      <c r="F753" s="449" t="s">
        <v>3319</v>
      </c>
      <c r="G753" s="451"/>
      <c r="H753" s="451" t="s">
        <v>2970</v>
      </c>
      <c r="I753" s="445">
        <v>205920</v>
      </c>
      <c r="J753" s="445"/>
      <c r="K753" s="446"/>
      <c r="M753" s="469">
        <f t="shared" si="23"/>
        <v>205920</v>
      </c>
      <c r="N753" s="453">
        <v>171600</v>
      </c>
      <c r="O753" s="454"/>
      <c r="P753" s="454"/>
      <c r="Q753" s="454"/>
      <c r="R753" s="454"/>
      <c r="S753" s="455"/>
    </row>
    <row r="754" spans="1:19" hidden="1">
      <c r="A754" s="446">
        <v>16</v>
      </c>
      <c r="B754" s="447" t="s">
        <v>3364</v>
      </c>
      <c r="C754" s="448"/>
      <c r="D754" s="448"/>
      <c r="E754" s="448" t="s">
        <v>3320</v>
      </c>
      <c r="F754" s="449" t="s">
        <v>3320</v>
      </c>
      <c r="G754" s="451"/>
      <c r="H754" s="451" t="s">
        <v>2970</v>
      </c>
      <c r="I754" s="445">
        <v>205920</v>
      </c>
      <c r="J754" s="445"/>
      <c r="K754" s="446"/>
      <c r="M754" s="469">
        <f t="shared" si="23"/>
        <v>205920</v>
      </c>
      <c r="N754" s="453">
        <v>171600</v>
      </c>
      <c r="O754" s="454"/>
      <c r="P754" s="454"/>
      <c r="Q754" s="454"/>
      <c r="R754" s="454"/>
      <c r="S754" s="455"/>
    </row>
    <row r="755" spans="1:19" hidden="1">
      <c r="A755" s="446">
        <v>17</v>
      </c>
      <c r="B755" s="447" t="s">
        <v>3364</v>
      </c>
      <c r="C755" s="448"/>
      <c r="D755" s="448"/>
      <c r="E755" s="448" t="s">
        <v>3324</v>
      </c>
      <c r="F755" s="449" t="s">
        <v>3319</v>
      </c>
      <c r="G755" s="451"/>
      <c r="H755" s="451" t="s">
        <v>2970</v>
      </c>
      <c r="I755" s="445">
        <v>205920</v>
      </c>
      <c r="J755" s="445"/>
      <c r="K755" s="446"/>
      <c r="M755" s="469">
        <f t="shared" si="23"/>
        <v>205920</v>
      </c>
      <c r="N755" s="453">
        <v>171600</v>
      </c>
      <c r="O755" s="454"/>
      <c r="P755" s="454"/>
      <c r="Q755" s="454"/>
      <c r="R755" s="454"/>
      <c r="S755" s="455"/>
    </row>
    <row r="756" spans="1:19" hidden="1">
      <c r="A756" s="446">
        <v>18</v>
      </c>
      <c r="B756" s="447" t="s">
        <v>3364</v>
      </c>
      <c r="C756" s="448"/>
      <c r="D756" s="448"/>
      <c r="E756" s="448" t="s">
        <v>3346</v>
      </c>
      <c r="F756" s="449" t="s">
        <v>3320</v>
      </c>
      <c r="G756" s="451"/>
      <c r="H756" s="451" t="s">
        <v>2970</v>
      </c>
      <c r="I756" s="445">
        <v>205920</v>
      </c>
      <c r="J756" s="445"/>
      <c r="K756" s="446"/>
      <c r="M756" s="469">
        <f t="shared" si="23"/>
        <v>205920</v>
      </c>
      <c r="N756" s="453">
        <v>171600</v>
      </c>
      <c r="O756" s="454"/>
      <c r="P756" s="454"/>
      <c r="Q756" s="454"/>
      <c r="R756" s="454"/>
      <c r="S756" s="455"/>
    </row>
    <row r="757" spans="1:19" hidden="1">
      <c r="A757" s="446">
        <v>19</v>
      </c>
      <c r="B757" s="447" t="s">
        <v>3369</v>
      </c>
      <c r="C757" s="448"/>
      <c r="D757" s="448"/>
      <c r="E757" s="448" t="s">
        <v>3319</v>
      </c>
      <c r="F757" s="449" t="s">
        <v>3319</v>
      </c>
      <c r="G757" s="451"/>
      <c r="H757" s="451" t="s">
        <v>2970</v>
      </c>
      <c r="I757" s="445">
        <v>108240.00000000001</v>
      </c>
      <c r="J757" s="445"/>
      <c r="K757" s="446"/>
      <c r="M757" s="469">
        <f t="shared" si="23"/>
        <v>108240.00000000001</v>
      </c>
      <c r="N757" s="453">
        <v>90200.000000000015</v>
      </c>
      <c r="O757" s="454"/>
      <c r="P757" s="454"/>
      <c r="Q757" s="454"/>
      <c r="R757" s="454"/>
      <c r="S757" s="455"/>
    </row>
    <row r="758" spans="1:19" hidden="1">
      <c r="A758" s="486">
        <v>20</v>
      </c>
      <c r="B758" s="487" t="s">
        <v>3370</v>
      </c>
      <c r="C758" s="488"/>
      <c r="D758" s="488"/>
      <c r="E758" s="488" t="s">
        <v>3320</v>
      </c>
      <c r="F758" s="489" t="s">
        <v>3320</v>
      </c>
      <c r="G758" s="490"/>
      <c r="H758" s="490" t="s">
        <v>2970</v>
      </c>
      <c r="I758" s="471">
        <v>108240.00000000001</v>
      </c>
      <c r="J758" s="471"/>
      <c r="K758" s="486"/>
      <c r="M758" s="469">
        <f t="shared" si="23"/>
        <v>108240.00000000001</v>
      </c>
      <c r="N758" s="453">
        <v>90200.000000000015</v>
      </c>
      <c r="O758" s="454"/>
      <c r="P758" s="454"/>
      <c r="Q758" s="454"/>
      <c r="R758" s="454"/>
      <c r="S758" s="455"/>
    </row>
    <row r="759" spans="1:19" hidden="1">
      <c r="A759" s="491">
        <v>21</v>
      </c>
      <c r="B759" s="492" t="s">
        <v>3370</v>
      </c>
      <c r="C759" s="493"/>
      <c r="D759" s="493"/>
      <c r="E759" s="493" t="s">
        <v>3324</v>
      </c>
      <c r="F759" s="494" t="s">
        <v>3324</v>
      </c>
      <c r="G759" s="495"/>
      <c r="H759" s="495" t="s">
        <v>2970</v>
      </c>
      <c r="I759" s="444">
        <v>96360</v>
      </c>
      <c r="J759" s="444"/>
      <c r="K759" s="491"/>
      <c r="M759" s="469">
        <f t="shared" si="23"/>
        <v>96360</v>
      </c>
      <c r="N759" s="453">
        <v>80300</v>
      </c>
      <c r="O759" s="454"/>
      <c r="P759" s="454"/>
      <c r="Q759" s="454"/>
      <c r="R759" s="454"/>
      <c r="S759" s="455"/>
    </row>
    <row r="760" spans="1:19" hidden="1">
      <c r="A760" s="446">
        <v>22</v>
      </c>
      <c r="B760" s="447" t="s">
        <v>3370</v>
      </c>
      <c r="C760" s="448"/>
      <c r="D760" s="448"/>
      <c r="E760" s="448" t="s">
        <v>3346</v>
      </c>
      <c r="F760" s="449" t="s">
        <v>3346</v>
      </c>
      <c r="G760" s="451"/>
      <c r="H760" s="451" t="s">
        <v>2970</v>
      </c>
      <c r="I760" s="445">
        <v>84480</v>
      </c>
      <c r="J760" s="445"/>
      <c r="K760" s="446"/>
      <c r="M760" s="469">
        <f t="shared" si="23"/>
        <v>84480</v>
      </c>
      <c r="N760" s="453">
        <v>70400</v>
      </c>
      <c r="O760" s="454"/>
      <c r="P760" s="454"/>
      <c r="Q760" s="454"/>
      <c r="R760" s="454"/>
      <c r="S760" s="455"/>
    </row>
    <row r="761" spans="1:19" hidden="1">
      <c r="A761" s="446">
        <v>23</v>
      </c>
      <c r="B761" s="447" t="s">
        <v>3371</v>
      </c>
      <c r="C761" s="448"/>
      <c r="D761" s="448"/>
      <c r="E761" s="448" t="s">
        <v>3334</v>
      </c>
      <c r="F761" s="449" t="s">
        <v>3334</v>
      </c>
      <c r="G761" s="451"/>
      <c r="H761" s="451" t="s">
        <v>2970</v>
      </c>
      <c r="I761" s="445">
        <v>38280</v>
      </c>
      <c r="J761" s="445"/>
      <c r="K761" s="446"/>
      <c r="M761" s="469">
        <f t="shared" si="23"/>
        <v>38280</v>
      </c>
      <c r="N761" s="453">
        <v>31900.000000000004</v>
      </c>
      <c r="O761" s="454"/>
      <c r="P761" s="454"/>
      <c r="Q761" s="454"/>
      <c r="R761" s="454"/>
      <c r="S761" s="455"/>
    </row>
    <row r="762" spans="1:19" hidden="1">
      <c r="A762" s="446">
        <v>24</v>
      </c>
      <c r="B762" s="447" t="s">
        <v>3371</v>
      </c>
      <c r="C762" s="448"/>
      <c r="D762" s="448"/>
      <c r="E762" s="448" t="s">
        <v>3319</v>
      </c>
      <c r="F762" s="449" t="s">
        <v>3319</v>
      </c>
      <c r="G762" s="451"/>
      <c r="H762" s="451" t="s">
        <v>2970</v>
      </c>
      <c r="I762" s="445">
        <v>38280</v>
      </c>
      <c r="J762" s="445"/>
      <c r="K762" s="446"/>
      <c r="M762" s="469">
        <f t="shared" si="23"/>
        <v>38280</v>
      </c>
      <c r="N762" s="453">
        <v>31900.000000000004</v>
      </c>
      <c r="O762" s="454"/>
      <c r="P762" s="454"/>
      <c r="Q762" s="454"/>
      <c r="R762" s="454"/>
      <c r="S762" s="455"/>
    </row>
    <row r="763" spans="1:19" hidden="1">
      <c r="A763" s="446">
        <v>25</v>
      </c>
      <c r="B763" s="447" t="s">
        <v>3371</v>
      </c>
      <c r="C763" s="448"/>
      <c r="D763" s="448"/>
      <c r="E763" s="448" t="s">
        <v>3320</v>
      </c>
      <c r="F763" s="449" t="s">
        <v>3320</v>
      </c>
      <c r="G763" s="451"/>
      <c r="H763" s="451" t="s">
        <v>2970</v>
      </c>
      <c r="I763" s="445">
        <v>38280</v>
      </c>
      <c r="J763" s="445"/>
      <c r="K763" s="446"/>
      <c r="M763" s="469">
        <f t="shared" si="23"/>
        <v>38280</v>
      </c>
      <c r="N763" s="453">
        <v>31900.000000000004</v>
      </c>
      <c r="O763" s="454"/>
      <c r="P763" s="454"/>
      <c r="Q763" s="454"/>
      <c r="R763" s="454"/>
      <c r="S763" s="455"/>
    </row>
    <row r="764" spans="1:19" hidden="1">
      <c r="A764" s="446">
        <v>26</v>
      </c>
      <c r="B764" s="447" t="s">
        <v>3371</v>
      </c>
      <c r="C764" s="448"/>
      <c r="D764" s="448"/>
      <c r="E764" s="448" t="s">
        <v>3324</v>
      </c>
      <c r="F764" s="449" t="s">
        <v>3324</v>
      </c>
      <c r="G764" s="451"/>
      <c r="H764" s="451" t="s">
        <v>2970</v>
      </c>
      <c r="I764" s="445">
        <v>34320</v>
      </c>
      <c r="J764" s="445"/>
      <c r="K764" s="446"/>
      <c r="M764" s="469">
        <f t="shared" si="23"/>
        <v>34320</v>
      </c>
      <c r="N764" s="453">
        <v>28600.000000000004</v>
      </c>
      <c r="O764" s="454"/>
      <c r="P764" s="454"/>
      <c r="Q764" s="454"/>
      <c r="R764" s="454"/>
      <c r="S764" s="455"/>
    </row>
    <row r="765" spans="1:19" hidden="1">
      <c r="A765" s="446">
        <v>27</v>
      </c>
      <c r="B765" s="447" t="s">
        <v>3371</v>
      </c>
      <c r="C765" s="448"/>
      <c r="D765" s="448"/>
      <c r="E765" s="448" t="s">
        <v>3346</v>
      </c>
      <c r="F765" s="449" t="s">
        <v>3319</v>
      </c>
      <c r="G765" s="451"/>
      <c r="H765" s="451" t="s">
        <v>2970</v>
      </c>
      <c r="I765" s="445">
        <v>38280</v>
      </c>
      <c r="J765" s="445"/>
      <c r="K765" s="446"/>
      <c r="M765" s="469">
        <f t="shared" si="23"/>
        <v>38280</v>
      </c>
      <c r="N765" s="453">
        <v>31900.000000000004</v>
      </c>
      <c r="O765" s="454"/>
      <c r="P765" s="454"/>
      <c r="Q765" s="454"/>
      <c r="R765" s="454"/>
      <c r="S765" s="455"/>
    </row>
    <row r="766" spans="1:19">
      <c r="A766" s="446"/>
      <c r="B766" s="447"/>
      <c r="C766" s="448"/>
      <c r="D766" s="448"/>
      <c r="E766" s="448"/>
      <c r="F766" s="449"/>
      <c r="G766" s="451"/>
      <c r="H766" s="451"/>
      <c r="I766" s="445"/>
      <c r="J766" s="445"/>
      <c r="K766" s="446"/>
      <c r="M766" s="469">
        <f t="shared" si="23"/>
        <v>0</v>
      </c>
      <c r="N766" s="453"/>
      <c r="O766" s="454"/>
      <c r="P766" s="454"/>
      <c r="Q766" s="454"/>
      <c r="R766" s="454"/>
      <c r="S766" s="455"/>
    </row>
    <row r="767" spans="1:19">
      <c r="A767" s="477" t="s">
        <v>703</v>
      </c>
      <c r="B767" s="484" t="s">
        <v>3971</v>
      </c>
      <c r="C767" s="485"/>
      <c r="D767" s="485"/>
      <c r="E767" s="448"/>
      <c r="F767" s="449"/>
      <c r="G767" s="451"/>
      <c r="H767" s="451"/>
      <c r="I767" s="445"/>
      <c r="J767" s="445"/>
      <c r="K767" s="446"/>
      <c r="M767" s="469">
        <f t="shared" si="23"/>
        <v>0</v>
      </c>
      <c r="N767" s="453"/>
      <c r="O767" s="454"/>
      <c r="P767" s="454"/>
      <c r="Q767" s="454"/>
      <c r="R767" s="454"/>
      <c r="S767" s="455"/>
    </row>
    <row r="768" spans="1:19">
      <c r="A768" s="446">
        <v>1</v>
      </c>
      <c r="B768" s="447" t="s">
        <v>3373</v>
      </c>
      <c r="C768" s="448"/>
      <c r="D768" s="448"/>
      <c r="E768" s="448"/>
      <c r="F768" s="449"/>
      <c r="G768" s="451"/>
      <c r="H768" s="451" t="s">
        <v>3106</v>
      </c>
      <c r="I768" s="445">
        <v>6011640</v>
      </c>
      <c r="J768" s="445"/>
      <c r="K768" s="446"/>
      <c r="M768" s="469">
        <f t="shared" si="23"/>
        <v>6011640</v>
      </c>
      <c r="N768" s="453">
        <v>5009700</v>
      </c>
      <c r="O768" s="454"/>
      <c r="P768" s="454"/>
      <c r="Q768" s="454"/>
      <c r="R768" s="454"/>
      <c r="S768" s="455"/>
    </row>
    <row r="769" spans="1:19">
      <c r="A769" s="446">
        <v>2</v>
      </c>
      <c r="B769" s="447" t="s">
        <v>3374</v>
      </c>
      <c r="C769" s="448"/>
      <c r="D769" s="448"/>
      <c r="E769" s="448"/>
      <c r="F769" s="449"/>
      <c r="G769" s="451"/>
      <c r="H769" s="451" t="s">
        <v>3106</v>
      </c>
      <c r="I769" s="445">
        <v>8029800</v>
      </c>
      <c r="J769" s="445"/>
      <c r="K769" s="446"/>
      <c r="M769" s="469">
        <f t="shared" si="23"/>
        <v>8029800</v>
      </c>
      <c r="N769" s="453">
        <v>6691500</v>
      </c>
      <c r="O769" s="454"/>
      <c r="P769" s="454"/>
      <c r="Q769" s="454"/>
      <c r="R769" s="454"/>
      <c r="S769" s="455"/>
    </row>
    <row r="770" spans="1:19">
      <c r="A770" s="446">
        <v>3</v>
      </c>
      <c r="B770" s="447" t="s">
        <v>3375</v>
      </c>
      <c r="C770" s="448"/>
      <c r="D770" s="448"/>
      <c r="E770" s="448"/>
      <c r="F770" s="449"/>
      <c r="G770" s="451"/>
      <c r="H770" s="451" t="s">
        <v>3106</v>
      </c>
      <c r="I770" s="445">
        <v>9076920</v>
      </c>
      <c r="J770" s="445"/>
      <c r="K770" s="446"/>
      <c r="M770" s="469">
        <f t="shared" si="23"/>
        <v>9076920</v>
      </c>
      <c r="N770" s="453">
        <v>7564100</v>
      </c>
      <c r="O770" s="454"/>
      <c r="P770" s="454"/>
      <c r="Q770" s="454"/>
      <c r="R770" s="454"/>
      <c r="S770" s="455"/>
    </row>
    <row r="771" spans="1:19">
      <c r="A771" s="446">
        <v>4</v>
      </c>
      <c r="B771" s="447" t="s">
        <v>3376</v>
      </c>
      <c r="C771" s="448"/>
      <c r="D771" s="448"/>
      <c r="E771" s="448"/>
      <c r="F771" s="449"/>
      <c r="G771" s="451"/>
      <c r="H771" s="451" t="s">
        <v>1423</v>
      </c>
      <c r="I771" s="445">
        <v>3816240</v>
      </c>
      <c r="J771" s="445"/>
      <c r="K771" s="446"/>
      <c r="M771" s="469">
        <f t="shared" si="23"/>
        <v>3816240</v>
      </c>
      <c r="N771" s="453">
        <v>3180200</v>
      </c>
      <c r="O771" s="454"/>
      <c r="P771" s="454"/>
      <c r="Q771" s="454"/>
      <c r="R771" s="454"/>
      <c r="S771" s="455"/>
    </row>
    <row r="772" spans="1:19">
      <c r="A772" s="446">
        <v>5</v>
      </c>
      <c r="B772" s="447" t="s">
        <v>3377</v>
      </c>
      <c r="C772" s="448"/>
      <c r="D772" s="448"/>
      <c r="E772" s="448"/>
      <c r="F772" s="449"/>
      <c r="G772" s="451"/>
      <c r="H772" s="451" t="s">
        <v>1423</v>
      </c>
      <c r="I772" s="445">
        <v>3816240</v>
      </c>
      <c r="J772" s="445"/>
      <c r="K772" s="446"/>
      <c r="M772" s="469">
        <f t="shared" si="23"/>
        <v>3816240</v>
      </c>
      <c r="N772" s="453">
        <v>3180200</v>
      </c>
      <c r="O772" s="454"/>
      <c r="P772" s="454"/>
      <c r="Q772" s="454"/>
      <c r="R772" s="454"/>
      <c r="S772" s="455"/>
    </row>
    <row r="773" spans="1:19">
      <c r="A773" s="446">
        <v>6</v>
      </c>
      <c r="B773" s="447" t="s">
        <v>3916</v>
      </c>
      <c r="C773" s="448"/>
      <c r="D773" s="448"/>
      <c r="E773" s="448"/>
      <c r="F773" s="449"/>
      <c r="G773" s="451"/>
      <c r="H773" s="451" t="s">
        <v>1423</v>
      </c>
      <c r="I773" s="445">
        <v>1511880</v>
      </c>
      <c r="J773" s="445"/>
      <c r="K773" s="446"/>
      <c r="M773" s="469">
        <f t="shared" si="23"/>
        <v>1511880</v>
      </c>
      <c r="N773" s="453">
        <v>1259900</v>
      </c>
      <c r="O773" s="454"/>
      <c r="P773" s="454"/>
      <c r="Q773" s="454"/>
      <c r="R773" s="454"/>
      <c r="S773" s="455"/>
    </row>
    <row r="774" spans="1:19">
      <c r="A774" s="446">
        <v>7</v>
      </c>
      <c r="B774" s="447" t="s">
        <v>3917</v>
      </c>
      <c r="C774" s="448"/>
      <c r="D774" s="448"/>
      <c r="E774" s="448"/>
      <c r="F774" s="449"/>
      <c r="G774" s="451"/>
      <c r="H774" s="451" t="s">
        <v>1423</v>
      </c>
      <c r="I774" s="445">
        <v>101880</v>
      </c>
      <c r="J774" s="445"/>
      <c r="K774" s="446"/>
      <c r="M774" s="469">
        <f t="shared" si="23"/>
        <v>101880</v>
      </c>
      <c r="N774" s="453">
        <v>84900</v>
      </c>
      <c r="O774" s="454"/>
      <c r="P774" s="454"/>
      <c r="Q774" s="454"/>
      <c r="R774" s="454"/>
      <c r="S774" s="455"/>
    </row>
    <row r="775" spans="1:19">
      <c r="A775" s="446">
        <v>8</v>
      </c>
      <c r="B775" s="447" t="s">
        <v>3378</v>
      </c>
      <c r="C775" s="448"/>
      <c r="D775" s="448"/>
      <c r="E775" s="448"/>
      <c r="F775" s="449"/>
      <c r="G775" s="451"/>
      <c r="H775" s="451" t="s">
        <v>1423</v>
      </c>
      <c r="I775" s="445">
        <v>475560</v>
      </c>
      <c r="J775" s="445"/>
      <c r="K775" s="446"/>
      <c r="M775" s="469">
        <f t="shared" si="23"/>
        <v>475560</v>
      </c>
      <c r="N775" s="453">
        <v>396300</v>
      </c>
      <c r="O775" s="454"/>
      <c r="P775" s="454"/>
      <c r="Q775" s="454"/>
      <c r="R775" s="454"/>
      <c r="S775" s="455"/>
    </row>
    <row r="776" spans="1:19">
      <c r="A776" s="446">
        <v>9</v>
      </c>
      <c r="B776" s="447" t="s">
        <v>3379</v>
      </c>
      <c r="C776" s="448"/>
      <c r="D776" s="448"/>
      <c r="E776" s="448"/>
      <c r="F776" s="449"/>
      <c r="G776" s="451"/>
      <c r="H776" s="451" t="s">
        <v>1423</v>
      </c>
      <c r="I776" s="445">
        <v>291000</v>
      </c>
      <c r="J776" s="445"/>
      <c r="K776" s="446"/>
      <c r="M776" s="469">
        <f t="shared" si="23"/>
        <v>291000</v>
      </c>
      <c r="N776" s="453">
        <v>242500</v>
      </c>
      <c r="O776" s="454"/>
      <c r="P776" s="454"/>
      <c r="Q776" s="454"/>
      <c r="R776" s="454"/>
      <c r="S776" s="455"/>
    </row>
    <row r="777" spans="1:19">
      <c r="A777" s="446">
        <v>10</v>
      </c>
      <c r="B777" s="447" t="s">
        <v>3918</v>
      </c>
      <c r="C777" s="448"/>
      <c r="D777" s="448"/>
      <c r="E777" s="448"/>
      <c r="F777" s="449"/>
      <c r="G777" s="451"/>
      <c r="H777" s="451" t="s">
        <v>1423</v>
      </c>
      <c r="I777" s="445">
        <v>291000</v>
      </c>
      <c r="J777" s="445"/>
      <c r="K777" s="446"/>
      <c r="M777" s="469">
        <f t="shared" ref="M777:M821" si="24">N777*1.2</f>
        <v>291000</v>
      </c>
      <c r="N777" s="453">
        <v>242500</v>
      </c>
      <c r="O777" s="454"/>
      <c r="P777" s="454"/>
      <c r="Q777" s="454"/>
      <c r="R777" s="454"/>
      <c r="S777" s="455"/>
    </row>
    <row r="778" spans="1:19">
      <c r="A778" s="446">
        <v>11</v>
      </c>
      <c r="B778" s="447" t="s">
        <v>3380</v>
      </c>
      <c r="C778" s="448"/>
      <c r="D778" s="448"/>
      <c r="E778" s="448"/>
      <c r="F778" s="449"/>
      <c r="G778" s="451"/>
      <c r="H778" s="451" t="s">
        <v>853</v>
      </c>
      <c r="I778" s="445">
        <v>5984880</v>
      </c>
      <c r="J778" s="445"/>
      <c r="K778" s="446"/>
      <c r="M778" s="469">
        <f t="shared" si="24"/>
        <v>5984880</v>
      </c>
      <c r="N778" s="453">
        <v>4987400</v>
      </c>
      <c r="O778" s="454"/>
      <c r="P778" s="454"/>
      <c r="Q778" s="454"/>
      <c r="R778" s="454"/>
      <c r="S778" s="455"/>
    </row>
    <row r="779" spans="1:19">
      <c r="A779" s="446">
        <v>12</v>
      </c>
      <c r="B779" s="447" t="s">
        <v>3381</v>
      </c>
      <c r="C779" s="448"/>
      <c r="D779" s="448"/>
      <c r="E779" s="448"/>
      <c r="F779" s="449"/>
      <c r="G779" s="451"/>
      <c r="H779" s="451" t="s">
        <v>853</v>
      </c>
      <c r="I779" s="445">
        <v>605880</v>
      </c>
      <c r="J779" s="445"/>
      <c r="K779" s="446"/>
      <c r="M779" s="469">
        <f t="shared" si="24"/>
        <v>605880</v>
      </c>
      <c r="N779" s="453">
        <v>504900</v>
      </c>
      <c r="O779" s="454"/>
      <c r="P779" s="454"/>
      <c r="Q779" s="454"/>
      <c r="R779" s="454"/>
      <c r="S779" s="455"/>
    </row>
    <row r="780" spans="1:19">
      <c r="A780" s="446">
        <v>13</v>
      </c>
      <c r="B780" s="447" t="s">
        <v>3382</v>
      </c>
      <c r="C780" s="448"/>
      <c r="D780" s="448"/>
      <c r="E780" s="448"/>
      <c r="F780" s="449"/>
      <c r="G780" s="451"/>
      <c r="H780" s="451" t="s">
        <v>2667</v>
      </c>
      <c r="I780" s="445">
        <v>12263640</v>
      </c>
      <c r="J780" s="445"/>
      <c r="K780" s="446"/>
      <c r="M780" s="469">
        <f t="shared" si="24"/>
        <v>12263640</v>
      </c>
      <c r="N780" s="453">
        <v>10219700</v>
      </c>
      <c r="O780" s="454"/>
      <c r="P780" s="454"/>
      <c r="Q780" s="454"/>
      <c r="R780" s="454"/>
      <c r="S780" s="455"/>
    </row>
    <row r="781" spans="1:19">
      <c r="A781" s="446">
        <v>14</v>
      </c>
      <c r="B781" s="447" t="s">
        <v>3383</v>
      </c>
      <c r="C781" s="448"/>
      <c r="D781" s="448"/>
      <c r="E781" s="448"/>
      <c r="F781" s="449"/>
      <c r="G781" s="451"/>
      <c r="H781" s="451" t="s">
        <v>1423</v>
      </c>
      <c r="I781" s="445">
        <v>6612240</v>
      </c>
      <c r="J781" s="445"/>
      <c r="K781" s="446"/>
      <c r="M781" s="469">
        <f t="shared" si="24"/>
        <v>6612240</v>
      </c>
      <c r="N781" s="453">
        <v>5510200</v>
      </c>
      <c r="O781" s="454"/>
      <c r="P781" s="454"/>
      <c r="Q781" s="454"/>
      <c r="R781" s="454"/>
      <c r="S781" s="455"/>
    </row>
    <row r="782" spans="1:19">
      <c r="A782" s="446">
        <v>15</v>
      </c>
      <c r="B782" s="447" t="s">
        <v>3384</v>
      </c>
      <c r="C782" s="448"/>
      <c r="D782" s="448"/>
      <c r="E782" s="448"/>
      <c r="F782" s="449"/>
      <c r="G782" s="451"/>
      <c r="H782" s="451" t="s">
        <v>1423</v>
      </c>
      <c r="I782" s="445">
        <v>555960</v>
      </c>
      <c r="J782" s="445"/>
      <c r="K782" s="446"/>
      <c r="M782" s="469">
        <f t="shared" si="24"/>
        <v>555960</v>
      </c>
      <c r="N782" s="453">
        <v>463300</v>
      </c>
      <c r="O782" s="454"/>
      <c r="P782" s="454"/>
      <c r="Q782" s="454"/>
      <c r="R782" s="454"/>
      <c r="S782" s="455"/>
    </row>
    <row r="783" spans="1:19">
      <c r="A783" s="446">
        <v>16</v>
      </c>
      <c r="B783" s="447" t="s">
        <v>3385</v>
      </c>
      <c r="C783" s="448"/>
      <c r="D783" s="448"/>
      <c r="E783" s="448"/>
      <c r="F783" s="449"/>
      <c r="G783" s="451"/>
      <c r="H783" s="451" t="s">
        <v>1423</v>
      </c>
      <c r="I783" s="445">
        <v>112320</v>
      </c>
      <c r="J783" s="445"/>
      <c r="K783" s="446"/>
      <c r="M783" s="469">
        <f t="shared" si="24"/>
        <v>112320</v>
      </c>
      <c r="N783" s="453">
        <v>93600</v>
      </c>
      <c r="O783" s="454"/>
      <c r="P783" s="454"/>
      <c r="Q783" s="454"/>
      <c r="R783" s="454"/>
      <c r="S783" s="455"/>
    </row>
    <row r="784" spans="1:19">
      <c r="A784" s="446">
        <v>17</v>
      </c>
      <c r="B784" s="447" t="s">
        <v>3386</v>
      </c>
      <c r="C784" s="448"/>
      <c r="D784" s="448"/>
      <c r="E784" s="448"/>
      <c r="F784" s="449"/>
      <c r="G784" s="451"/>
      <c r="H784" s="451" t="s">
        <v>773</v>
      </c>
      <c r="I784" s="445">
        <v>2400</v>
      </c>
      <c r="J784" s="445"/>
      <c r="K784" s="446"/>
      <c r="M784" s="469">
        <f t="shared" si="24"/>
        <v>2400</v>
      </c>
      <c r="N784" s="453">
        <v>2000</v>
      </c>
      <c r="O784" s="454"/>
      <c r="P784" s="454"/>
      <c r="Q784" s="454"/>
      <c r="R784" s="454"/>
      <c r="S784" s="455"/>
    </row>
    <row r="785" spans="1:19">
      <c r="A785" s="446">
        <v>18</v>
      </c>
      <c r="B785" s="447" t="s">
        <v>3387</v>
      </c>
      <c r="C785" s="448"/>
      <c r="D785" s="448"/>
      <c r="E785" s="448"/>
      <c r="F785" s="449"/>
      <c r="G785" s="451"/>
      <c r="H785" s="451" t="s">
        <v>773</v>
      </c>
      <c r="I785" s="445">
        <v>2400</v>
      </c>
      <c r="J785" s="445"/>
      <c r="K785" s="446"/>
      <c r="M785" s="469">
        <f t="shared" si="24"/>
        <v>2400</v>
      </c>
      <c r="N785" s="453">
        <v>2000</v>
      </c>
      <c r="O785" s="454"/>
      <c r="P785" s="454"/>
      <c r="Q785" s="454"/>
      <c r="R785" s="454"/>
      <c r="S785" s="455"/>
    </row>
    <row r="786" spans="1:19">
      <c r="A786" s="446">
        <v>19</v>
      </c>
      <c r="B786" s="447" t="s">
        <v>3388</v>
      </c>
      <c r="C786" s="448"/>
      <c r="D786" s="448"/>
      <c r="E786" s="448"/>
      <c r="F786" s="449"/>
      <c r="G786" s="451"/>
      <c r="H786" s="451" t="s">
        <v>773</v>
      </c>
      <c r="I786" s="445">
        <v>2400</v>
      </c>
      <c r="J786" s="445"/>
      <c r="K786" s="446"/>
      <c r="M786" s="469">
        <f t="shared" si="24"/>
        <v>2400</v>
      </c>
      <c r="N786" s="453">
        <v>2000</v>
      </c>
      <c r="O786" s="454"/>
      <c r="P786" s="454"/>
      <c r="Q786" s="454"/>
      <c r="R786" s="454"/>
      <c r="S786" s="455"/>
    </row>
    <row r="787" spans="1:19">
      <c r="A787" s="446">
        <v>20</v>
      </c>
      <c r="B787" s="447" t="s">
        <v>3389</v>
      </c>
      <c r="C787" s="448"/>
      <c r="D787" s="448"/>
      <c r="E787" s="448"/>
      <c r="F787" s="449"/>
      <c r="G787" s="451"/>
      <c r="H787" s="451" t="s">
        <v>773</v>
      </c>
      <c r="I787" s="445">
        <v>2160</v>
      </c>
      <c r="J787" s="445"/>
      <c r="K787" s="446"/>
      <c r="M787" s="469">
        <f t="shared" si="24"/>
        <v>2160</v>
      </c>
      <c r="N787" s="453">
        <v>1800</v>
      </c>
      <c r="O787" s="454"/>
      <c r="P787" s="454"/>
      <c r="Q787" s="454"/>
      <c r="R787" s="454"/>
      <c r="S787" s="455"/>
    </row>
    <row r="788" spans="1:19">
      <c r="A788" s="446">
        <v>21</v>
      </c>
      <c r="B788" s="447" t="s">
        <v>3390</v>
      </c>
      <c r="C788" s="448"/>
      <c r="D788" s="448"/>
      <c r="E788" s="448"/>
      <c r="F788" s="449"/>
      <c r="G788" s="451"/>
      <c r="H788" s="451" t="s">
        <v>1423</v>
      </c>
      <c r="I788" s="445">
        <v>166680</v>
      </c>
      <c r="J788" s="445"/>
      <c r="K788" s="446"/>
      <c r="M788" s="469">
        <f t="shared" si="24"/>
        <v>166680</v>
      </c>
      <c r="N788" s="453">
        <v>138900</v>
      </c>
      <c r="O788" s="454"/>
      <c r="P788" s="454"/>
      <c r="Q788" s="454"/>
      <c r="R788" s="454"/>
      <c r="S788" s="455"/>
    </row>
    <row r="789" spans="1:19">
      <c r="A789" s="446">
        <v>22</v>
      </c>
      <c r="B789" s="447" t="s">
        <v>3391</v>
      </c>
      <c r="C789" s="448"/>
      <c r="D789" s="448"/>
      <c r="E789" s="448"/>
      <c r="F789" s="449"/>
      <c r="G789" s="451"/>
      <c r="H789" s="451" t="s">
        <v>1423</v>
      </c>
      <c r="I789" s="445">
        <v>8640</v>
      </c>
      <c r="J789" s="445"/>
      <c r="K789" s="446"/>
      <c r="M789" s="469">
        <f t="shared" si="24"/>
        <v>8640</v>
      </c>
      <c r="N789" s="453">
        <v>7200</v>
      </c>
      <c r="O789" s="454"/>
      <c r="P789" s="454"/>
      <c r="Q789" s="454"/>
      <c r="R789" s="454"/>
      <c r="S789" s="455"/>
    </row>
    <row r="790" spans="1:19">
      <c r="A790" s="446">
        <v>23</v>
      </c>
      <c r="B790" s="447" t="s">
        <v>3392</v>
      </c>
      <c r="C790" s="448"/>
      <c r="D790" s="448"/>
      <c r="E790" s="448"/>
      <c r="F790" s="449"/>
      <c r="G790" s="451"/>
      <c r="H790" s="451" t="s">
        <v>1423</v>
      </c>
      <c r="I790" s="445">
        <v>122280</v>
      </c>
      <c r="J790" s="445"/>
      <c r="K790" s="446"/>
      <c r="M790" s="469">
        <f t="shared" si="24"/>
        <v>122280</v>
      </c>
      <c r="N790" s="453">
        <v>101900</v>
      </c>
      <c r="O790" s="454"/>
      <c r="P790" s="454"/>
      <c r="Q790" s="454"/>
      <c r="R790" s="454"/>
      <c r="S790" s="455"/>
    </row>
    <row r="791" spans="1:19">
      <c r="A791" s="446">
        <v>24</v>
      </c>
      <c r="B791" s="447" t="s">
        <v>3393</v>
      </c>
      <c r="C791" s="448"/>
      <c r="D791" s="448"/>
      <c r="E791" s="448"/>
      <c r="F791" s="449"/>
      <c r="G791" s="451"/>
      <c r="H791" s="451" t="s">
        <v>1423</v>
      </c>
      <c r="I791" s="445">
        <v>33960</v>
      </c>
      <c r="J791" s="445"/>
      <c r="K791" s="446"/>
      <c r="M791" s="469">
        <f t="shared" si="24"/>
        <v>33960</v>
      </c>
      <c r="N791" s="453">
        <v>28300</v>
      </c>
      <c r="O791" s="454"/>
      <c r="P791" s="454"/>
      <c r="Q791" s="454"/>
      <c r="R791" s="454"/>
      <c r="S791" s="455"/>
    </row>
    <row r="792" spans="1:19">
      <c r="A792" s="446">
        <v>25</v>
      </c>
      <c r="B792" s="447" t="s">
        <v>3394</v>
      </c>
      <c r="C792" s="448"/>
      <c r="D792" s="448"/>
      <c r="E792" s="448"/>
      <c r="F792" s="449"/>
      <c r="G792" s="451"/>
      <c r="H792" s="451" t="s">
        <v>2997</v>
      </c>
      <c r="I792" s="445">
        <v>9146040</v>
      </c>
      <c r="J792" s="445"/>
      <c r="K792" s="446"/>
      <c r="M792" s="469">
        <f t="shared" si="24"/>
        <v>9146040</v>
      </c>
      <c r="N792" s="453">
        <v>7621700</v>
      </c>
      <c r="O792" s="454"/>
      <c r="P792" s="454"/>
      <c r="Q792" s="454"/>
      <c r="R792" s="454"/>
      <c r="S792" s="455"/>
    </row>
    <row r="793" spans="1:19">
      <c r="A793" s="446">
        <v>26</v>
      </c>
      <c r="B793" s="447" t="s">
        <v>3972</v>
      </c>
      <c r="C793" s="448"/>
      <c r="D793" s="448"/>
      <c r="E793" s="448"/>
      <c r="F793" s="449"/>
      <c r="G793" s="451"/>
      <c r="H793" s="451" t="s">
        <v>2997</v>
      </c>
      <c r="I793" s="445">
        <v>15756000</v>
      </c>
      <c r="J793" s="445"/>
      <c r="K793" s="446"/>
      <c r="M793" s="469">
        <f t="shared" si="24"/>
        <v>15756000</v>
      </c>
      <c r="N793" s="453">
        <v>13130000</v>
      </c>
      <c r="O793" s="454"/>
      <c r="P793" s="454"/>
      <c r="Q793" s="454"/>
      <c r="R793" s="454"/>
      <c r="S793" s="455"/>
    </row>
    <row r="794" spans="1:19">
      <c r="A794" s="446"/>
      <c r="B794" s="447"/>
      <c r="C794" s="448"/>
      <c r="D794" s="448"/>
      <c r="E794" s="448"/>
      <c r="F794" s="449"/>
      <c r="G794" s="451"/>
      <c r="H794" s="451"/>
      <c r="I794" s="445"/>
      <c r="J794" s="445"/>
      <c r="K794" s="446"/>
      <c r="M794" s="469">
        <f t="shared" si="24"/>
        <v>0</v>
      </c>
      <c r="N794" s="453"/>
      <c r="O794" s="454"/>
      <c r="P794" s="454"/>
      <c r="Q794" s="454"/>
      <c r="R794" s="454"/>
      <c r="S794" s="455"/>
    </row>
    <row r="795" spans="1:19">
      <c r="A795" s="589" t="s">
        <v>706</v>
      </c>
      <c r="B795" s="484" t="s">
        <v>3395</v>
      </c>
      <c r="C795" s="485"/>
      <c r="D795" s="485"/>
      <c r="E795" s="448"/>
      <c r="F795" s="449"/>
      <c r="G795" s="451"/>
      <c r="H795" s="451"/>
      <c r="I795" s="445"/>
      <c r="J795" s="445"/>
      <c r="K795" s="446"/>
      <c r="M795" s="469">
        <f t="shared" si="24"/>
        <v>0</v>
      </c>
      <c r="N795" s="453"/>
      <c r="O795" s="454"/>
      <c r="P795" s="454"/>
      <c r="Q795" s="454"/>
      <c r="R795" s="454"/>
      <c r="S795" s="455"/>
    </row>
    <row r="796" spans="1:19">
      <c r="A796" s="446">
        <v>1</v>
      </c>
      <c r="B796" s="447" t="s">
        <v>3396</v>
      </c>
      <c r="C796" s="448"/>
      <c r="D796" s="448"/>
      <c r="E796" s="448"/>
      <c r="F796" s="449"/>
      <c r="G796" s="451"/>
      <c r="H796" s="451" t="s">
        <v>2970</v>
      </c>
      <c r="I796" s="445">
        <v>537720</v>
      </c>
      <c r="J796" s="445"/>
      <c r="K796" s="446"/>
      <c r="M796" s="469">
        <f t="shared" si="24"/>
        <v>537720</v>
      </c>
      <c r="N796" s="453">
        <v>448100</v>
      </c>
      <c r="O796" s="454"/>
      <c r="P796" s="454"/>
      <c r="Q796" s="454"/>
      <c r="R796" s="454"/>
      <c r="S796" s="455"/>
    </row>
    <row r="797" spans="1:19">
      <c r="A797" s="446">
        <v>2</v>
      </c>
      <c r="B797" s="447" t="s">
        <v>3397</v>
      </c>
      <c r="C797" s="448"/>
      <c r="D797" s="448"/>
      <c r="E797" s="448"/>
      <c r="F797" s="449"/>
      <c r="G797" s="451"/>
      <c r="H797" s="451" t="s">
        <v>2970</v>
      </c>
      <c r="I797" s="445">
        <v>816720</v>
      </c>
      <c r="J797" s="445"/>
      <c r="K797" s="446"/>
      <c r="M797" s="469">
        <f t="shared" si="24"/>
        <v>816720</v>
      </c>
      <c r="N797" s="453">
        <v>680600</v>
      </c>
      <c r="O797" s="454"/>
      <c r="P797" s="454"/>
      <c r="Q797" s="454"/>
      <c r="R797" s="454"/>
      <c r="S797" s="455"/>
    </row>
    <row r="798" spans="1:19">
      <c r="A798" s="446">
        <v>3</v>
      </c>
      <c r="B798" s="447" t="s">
        <v>3398</v>
      </c>
      <c r="C798" s="448"/>
      <c r="D798" s="448"/>
      <c r="E798" s="448"/>
      <c r="F798" s="449"/>
      <c r="G798" s="451"/>
      <c r="H798" s="451" t="s">
        <v>2970</v>
      </c>
      <c r="I798" s="445">
        <v>1684800</v>
      </c>
      <c r="J798" s="445"/>
      <c r="K798" s="446"/>
      <c r="M798" s="469">
        <f t="shared" si="24"/>
        <v>1684800</v>
      </c>
      <c r="N798" s="453">
        <v>1404000</v>
      </c>
      <c r="O798" s="454"/>
      <c r="P798" s="454"/>
      <c r="Q798" s="454"/>
      <c r="R798" s="454"/>
      <c r="S798" s="455"/>
    </row>
    <row r="799" spans="1:19">
      <c r="A799" s="446">
        <v>4</v>
      </c>
      <c r="B799" s="447" t="s">
        <v>3399</v>
      </c>
      <c r="C799" s="448"/>
      <c r="D799" s="448"/>
      <c r="E799" s="448"/>
      <c r="F799" s="449"/>
      <c r="G799" s="451"/>
      <c r="H799" s="451" t="s">
        <v>1423</v>
      </c>
      <c r="I799" s="445">
        <v>730080</v>
      </c>
      <c r="J799" s="445"/>
      <c r="K799" s="446"/>
      <c r="M799" s="469">
        <f t="shared" si="24"/>
        <v>730080</v>
      </c>
      <c r="N799" s="453">
        <v>608400</v>
      </c>
      <c r="O799" s="454"/>
      <c r="P799" s="454"/>
      <c r="Q799" s="454"/>
      <c r="R799" s="454"/>
      <c r="S799" s="455"/>
    </row>
    <row r="800" spans="1:19">
      <c r="A800" s="446">
        <v>5</v>
      </c>
      <c r="B800" s="447" t="s">
        <v>3905</v>
      </c>
      <c r="C800" s="448"/>
      <c r="D800" s="448"/>
      <c r="E800" s="448"/>
      <c r="F800" s="449"/>
      <c r="G800" s="451"/>
      <c r="H800" s="451" t="s">
        <v>1423</v>
      </c>
      <c r="I800" s="445">
        <v>575640</v>
      </c>
      <c r="J800" s="445"/>
      <c r="K800" s="446"/>
      <c r="M800" s="469">
        <f t="shared" si="24"/>
        <v>575640</v>
      </c>
      <c r="N800" s="453">
        <v>479700</v>
      </c>
      <c r="O800" s="454"/>
      <c r="P800" s="454"/>
      <c r="Q800" s="454"/>
      <c r="R800" s="454"/>
      <c r="S800" s="455"/>
    </row>
    <row r="801" spans="1:19">
      <c r="A801" s="446">
        <v>6</v>
      </c>
      <c r="B801" s="447" t="s">
        <v>3400</v>
      </c>
      <c r="C801" s="448"/>
      <c r="D801" s="448"/>
      <c r="E801" s="448"/>
      <c r="F801" s="449"/>
      <c r="G801" s="451"/>
      <c r="H801" s="451" t="s">
        <v>1423</v>
      </c>
      <c r="I801" s="445">
        <v>91200</v>
      </c>
      <c r="J801" s="445"/>
      <c r="K801" s="446"/>
      <c r="M801" s="469">
        <f t="shared" si="24"/>
        <v>91200</v>
      </c>
      <c r="N801" s="453">
        <v>76000</v>
      </c>
      <c r="O801" s="454"/>
      <c r="P801" s="454"/>
      <c r="Q801" s="454"/>
      <c r="R801" s="454"/>
      <c r="S801" s="455"/>
    </row>
    <row r="802" spans="1:19">
      <c r="A802" s="446">
        <v>7</v>
      </c>
      <c r="B802" s="447" t="s">
        <v>3401</v>
      </c>
      <c r="C802" s="448"/>
      <c r="D802" s="448"/>
      <c r="E802" s="448"/>
      <c r="F802" s="449"/>
      <c r="G802" s="451"/>
      <c r="H802" s="451" t="s">
        <v>1423</v>
      </c>
      <c r="I802" s="445">
        <v>5616000</v>
      </c>
      <c r="J802" s="445"/>
      <c r="K802" s="446"/>
      <c r="M802" s="469">
        <f t="shared" si="24"/>
        <v>5616000</v>
      </c>
      <c r="N802" s="453">
        <v>4680000</v>
      </c>
      <c r="O802" s="454"/>
      <c r="P802" s="454"/>
      <c r="Q802" s="454"/>
      <c r="R802" s="454"/>
      <c r="S802" s="455"/>
    </row>
    <row r="803" spans="1:19">
      <c r="A803" s="446">
        <v>8</v>
      </c>
      <c r="B803" s="447" t="s">
        <v>3906</v>
      </c>
      <c r="C803" s="448"/>
      <c r="D803" s="448"/>
      <c r="E803" s="448"/>
      <c r="F803" s="449"/>
      <c r="G803" s="451"/>
      <c r="H803" s="451" t="s">
        <v>1423</v>
      </c>
      <c r="I803" s="445">
        <v>2196360</v>
      </c>
      <c r="J803" s="445"/>
      <c r="K803" s="446"/>
      <c r="M803" s="469">
        <f t="shared" si="24"/>
        <v>2196360</v>
      </c>
      <c r="N803" s="453">
        <v>1830300</v>
      </c>
      <c r="O803" s="454"/>
      <c r="P803" s="454"/>
      <c r="Q803" s="454"/>
      <c r="R803" s="454"/>
      <c r="S803" s="455"/>
    </row>
    <row r="804" spans="1:19">
      <c r="A804" s="446">
        <v>9</v>
      </c>
      <c r="B804" s="447" t="s">
        <v>3402</v>
      </c>
      <c r="C804" s="448"/>
      <c r="D804" s="448"/>
      <c r="E804" s="448"/>
      <c r="F804" s="449"/>
      <c r="G804" s="451"/>
      <c r="H804" s="451" t="s">
        <v>1423</v>
      </c>
      <c r="I804" s="445">
        <v>356640</v>
      </c>
      <c r="J804" s="445"/>
      <c r="K804" s="446"/>
      <c r="M804" s="469">
        <f t="shared" si="24"/>
        <v>356640</v>
      </c>
      <c r="N804" s="453">
        <v>297200</v>
      </c>
      <c r="O804" s="454"/>
      <c r="P804" s="454"/>
      <c r="Q804" s="454"/>
      <c r="R804" s="454"/>
      <c r="S804" s="455"/>
    </row>
    <row r="805" spans="1:19">
      <c r="A805" s="446">
        <v>10</v>
      </c>
      <c r="B805" s="447" t="s">
        <v>3403</v>
      </c>
      <c r="C805" s="448"/>
      <c r="D805" s="448"/>
      <c r="E805" s="448"/>
      <c r="F805" s="449"/>
      <c r="G805" s="451"/>
      <c r="H805" s="451" t="s">
        <v>1423</v>
      </c>
      <c r="I805" s="445">
        <v>79800</v>
      </c>
      <c r="J805" s="445"/>
      <c r="K805" s="446"/>
      <c r="M805" s="469">
        <f t="shared" si="24"/>
        <v>79800</v>
      </c>
      <c r="N805" s="453">
        <v>66500</v>
      </c>
      <c r="O805" s="454"/>
      <c r="P805" s="454"/>
      <c r="Q805" s="454"/>
      <c r="R805" s="454"/>
      <c r="S805" s="455"/>
    </row>
    <row r="806" spans="1:19">
      <c r="A806" s="446">
        <v>11</v>
      </c>
      <c r="B806" s="447" t="s">
        <v>3404</v>
      </c>
      <c r="C806" s="448"/>
      <c r="D806" s="448"/>
      <c r="E806" s="448"/>
      <c r="F806" s="449"/>
      <c r="G806" s="451"/>
      <c r="H806" s="451" t="s">
        <v>1423</v>
      </c>
      <c r="I806" s="445">
        <v>168480</v>
      </c>
      <c r="J806" s="445"/>
      <c r="K806" s="446"/>
      <c r="M806" s="469">
        <f t="shared" si="24"/>
        <v>168480</v>
      </c>
      <c r="N806" s="453">
        <v>140400</v>
      </c>
      <c r="O806" s="454"/>
      <c r="P806" s="454"/>
      <c r="Q806" s="454"/>
      <c r="R806" s="454"/>
      <c r="S806" s="455"/>
    </row>
    <row r="807" spans="1:19">
      <c r="A807" s="446">
        <v>12</v>
      </c>
      <c r="B807" s="447" t="s">
        <v>3405</v>
      </c>
      <c r="C807" s="448"/>
      <c r="D807" s="448"/>
      <c r="E807" s="448"/>
      <c r="F807" s="449"/>
      <c r="G807" s="451"/>
      <c r="H807" s="451" t="s">
        <v>1423</v>
      </c>
      <c r="I807" s="445">
        <v>10427400</v>
      </c>
      <c r="J807" s="445"/>
      <c r="K807" s="446"/>
      <c r="M807" s="469">
        <f t="shared" si="24"/>
        <v>10427400</v>
      </c>
      <c r="N807" s="453">
        <v>8689500</v>
      </c>
      <c r="O807" s="454"/>
      <c r="P807" s="454"/>
      <c r="Q807" s="454"/>
      <c r="R807" s="454"/>
      <c r="S807" s="455"/>
    </row>
    <row r="808" spans="1:19">
      <c r="A808" s="446">
        <v>13</v>
      </c>
      <c r="B808" s="447" t="s">
        <v>3973</v>
      </c>
      <c r="C808" s="448"/>
      <c r="D808" s="448"/>
      <c r="E808" s="448"/>
      <c r="F808" s="449"/>
      <c r="G808" s="451"/>
      <c r="H808" s="451" t="s">
        <v>1405</v>
      </c>
      <c r="I808" s="445">
        <v>29775600</v>
      </c>
      <c r="J808" s="445"/>
      <c r="K808" s="446"/>
      <c r="M808" s="469">
        <f t="shared" si="24"/>
        <v>29775600</v>
      </c>
      <c r="N808" s="453">
        <v>24813000</v>
      </c>
      <c r="O808" s="454"/>
      <c r="P808" s="454"/>
      <c r="Q808" s="454"/>
      <c r="R808" s="454"/>
      <c r="S808" s="455"/>
    </row>
    <row r="809" spans="1:19">
      <c r="A809" s="446">
        <v>14</v>
      </c>
      <c r="B809" s="447" t="s">
        <v>3907</v>
      </c>
      <c r="C809" s="448"/>
      <c r="D809" s="448"/>
      <c r="E809" s="448"/>
      <c r="F809" s="449"/>
      <c r="G809" s="451"/>
      <c r="H809" s="451" t="s">
        <v>1405</v>
      </c>
      <c r="I809" s="445">
        <v>46008000</v>
      </c>
      <c r="J809" s="445"/>
      <c r="K809" s="446"/>
      <c r="M809" s="469">
        <f t="shared" si="24"/>
        <v>46008000</v>
      </c>
      <c r="N809" s="453">
        <v>38340000</v>
      </c>
      <c r="O809" s="454"/>
      <c r="P809" s="454"/>
      <c r="Q809" s="454"/>
      <c r="R809" s="454"/>
      <c r="S809" s="455"/>
    </row>
    <row r="810" spans="1:19" ht="12.75" customHeight="1">
      <c r="A810" s="446">
        <v>15</v>
      </c>
      <c r="B810" s="1246" t="s">
        <v>3908</v>
      </c>
      <c r="C810" s="1247"/>
      <c r="D810" s="1247"/>
      <c r="E810" s="1247"/>
      <c r="F810" s="449"/>
      <c r="G810" s="451"/>
      <c r="H810" s="498" t="s">
        <v>1405</v>
      </c>
      <c r="I810" s="445">
        <v>9126000</v>
      </c>
      <c r="J810" s="445"/>
      <c r="K810" s="446"/>
      <c r="M810" s="469">
        <f t="shared" si="24"/>
        <v>9126000</v>
      </c>
      <c r="N810" s="453">
        <v>7605000</v>
      </c>
      <c r="O810" s="454"/>
      <c r="P810" s="454"/>
      <c r="Q810" s="454"/>
      <c r="R810" s="454"/>
      <c r="S810" s="455"/>
    </row>
    <row r="811" spans="1:19">
      <c r="A811" s="446">
        <v>16</v>
      </c>
      <c r="B811" s="447" t="s">
        <v>3406</v>
      </c>
      <c r="C811" s="448"/>
      <c r="D811" s="448"/>
      <c r="E811" s="448"/>
      <c r="F811" s="449"/>
      <c r="G811" s="451"/>
      <c r="H811" s="451" t="s">
        <v>2970</v>
      </c>
      <c r="I811" s="445">
        <v>199560</v>
      </c>
      <c r="J811" s="445"/>
      <c r="K811" s="446"/>
      <c r="M811" s="469">
        <f t="shared" si="24"/>
        <v>199560</v>
      </c>
      <c r="N811" s="453">
        <v>166300</v>
      </c>
      <c r="O811" s="454"/>
      <c r="P811" s="454"/>
      <c r="Q811" s="454"/>
      <c r="R811" s="454"/>
      <c r="S811" s="455"/>
    </row>
    <row r="812" spans="1:19">
      <c r="A812" s="446">
        <v>17</v>
      </c>
      <c r="B812" s="447" t="s">
        <v>3407</v>
      </c>
      <c r="C812" s="448"/>
      <c r="D812" s="448"/>
      <c r="E812" s="448"/>
      <c r="F812" s="449"/>
      <c r="G812" s="451"/>
      <c r="H812" s="451" t="s">
        <v>1423</v>
      </c>
      <c r="I812" s="445">
        <v>169800</v>
      </c>
      <c r="J812" s="445"/>
      <c r="K812" s="446"/>
      <c r="M812" s="469">
        <f t="shared" si="24"/>
        <v>169800</v>
      </c>
      <c r="N812" s="453">
        <v>141500</v>
      </c>
      <c r="O812" s="454"/>
      <c r="P812" s="454"/>
      <c r="Q812" s="454"/>
      <c r="R812" s="454"/>
      <c r="S812" s="455"/>
    </row>
    <row r="813" spans="1:19">
      <c r="A813" s="446">
        <v>18</v>
      </c>
      <c r="B813" s="447" t="s">
        <v>3408</v>
      </c>
      <c r="C813" s="448"/>
      <c r="D813" s="448"/>
      <c r="E813" s="448"/>
      <c r="F813" s="449"/>
      <c r="G813" s="451"/>
      <c r="H813" s="451" t="s">
        <v>1423</v>
      </c>
      <c r="I813" s="445">
        <v>1081080</v>
      </c>
      <c r="J813" s="445"/>
      <c r="K813" s="446"/>
      <c r="M813" s="469">
        <f t="shared" si="24"/>
        <v>1081080</v>
      </c>
      <c r="N813" s="453">
        <v>900900</v>
      </c>
      <c r="O813" s="454"/>
      <c r="P813" s="454"/>
      <c r="Q813" s="454"/>
      <c r="R813" s="454"/>
      <c r="S813" s="455"/>
    </row>
    <row r="814" spans="1:19">
      <c r="A814" s="446">
        <v>19</v>
      </c>
      <c r="B814" s="447" t="s">
        <v>3409</v>
      </c>
      <c r="C814" s="448"/>
      <c r="D814" s="448"/>
      <c r="E814" s="448"/>
      <c r="F814" s="449"/>
      <c r="G814" s="451"/>
      <c r="H814" s="451" t="s">
        <v>2646</v>
      </c>
      <c r="I814" s="445">
        <v>1081080</v>
      </c>
      <c r="J814" s="445"/>
      <c r="K814" s="446"/>
      <c r="M814" s="469">
        <f t="shared" si="24"/>
        <v>1081080</v>
      </c>
      <c r="N814" s="453">
        <v>900900</v>
      </c>
      <c r="O814" s="454"/>
      <c r="P814" s="454"/>
      <c r="Q814" s="454"/>
      <c r="R814" s="454"/>
      <c r="S814" s="455"/>
    </row>
    <row r="815" spans="1:19">
      <c r="A815" s="486">
        <v>20</v>
      </c>
      <c r="B815" s="487" t="s">
        <v>3410</v>
      </c>
      <c r="C815" s="488"/>
      <c r="D815" s="488"/>
      <c r="E815" s="488"/>
      <c r="F815" s="489"/>
      <c r="G815" s="490"/>
      <c r="H815" s="490" t="s">
        <v>2958</v>
      </c>
      <c r="I815" s="471">
        <v>1158240</v>
      </c>
      <c r="J815" s="471"/>
      <c r="K815" s="486"/>
      <c r="M815" s="469">
        <f t="shared" si="24"/>
        <v>1158240</v>
      </c>
      <c r="N815" s="453">
        <v>965200</v>
      </c>
      <c r="O815" s="454"/>
      <c r="P815" s="454"/>
      <c r="Q815" s="454"/>
      <c r="R815" s="454"/>
      <c r="S815" s="455"/>
    </row>
    <row r="816" spans="1:19">
      <c r="A816" s="491">
        <v>21</v>
      </c>
      <c r="B816" s="492" t="s">
        <v>3411</v>
      </c>
      <c r="C816" s="493"/>
      <c r="D816" s="493"/>
      <c r="E816" s="493"/>
      <c r="F816" s="494"/>
      <c r="G816" s="495"/>
      <c r="H816" s="495" t="s">
        <v>1405</v>
      </c>
      <c r="I816" s="444">
        <v>5616000</v>
      </c>
      <c r="J816" s="444"/>
      <c r="K816" s="491"/>
      <c r="M816" s="469">
        <f t="shared" si="24"/>
        <v>5616000</v>
      </c>
      <c r="N816" s="453">
        <v>4680000</v>
      </c>
      <c r="O816" s="454"/>
      <c r="P816" s="454"/>
      <c r="Q816" s="454"/>
      <c r="R816" s="454"/>
      <c r="S816" s="455"/>
    </row>
    <row r="817" spans="1:19">
      <c r="A817" s="446">
        <v>22</v>
      </c>
      <c r="B817" s="447" t="s">
        <v>3412</v>
      </c>
      <c r="C817" s="448"/>
      <c r="D817" s="448"/>
      <c r="E817" s="448"/>
      <c r="F817" s="449"/>
      <c r="G817" s="451"/>
      <c r="H817" s="451" t="s">
        <v>3413</v>
      </c>
      <c r="I817" s="445">
        <v>168480000</v>
      </c>
      <c r="J817" s="445"/>
      <c r="K817" s="446"/>
      <c r="M817" s="469">
        <f t="shared" si="24"/>
        <v>168480000</v>
      </c>
      <c r="N817" s="453">
        <v>140400000</v>
      </c>
      <c r="O817" s="454"/>
      <c r="P817" s="454"/>
      <c r="Q817" s="454"/>
      <c r="R817" s="454"/>
      <c r="S817" s="455"/>
    </row>
    <row r="818" spans="1:19">
      <c r="A818" s="446">
        <v>23</v>
      </c>
      <c r="B818" s="447" t="s">
        <v>3414</v>
      </c>
      <c r="C818" s="448"/>
      <c r="D818" s="448"/>
      <c r="E818" s="448"/>
      <c r="F818" s="449"/>
      <c r="G818" s="451"/>
      <c r="H818" s="451" t="s">
        <v>3413</v>
      </c>
      <c r="I818" s="445">
        <v>7800000</v>
      </c>
      <c r="J818" s="445"/>
      <c r="K818" s="446"/>
      <c r="M818" s="469">
        <f t="shared" si="24"/>
        <v>7800000</v>
      </c>
      <c r="N818" s="453">
        <v>6500000</v>
      </c>
      <c r="O818" s="454"/>
      <c r="P818" s="454"/>
      <c r="Q818" s="454"/>
      <c r="R818" s="454"/>
      <c r="S818" s="455"/>
    </row>
    <row r="819" spans="1:19" ht="12.75" customHeight="1">
      <c r="A819" s="446">
        <v>24</v>
      </c>
      <c r="B819" s="1246" t="s">
        <v>3903</v>
      </c>
      <c r="C819" s="1247"/>
      <c r="D819" s="1247"/>
      <c r="E819" s="1247"/>
      <c r="F819" s="449"/>
      <c r="G819" s="451"/>
      <c r="H819" s="498" t="s">
        <v>3413</v>
      </c>
      <c r="I819" s="445">
        <v>7800000</v>
      </c>
      <c r="J819" s="445"/>
      <c r="K819" s="446"/>
      <c r="M819" s="469">
        <f t="shared" si="24"/>
        <v>7800000</v>
      </c>
      <c r="N819" s="453">
        <v>6500000</v>
      </c>
      <c r="O819" s="454"/>
      <c r="P819" s="454"/>
      <c r="Q819" s="454"/>
      <c r="R819" s="454"/>
      <c r="S819" s="455"/>
    </row>
    <row r="820" spans="1:19">
      <c r="A820" s="446">
        <v>25</v>
      </c>
      <c r="B820" s="447" t="s">
        <v>3415</v>
      </c>
      <c r="C820" s="448"/>
      <c r="D820" s="448"/>
      <c r="E820" s="448"/>
      <c r="F820" s="449"/>
      <c r="G820" s="451"/>
      <c r="H820" s="451" t="s">
        <v>3413</v>
      </c>
      <c r="I820" s="445">
        <v>2340000</v>
      </c>
      <c r="J820" s="445"/>
      <c r="K820" s="446"/>
      <c r="M820" s="469">
        <f t="shared" si="24"/>
        <v>2340000</v>
      </c>
      <c r="N820" s="453">
        <v>1950000</v>
      </c>
      <c r="O820" s="454"/>
      <c r="P820" s="454"/>
      <c r="Q820" s="454"/>
      <c r="R820" s="454"/>
      <c r="S820" s="455"/>
    </row>
    <row r="821" spans="1:19">
      <c r="A821" s="486">
        <v>26</v>
      </c>
      <c r="B821" s="487" t="s">
        <v>3416</v>
      </c>
      <c r="C821" s="488"/>
      <c r="D821" s="488"/>
      <c r="E821" s="488"/>
      <c r="F821" s="489"/>
      <c r="G821" s="490"/>
      <c r="H821" s="490" t="s">
        <v>3413</v>
      </c>
      <c r="I821" s="471">
        <v>3120000</v>
      </c>
      <c r="J821" s="471"/>
      <c r="K821" s="486"/>
      <c r="M821" s="469">
        <f t="shared" si="24"/>
        <v>3120000</v>
      </c>
      <c r="N821" s="499">
        <v>2600000</v>
      </c>
      <c r="O821" s="500"/>
      <c r="P821" s="500"/>
      <c r="Q821" s="500"/>
      <c r="R821" s="500"/>
      <c r="S821" s="501"/>
    </row>
    <row r="822" spans="1:19">
      <c r="A822" s="502"/>
      <c r="B822" s="483"/>
      <c r="C822" s="483"/>
      <c r="D822" s="483"/>
      <c r="E822" s="483"/>
      <c r="F822" s="483"/>
      <c r="G822" s="503"/>
      <c r="H822" s="503"/>
      <c r="I822" s="504"/>
      <c r="J822" s="504"/>
      <c r="K822" s="502"/>
    </row>
    <row r="823" spans="1:19" s="483" customForma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N823" s="579"/>
      <c r="O823" s="579"/>
      <c r="P823" s="579"/>
      <c r="Q823" s="579"/>
      <c r="R823" s="579"/>
      <c r="S823" s="579"/>
    </row>
    <row r="824" spans="1:19" s="483" customFormat="1" ht="15" customHeight="1">
      <c r="A824" s="502"/>
      <c r="G824" s="503"/>
      <c r="H824" s="1248" t="str">
        <f>'analisa 2019'!E8747</f>
        <v>Medan,                                                          2019</v>
      </c>
      <c r="I824" s="1248"/>
      <c r="J824" s="504"/>
      <c r="K824" s="502"/>
      <c r="N824" s="579"/>
      <c r="O824" s="579"/>
      <c r="P824" s="579"/>
      <c r="Q824" s="579"/>
      <c r="R824" s="579"/>
      <c r="S824" s="579"/>
    </row>
    <row r="825" spans="1:19" ht="15" customHeight="1">
      <c r="C825" s="786"/>
      <c r="G825" s="452"/>
      <c r="H825" s="1235" t="str">
        <f>'analisa 2019'!E8748</f>
        <v>Diketahui / Disetujui Oleh;</v>
      </c>
      <c r="I825" s="1235"/>
      <c r="J825" s="452"/>
      <c r="K825" s="452"/>
    </row>
    <row r="826" spans="1:19" ht="15" customHeight="1">
      <c r="C826" s="786"/>
      <c r="G826" s="452"/>
      <c r="H826" s="1235" t="str">
        <f>'analisa 2019'!E8749</f>
        <v>Plt. KEPALA DINAS</v>
      </c>
      <c r="I826" s="1235"/>
      <c r="J826" s="452"/>
      <c r="K826" s="452"/>
    </row>
    <row r="827" spans="1:19" ht="15" customHeight="1">
      <c r="C827" s="786"/>
      <c r="G827" s="452"/>
      <c r="H827" s="1236" t="s">
        <v>4700</v>
      </c>
      <c r="I827" s="1236"/>
      <c r="J827" s="452"/>
      <c r="K827" s="452"/>
    </row>
    <row r="828" spans="1:19">
      <c r="C828" s="785"/>
      <c r="F828" s="786"/>
      <c r="H828" s="1236"/>
      <c r="I828" s="1236"/>
      <c r="J828" s="452"/>
      <c r="K828" s="452"/>
    </row>
    <row r="829" spans="1:19">
      <c r="C829" s="785"/>
      <c r="F829" s="786"/>
    </row>
    <row r="830" spans="1:19">
      <c r="C830" s="785"/>
      <c r="F830" s="786"/>
    </row>
    <row r="831" spans="1:19">
      <c r="C831" s="785"/>
      <c r="F831" s="786"/>
    </row>
    <row r="832" spans="1:19">
      <c r="C832" s="785"/>
      <c r="F832" s="786"/>
    </row>
    <row r="833" spans="3:11">
      <c r="C833" s="785"/>
      <c r="F833" s="786"/>
    </row>
    <row r="834" spans="3:11">
      <c r="C834" s="785"/>
      <c r="F834" s="786"/>
    </row>
    <row r="835" spans="3:11">
      <c r="C835" s="785"/>
      <c r="F835" s="786"/>
    </row>
    <row r="836" spans="3:11" ht="15" customHeight="1">
      <c r="C836" s="789"/>
      <c r="E836" s="580"/>
      <c r="F836" s="580"/>
      <c r="G836" s="580"/>
      <c r="H836" s="1192" t="str">
        <f>'analisa 2019'!E8756</f>
        <v>BENNY ISKANDAR, ST, MT</v>
      </c>
      <c r="I836" s="1192"/>
      <c r="J836" s="580"/>
      <c r="K836" s="580"/>
    </row>
    <row r="837" spans="3:11" ht="15" customHeight="1">
      <c r="C837" s="789"/>
      <c r="E837" s="580"/>
      <c r="F837" s="580"/>
      <c r="G837" s="580"/>
      <c r="H837" s="1192" t="str">
        <f>'analisa 2019'!E8757</f>
        <v>Pembina</v>
      </c>
      <c r="I837" s="1192"/>
      <c r="J837" s="580"/>
      <c r="K837" s="580"/>
    </row>
    <row r="838" spans="3:11" ht="15" customHeight="1">
      <c r="C838" s="789"/>
      <c r="E838" s="580"/>
      <c r="F838" s="580"/>
      <c r="G838" s="580"/>
      <c r="H838" s="1192" t="str">
        <f>'analisa 2019'!E8758</f>
        <v>NIP. 19740429 200003 1 008</v>
      </c>
      <c r="I838" s="1192"/>
      <c r="J838" s="580"/>
      <c r="K838" s="580"/>
    </row>
    <row r="855" spans="1:19" s="516" customFormat="1">
      <c r="A855" s="1249" t="s">
        <v>3417</v>
      </c>
      <c r="B855" s="1249"/>
      <c r="C855" s="1249"/>
      <c r="D855" s="1249"/>
      <c r="E855" s="1249"/>
      <c r="F855" s="1249"/>
      <c r="G855" s="1249"/>
      <c r="H855" s="1249"/>
      <c r="I855" s="1249"/>
      <c r="J855" s="1249"/>
      <c r="K855" s="1249"/>
      <c r="N855" s="505"/>
      <c r="O855" s="505"/>
      <c r="P855" s="505"/>
      <c r="Q855" s="505"/>
      <c r="R855" s="505"/>
      <c r="S855" s="505"/>
    </row>
    <row r="856" spans="1:19" s="516" customFormat="1">
      <c r="A856" s="1249" t="s">
        <v>3418</v>
      </c>
      <c r="B856" s="1249"/>
      <c r="C856" s="1249"/>
      <c r="D856" s="1249"/>
      <c r="E856" s="1249"/>
      <c r="F856" s="1249"/>
      <c r="G856" s="1249"/>
      <c r="H856" s="1249"/>
      <c r="I856" s="1249"/>
      <c r="J856" s="1249"/>
      <c r="K856" s="1249"/>
      <c r="N856" s="505"/>
      <c r="O856" s="505"/>
      <c r="P856" s="505"/>
      <c r="Q856" s="505"/>
      <c r="R856" s="505"/>
      <c r="S856" s="505"/>
    </row>
    <row r="908" spans="1:19" s="516" customFormat="1">
      <c r="A908" s="1249" t="s">
        <v>3419</v>
      </c>
      <c r="B908" s="1249"/>
      <c r="C908" s="1249"/>
      <c r="D908" s="1249"/>
      <c r="E908" s="1249"/>
      <c r="F908" s="1249"/>
      <c r="G908" s="1249"/>
      <c r="H908" s="1249"/>
      <c r="I908" s="1249"/>
      <c r="J908" s="1249"/>
      <c r="K908" s="1249"/>
      <c r="N908" s="505"/>
      <c r="O908" s="505"/>
      <c r="P908" s="505"/>
      <c r="Q908" s="505"/>
      <c r="R908" s="505"/>
      <c r="S908" s="505"/>
    </row>
    <row r="909" spans="1:19" s="516" customFormat="1">
      <c r="A909" s="1249" t="s">
        <v>3420</v>
      </c>
      <c r="B909" s="1249"/>
      <c r="C909" s="1249"/>
      <c r="D909" s="1249"/>
      <c r="E909" s="1249"/>
      <c r="F909" s="1249"/>
      <c r="G909" s="1249"/>
      <c r="H909" s="1249"/>
      <c r="I909" s="1249"/>
      <c r="J909" s="1249"/>
      <c r="K909" s="1249"/>
      <c r="N909" s="505"/>
      <c r="O909" s="505"/>
      <c r="P909" s="505"/>
      <c r="Q909" s="505"/>
      <c r="R909" s="505"/>
      <c r="S909" s="505"/>
    </row>
    <row r="910" spans="1:19" s="516" customFormat="1">
      <c r="A910" s="1250">
        <v>2016</v>
      </c>
      <c r="B910" s="1250"/>
      <c r="C910" s="1250"/>
      <c r="D910" s="1250"/>
      <c r="E910" s="1250"/>
      <c r="F910" s="1250"/>
      <c r="G910" s="1250"/>
      <c r="H910" s="1250"/>
      <c r="I910" s="1250"/>
      <c r="J910" s="1250"/>
      <c r="K910" s="1250"/>
      <c r="N910" s="505"/>
      <c r="O910" s="505"/>
      <c r="P910" s="505"/>
      <c r="Q910" s="505"/>
      <c r="R910" s="505"/>
      <c r="S910" s="505"/>
    </row>
  </sheetData>
  <mergeCells count="37">
    <mergeCell ref="A909:K909"/>
    <mergeCell ref="A910:K910"/>
    <mergeCell ref="A855:K855"/>
    <mergeCell ref="A856:K856"/>
    <mergeCell ref="A908:K908"/>
    <mergeCell ref="H826:I826"/>
    <mergeCell ref="H827:I828"/>
    <mergeCell ref="B35:F35"/>
    <mergeCell ref="B161:E161"/>
    <mergeCell ref="B163:E163"/>
    <mergeCell ref="B137:E137"/>
    <mergeCell ref="B359:E359"/>
    <mergeCell ref="B810:E810"/>
    <mergeCell ref="B819:E819"/>
    <mergeCell ref="H824:I824"/>
    <mergeCell ref="H825:I825"/>
    <mergeCell ref="K32:K34"/>
    <mergeCell ref="I7:I9"/>
    <mergeCell ref="J32:J34"/>
    <mergeCell ref="G32:G34"/>
    <mergeCell ref="J7:J9"/>
    <mergeCell ref="H836:I836"/>
    <mergeCell ref="H837:I837"/>
    <mergeCell ref="H838:I838"/>
    <mergeCell ref="A1:K1"/>
    <mergeCell ref="A2:K2"/>
    <mergeCell ref="A7:A9"/>
    <mergeCell ref="B7:F9"/>
    <mergeCell ref="G7:G9"/>
    <mergeCell ref="H7:H9"/>
    <mergeCell ref="B10:F10"/>
    <mergeCell ref="A27:K27"/>
    <mergeCell ref="A32:A34"/>
    <mergeCell ref="B32:F34"/>
    <mergeCell ref="K7:K9"/>
    <mergeCell ref="H32:H34"/>
    <mergeCell ref="I32:I34"/>
  </mergeCells>
  <printOptions horizontalCentered="1"/>
  <pageMargins left="0.6692913385826772" right="0.23622047244094491" top="0.51181102362204722" bottom="0.43307086614173229" header="0.39370078740157483" footer="0.23622047244094491"/>
  <pageSetup paperSize="400" scale="87" orientation="portrait" horizontalDpi="4294967294" verticalDpi="4294967293" r:id="rId1"/>
  <headerFooter differentOddEven="1" alignWithMargins="0"/>
  <rowBreaks count="13" manualBreakCount="13">
    <brk id="65" max="10" man="1"/>
    <brk id="123" max="10" man="1"/>
    <brk id="179" max="10" man="1"/>
    <brk id="233" max="10" man="1"/>
    <brk id="292" max="10" man="1"/>
    <brk id="353" max="10" man="1"/>
    <brk id="410" max="10" man="1"/>
    <brk id="468" max="10" man="1"/>
    <brk id="527" max="10" man="1"/>
    <brk id="587" max="10" man="1"/>
    <brk id="644" max="10" man="1"/>
    <brk id="701" max="10" man="1"/>
    <brk id="81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2186</v>
      </c>
    </row>
    <row r="3" spans="1:7" ht="34.9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2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2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12.2" customHeight="1">
      <c r="A22" s="64" t="s">
        <v>2187</v>
      </c>
      <c r="B22" s="30"/>
      <c r="C22" s="30"/>
      <c r="D22" s="30"/>
      <c r="E22" s="30"/>
      <c r="F22" s="30"/>
      <c r="G22" s="28"/>
    </row>
    <row r="23" spans="1:7" ht="12.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2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4"/>
  <dimension ref="A1:G40"/>
  <sheetViews>
    <sheetView topLeftCell="A19" workbookViewId="0">
      <selection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2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2" t="s">
        <v>705</v>
      </c>
      <c r="F36" s="1332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2" customHeight="1">
      <c r="A39" s="3" t="s">
        <v>708</v>
      </c>
      <c r="B39" s="1329" t="s">
        <v>876</v>
      </c>
      <c r="C39" s="1329"/>
      <c r="D39" s="1329"/>
      <c r="E39" s="1330" t="s">
        <v>710</v>
      </c>
      <c r="F39" s="1330"/>
      <c r="G39" s="5"/>
    </row>
    <row r="40" spans="1:7" ht="12" customHeight="1">
      <c r="A40" s="3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5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2191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2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2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2" t="s">
        <v>705</v>
      </c>
      <c r="F36" s="1332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2" customHeight="1">
      <c r="A39" s="3" t="s">
        <v>708</v>
      </c>
      <c r="B39" s="1329" t="s">
        <v>876</v>
      </c>
      <c r="C39" s="1329"/>
      <c r="D39" s="1329"/>
      <c r="E39" s="1330" t="s">
        <v>710</v>
      </c>
      <c r="F39" s="1330"/>
      <c r="G39" s="5"/>
    </row>
    <row r="40" spans="1:7" ht="12.2" customHeight="1">
      <c r="A40" s="3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6"/>
  <dimension ref="A1:G19"/>
  <sheetViews>
    <sheetView workbookViewId="0">
      <selection sqref="A1:G19"/>
    </sheetView>
  </sheetViews>
  <sheetFormatPr defaultRowHeight="15"/>
  <cols>
    <col min="1" max="1" width="5.28515625" customWidth="1"/>
    <col min="2" max="2" width="21" customWidth="1"/>
    <col min="3" max="3" width="5.28515625" customWidth="1"/>
    <col min="4" max="4" width="10.85546875" customWidth="1"/>
    <col min="5" max="5" width="14.7109375" customWidth="1"/>
    <col min="6" max="6" width="14.28515625" customWidth="1"/>
    <col min="7" max="7" width="16.5703125" customWidth="1"/>
  </cols>
  <sheetData>
    <row r="1" spans="1:7">
      <c r="A1" s="64" t="s">
        <v>2192</v>
      </c>
    </row>
    <row r="3" spans="1:7" ht="35.1" customHeight="1">
      <c r="A3" s="18" t="s">
        <v>1003</v>
      </c>
      <c r="B3" s="1" t="s">
        <v>1004</v>
      </c>
      <c r="C3" s="155" t="s">
        <v>1005</v>
      </c>
      <c r="D3" s="155" t="s">
        <v>1006</v>
      </c>
      <c r="E3" s="155" t="s">
        <v>1007</v>
      </c>
      <c r="F3" s="135" t="s">
        <v>767</v>
      </c>
      <c r="G3" s="113" t="s">
        <v>768</v>
      </c>
    </row>
    <row r="4" spans="1:7" ht="12" customHeight="1">
      <c r="A4" s="3" t="s">
        <v>671</v>
      </c>
      <c r="B4" s="110" t="s">
        <v>672</v>
      </c>
      <c r="C4" s="130"/>
      <c r="D4" s="130"/>
      <c r="E4" s="130"/>
      <c r="F4" s="130"/>
      <c r="G4" s="109"/>
    </row>
    <row r="5" spans="1:7" ht="15" customHeight="1">
      <c r="A5" s="5"/>
      <c r="B5" s="117" t="s">
        <v>673</v>
      </c>
      <c r="C5" s="141" t="s">
        <v>674</v>
      </c>
      <c r="D5" s="141" t="s">
        <v>675</v>
      </c>
      <c r="E5" s="141" t="s">
        <v>679</v>
      </c>
      <c r="F5" s="130"/>
      <c r="G5" s="109"/>
    </row>
    <row r="6" spans="1:7" ht="15.2" customHeight="1">
      <c r="A6" s="5"/>
      <c r="B6" s="117" t="s">
        <v>816</v>
      </c>
      <c r="C6" s="141" t="s">
        <v>681</v>
      </c>
      <c r="D6" s="141" t="s">
        <v>675</v>
      </c>
      <c r="E6" s="141" t="s">
        <v>741</v>
      </c>
      <c r="F6" s="130"/>
      <c r="G6" s="109"/>
    </row>
    <row r="7" spans="1:7" ht="15" customHeight="1">
      <c r="A7" s="5"/>
      <c r="B7" s="117" t="s">
        <v>680</v>
      </c>
      <c r="C7" s="141" t="s">
        <v>681</v>
      </c>
      <c r="D7" s="141" t="s">
        <v>675</v>
      </c>
      <c r="E7" s="141" t="s">
        <v>779</v>
      </c>
      <c r="F7" s="130"/>
      <c r="G7" s="109"/>
    </row>
    <row r="8" spans="1:7" ht="15.2" customHeight="1">
      <c r="A8" s="5"/>
      <c r="B8" s="117" t="s">
        <v>683</v>
      </c>
      <c r="C8" s="141" t="s">
        <v>684</v>
      </c>
      <c r="D8" s="141" t="s">
        <v>675</v>
      </c>
      <c r="E8" s="141" t="s">
        <v>779</v>
      </c>
      <c r="F8" s="130"/>
      <c r="G8" s="109"/>
    </row>
    <row r="9" spans="1:7" ht="12" customHeight="1">
      <c r="A9" s="5"/>
      <c r="B9" s="109"/>
      <c r="C9" s="130"/>
      <c r="D9" s="130"/>
      <c r="E9" s="141" t="s">
        <v>685</v>
      </c>
      <c r="F9" s="147"/>
      <c r="G9" s="109"/>
    </row>
    <row r="10" spans="1:7" ht="12" customHeight="1">
      <c r="A10" s="3" t="s">
        <v>686</v>
      </c>
      <c r="B10" s="110" t="s">
        <v>687</v>
      </c>
      <c r="C10" s="130"/>
      <c r="D10" s="130"/>
      <c r="E10" s="130"/>
      <c r="F10" s="130"/>
      <c r="G10" s="109"/>
    </row>
    <row r="11" spans="1:7" ht="15" customHeight="1">
      <c r="A11" s="5"/>
      <c r="B11" s="110" t="s">
        <v>790</v>
      </c>
      <c r="C11" s="130"/>
      <c r="D11" s="141" t="s">
        <v>690</v>
      </c>
      <c r="E11" s="141" t="s">
        <v>1091</v>
      </c>
      <c r="F11" s="130"/>
      <c r="G11" s="109"/>
    </row>
    <row r="12" spans="1:7" ht="12" customHeight="1">
      <c r="A12" s="5"/>
      <c r="B12" s="109"/>
      <c r="C12" s="130"/>
      <c r="D12" s="130"/>
      <c r="E12" s="141" t="s">
        <v>702</v>
      </c>
      <c r="F12" s="147"/>
      <c r="G12" s="109"/>
    </row>
    <row r="13" spans="1:7" ht="12" customHeight="1">
      <c r="A13" s="3" t="s">
        <v>703</v>
      </c>
      <c r="B13" s="110" t="s">
        <v>704</v>
      </c>
      <c r="C13" s="130"/>
      <c r="D13" s="130"/>
      <c r="E13" s="130"/>
      <c r="F13" s="130"/>
      <c r="G13" s="109"/>
    </row>
    <row r="14" spans="1:7" ht="12" customHeight="1">
      <c r="A14" s="5"/>
      <c r="B14" s="109"/>
      <c r="C14" s="130"/>
      <c r="D14" s="130"/>
      <c r="E14" s="130"/>
      <c r="F14" s="130"/>
      <c r="G14" s="109"/>
    </row>
    <row r="15" spans="1:7" ht="12" customHeight="1">
      <c r="A15" s="5"/>
      <c r="B15" s="109"/>
      <c r="C15" s="130"/>
      <c r="D15" s="130"/>
      <c r="E15" s="141" t="s">
        <v>705</v>
      </c>
      <c r="F15" s="147"/>
      <c r="G15" s="109"/>
    </row>
    <row r="16" spans="1:7" ht="12" customHeight="1">
      <c r="A16" s="5"/>
      <c r="B16" s="109"/>
      <c r="C16" s="130"/>
      <c r="D16" s="130"/>
      <c r="E16" s="130"/>
      <c r="F16" s="130"/>
      <c r="G16" s="109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09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09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0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5"/>
  <cols>
    <col min="1" max="1" width="4.5703125" customWidth="1"/>
    <col min="2" max="2" width="21" customWidth="1"/>
    <col min="3" max="3" width="7" customWidth="1"/>
    <col min="4" max="4" width="5.5703125" customWidth="1"/>
    <col min="5" max="5" width="12.140625" customWidth="1"/>
    <col min="6" max="6" width="15.5703125" customWidth="1"/>
    <col min="7" max="7" width="16.5703125" customWidth="1"/>
  </cols>
  <sheetData>
    <row r="1" spans="1:7" ht="12" customHeight="1">
      <c r="A1" s="157" t="s">
        <v>2193</v>
      </c>
      <c r="B1" s="68"/>
      <c r="C1" s="68"/>
      <c r="D1" s="68"/>
      <c r="E1" s="68"/>
      <c r="F1" s="68"/>
      <c r="G1" s="66"/>
    </row>
    <row r="2" spans="1:7" ht="12" customHeight="1">
      <c r="A2" s="157"/>
      <c r="B2" s="68"/>
      <c r="C2" s="68"/>
      <c r="D2" s="68"/>
      <c r="E2" s="68"/>
      <c r="F2" s="68"/>
      <c r="G2" s="66"/>
    </row>
    <row r="3" spans="1:7" ht="12" customHeight="1">
      <c r="A3" s="158" t="s">
        <v>2194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112" t="s">
        <v>762</v>
      </c>
      <c r="B5" s="135" t="s">
        <v>763</v>
      </c>
      <c r="C5" s="112" t="s">
        <v>764</v>
      </c>
      <c r="D5" s="135" t="s">
        <v>765</v>
      </c>
      <c r="E5" s="135" t="s">
        <v>766</v>
      </c>
      <c r="F5" s="135" t="s">
        <v>767</v>
      </c>
      <c r="G5" s="159" t="s">
        <v>768</v>
      </c>
    </row>
    <row r="6" spans="1:7" ht="12" customHeight="1">
      <c r="A6" s="114" t="s">
        <v>671</v>
      </c>
      <c r="B6" s="141" t="s">
        <v>672</v>
      </c>
      <c r="C6" s="109"/>
      <c r="D6" s="130"/>
      <c r="E6" s="130"/>
      <c r="F6" s="130"/>
      <c r="G6" s="133"/>
    </row>
    <row r="7" spans="1:7" ht="13.7" customHeight="1">
      <c r="A7" s="109"/>
      <c r="B7" s="141" t="s">
        <v>673</v>
      </c>
      <c r="C7" s="110" t="s">
        <v>674</v>
      </c>
      <c r="D7" s="141" t="s">
        <v>675</v>
      </c>
      <c r="E7" s="141" t="s">
        <v>746</v>
      </c>
      <c r="F7" s="130"/>
      <c r="G7" s="133"/>
    </row>
    <row r="8" spans="1:7" ht="13.7" customHeight="1">
      <c r="A8" s="109"/>
      <c r="B8" s="141" t="s">
        <v>816</v>
      </c>
      <c r="C8" s="110" t="s">
        <v>678</v>
      </c>
      <c r="D8" s="141" t="s">
        <v>675</v>
      </c>
      <c r="E8" s="141" t="s">
        <v>787</v>
      </c>
      <c r="F8" s="130"/>
      <c r="G8" s="133"/>
    </row>
    <row r="9" spans="1:7" ht="13.9" customHeight="1">
      <c r="A9" s="109"/>
      <c r="B9" s="141" t="s">
        <v>751</v>
      </c>
      <c r="C9" s="110" t="s">
        <v>681</v>
      </c>
      <c r="D9" s="141" t="s">
        <v>675</v>
      </c>
      <c r="E9" s="141" t="s">
        <v>901</v>
      </c>
      <c r="F9" s="130"/>
      <c r="G9" s="133"/>
    </row>
    <row r="10" spans="1:7" ht="13.7" customHeight="1">
      <c r="A10" s="109"/>
      <c r="B10" s="141" t="s">
        <v>683</v>
      </c>
      <c r="C10" s="110" t="s">
        <v>684</v>
      </c>
      <c r="D10" s="141" t="s">
        <v>675</v>
      </c>
      <c r="E10" s="141" t="s">
        <v>901</v>
      </c>
      <c r="F10" s="130"/>
      <c r="G10" s="133"/>
    </row>
    <row r="11" spans="1:7" ht="12" customHeight="1">
      <c r="A11" s="109"/>
      <c r="B11" s="130"/>
      <c r="C11" s="109"/>
      <c r="D11" s="130"/>
      <c r="E11" s="141" t="s">
        <v>685</v>
      </c>
      <c r="F11" s="147"/>
      <c r="G11" s="133"/>
    </row>
    <row r="12" spans="1:7" ht="12" customHeight="1">
      <c r="A12" s="114" t="s">
        <v>686</v>
      </c>
      <c r="B12" s="141" t="s">
        <v>687</v>
      </c>
      <c r="C12" s="109"/>
      <c r="D12" s="130"/>
      <c r="E12" s="130"/>
      <c r="F12" s="130"/>
      <c r="G12" s="133"/>
    </row>
    <row r="13" spans="1:7" ht="13.7" customHeight="1">
      <c r="A13" s="109"/>
      <c r="B13" s="141" t="s">
        <v>1092</v>
      </c>
      <c r="C13" s="109"/>
      <c r="D13" s="141" t="s">
        <v>743</v>
      </c>
      <c r="E13" s="141" t="s">
        <v>1093</v>
      </c>
      <c r="F13" s="130"/>
      <c r="G13" s="133"/>
    </row>
    <row r="14" spans="1:7" ht="13.9" customHeight="1">
      <c r="A14" s="109"/>
      <c r="B14" s="141" t="s">
        <v>818</v>
      </c>
      <c r="C14" s="109"/>
      <c r="D14" s="141" t="s">
        <v>773</v>
      </c>
      <c r="E14" s="141" t="s">
        <v>1094</v>
      </c>
      <c r="F14" s="130"/>
      <c r="G14" s="133"/>
    </row>
    <row r="15" spans="1:7" ht="13.7" customHeight="1">
      <c r="A15" s="109"/>
      <c r="B15" s="141" t="s">
        <v>739</v>
      </c>
      <c r="C15" s="109"/>
      <c r="D15" s="141" t="s">
        <v>881</v>
      </c>
      <c r="E15" s="141" t="s">
        <v>795</v>
      </c>
      <c r="F15" s="130"/>
      <c r="G15" s="133"/>
    </row>
    <row r="16" spans="1:7" ht="12" customHeight="1">
      <c r="A16" s="109"/>
      <c r="B16" s="130"/>
      <c r="C16" s="109"/>
      <c r="D16" s="130"/>
      <c r="E16" s="141" t="s">
        <v>702</v>
      </c>
      <c r="F16" s="147"/>
      <c r="G16" s="133"/>
    </row>
    <row r="17" spans="1:7" ht="12" customHeight="1">
      <c r="A17" s="114" t="s">
        <v>703</v>
      </c>
      <c r="B17" s="141" t="s">
        <v>704</v>
      </c>
      <c r="C17" s="109"/>
      <c r="D17" s="130"/>
      <c r="E17" s="130"/>
      <c r="F17" s="130"/>
      <c r="G17" s="133"/>
    </row>
    <row r="18" spans="1:7" ht="12" customHeight="1">
      <c r="A18" s="109"/>
      <c r="B18" s="130"/>
      <c r="C18" s="109"/>
      <c r="D18" s="130"/>
      <c r="E18" s="130"/>
      <c r="F18" s="130"/>
      <c r="G18" s="133"/>
    </row>
    <row r="19" spans="1:7" ht="12" customHeight="1">
      <c r="A19" s="109"/>
      <c r="B19" s="130"/>
      <c r="C19" s="109"/>
      <c r="D19" s="130"/>
      <c r="E19" s="141" t="s">
        <v>705</v>
      </c>
      <c r="F19" s="147"/>
      <c r="G19" s="133"/>
    </row>
    <row r="20" spans="1:7" ht="12" customHeight="1">
      <c r="A20" s="109"/>
      <c r="B20" s="130"/>
      <c r="C20" s="109"/>
      <c r="D20" s="130"/>
      <c r="E20" s="130"/>
      <c r="F20" s="130"/>
      <c r="G20" s="133"/>
    </row>
    <row r="21" spans="1:7" ht="12" customHeight="1">
      <c r="A21" s="114" t="s">
        <v>706</v>
      </c>
      <c r="B21" s="141" t="s">
        <v>707</v>
      </c>
      <c r="C21" s="147"/>
      <c r="D21" s="147"/>
      <c r="E21" s="147"/>
      <c r="F21" s="147"/>
      <c r="G21" s="133"/>
    </row>
    <row r="22" spans="1:7" ht="12" customHeight="1">
      <c r="A22" s="114" t="s">
        <v>708</v>
      </c>
      <c r="B22" s="136" t="s">
        <v>876</v>
      </c>
      <c r="C22" s="137"/>
      <c r="D22" s="137"/>
      <c r="E22" s="141" t="s">
        <v>710</v>
      </c>
      <c r="F22" s="147"/>
      <c r="G22" s="133"/>
    </row>
    <row r="23" spans="1:7" ht="12" customHeight="1">
      <c r="A23" s="114" t="s">
        <v>711</v>
      </c>
      <c r="B23" s="141" t="s">
        <v>712</v>
      </c>
      <c r="C23" s="147"/>
      <c r="D23" s="147"/>
      <c r="E23" s="147"/>
      <c r="F23" s="147"/>
      <c r="G23" s="1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8"/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2196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9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2198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0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1"/>
  <dimension ref="A1:G45"/>
  <sheetViews>
    <sheetView topLeftCell="A10" workbookViewId="0">
      <selection activeCell="I32" sqref="I3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2"/>
  <dimension ref="A1:G45"/>
  <sheetViews>
    <sheetView topLeftCell="A28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48"/>
  <sheetViews>
    <sheetView view="pageBreakPreview" zoomScaleSheetLayoutView="100" workbookViewId="0">
      <selection activeCell="J35" sqref="J35"/>
    </sheetView>
  </sheetViews>
  <sheetFormatPr defaultRowHeight="15"/>
  <cols>
    <col min="1" max="1" width="3.5703125" bestFit="1" customWidth="1"/>
    <col min="2" max="2" width="11.42578125" customWidth="1"/>
    <col min="3" max="3" width="1.85546875" customWidth="1"/>
    <col min="6" max="6" width="27.140625" customWidth="1"/>
    <col min="7" max="7" width="30.85546875" customWidth="1"/>
    <col min="10" max="10" width="15.7109375" bestFit="1" customWidth="1"/>
    <col min="13" max="13" width="13.5703125" customWidth="1"/>
  </cols>
  <sheetData>
    <row r="1" spans="1:7" ht="26.25">
      <c r="A1" s="1253" t="s">
        <v>4760</v>
      </c>
      <c r="B1" s="1253"/>
      <c r="C1" s="1253"/>
      <c r="D1" s="1253"/>
      <c r="E1" s="1253"/>
      <c r="F1" s="1253"/>
      <c r="G1" s="1253"/>
    </row>
    <row r="2" spans="1:7" ht="23.25">
      <c r="A2" s="844"/>
      <c r="B2" s="844"/>
      <c r="C2" s="844"/>
      <c r="D2" s="844"/>
      <c r="E2" s="845"/>
      <c r="F2" s="844"/>
      <c r="G2" s="844"/>
    </row>
    <row r="3" spans="1:7" s="1023" customFormat="1">
      <c r="A3" s="1099" t="str">
        <f>RAB!A4</f>
        <v>Pekerjaan</v>
      </c>
      <c r="B3" s="1099"/>
      <c r="C3" s="1099" t="str">
        <f>RAB!C4</f>
        <v>:</v>
      </c>
      <c r="D3" s="1099" t="str">
        <f>RAB!D4</f>
        <v>RENOVASI GUDANG PENYIMPANAN BENIH PADI DI UPT BIAT GABE HUTARAJA</v>
      </c>
      <c r="E3" s="1100"/>
      <c r="F3" s="1099"/>
      <c r="G3" s="1099"/>
    </row>
    <row r="4" spans="1:7" s="1023" customFormat="1">
      <c r="A4" s="1099" t="str">
        <f>RAB!A5</f>
        <v>Lokasi</v>
      </c>
      <c r="B4" s="1099"/>
      <c r="C4" s="1099" t="str">
        <f>RAB!C5</f>
        <v>:</v>
      </c>
      <c r="D4" s="1099" t="str">
        <f>RAB!D5</f>
        <v>UPT BIAT GABE HUTARAJA, TAPANULI UTARA</v>
      </c>
      <c r="E4" s="1100"/>
      <c r="F4" s="1099"/>
      <c r="G4" s="1099"/>
    </row>
    <row r="5" spans="1:7" s="1023" customFormat="1">
      <c r="A5" s="1099" t="str">
        <f>RAB!A6</f>
        <v>Instansi</v>
      </c>
      <c r="B5" s="1099"/>
      <c r="C5" s="1099" t="str">
        <f>RAB!C6</f>
        <v>:</v>
      </c>
      <c r="D5" s="1099" t="str">
        <f>RAB!D6</f>
        <v>DINAS KETAHANAN PANGAN, TANAMAN PANGAN DAN HORTIKULTURA</v>
      </c>
      <c r="E5" s="1100"/>
      <c r="F5" s="1099"/>
      <c r="G5" s="1099"/>
    </row>
    <row r="6" spans="1:7">
      <c r="A6" s="1099"/>
      <c r="B6" s="1099"/>
      <c r="C6" s="1099"/>
      <c r="D6" s="1099" t="str">
        <f>RAB!D7</f>
        <v>PROVINSI SUMATERA UTARA</v>
      </c>
      <c r="E6" s="1099"/>
      <c r="F6" s="1099"/>
      <c r="G6" s="1099"/>
    </row>
    <row r="7" spans="1:7">
      <c r="A7" s="1099" t="str">
        <f>RAB!A8</f>
        <v>Tahun Anggaran</v>
      </c>
      <c r="B7" s="1099"/>
      <c r="C7" s="1099" t="str">
        <f>RAB!C8</f>
        <v>:</v>
      </c>
      <c r="D7" s="1101">
        <f>RAB!D8</f>
        <v>2023</v>
      </c>
      <c r="E7" s="1099"/>
      <c r="F7" s="1099"/>
      <c r="G7" s="1099"/>
    </row>
    <row r="8" spans="1:7" ht="15.75" thickBot="1"/>
    <row r="9" spans="1:7" ht="16.5" thickTop="1" thickBot="1">
      <c r="A9" s="833" t="s">
        <v>1003</v>
      </c>
      <c r="B9" s="1251" t="s">
        <v>1004</v>
      </c>
      <c r="C9" s="1251"/>
      <c r="D9" s="1251"/>
      <c r="E9" s="1251"/>
      <c r="F9" s="1251"/>
      <c r="G9" s="834" t="s">
        <v>4757</v>
      </c>
    </row>
    <row r="10" spans="1:7" ht="15.75" thickTop="1">
      <c r="A10" s="829"/>
      <c r="B10" s="831"/>
      <c r="C10" s="41"/>
      <c r="D10" s="41"/>
      <c r="E10" s="41"/>
      <c r="F10" s="832"/>
      <c r="G10" s="830"/>
    </row>
    <row r="11" spans="1:7">
      <c r="A11" s="826" t="str">
        <f>RAB!A12</f>
        <v>A</v>
      </c>
      <c r="B11" s="835" t="str">
        <f>'BECKUP data'!B3</f>
        <v>PEKERJAAN PERSIAPAN</v>
      </c>
      <c r="C11" s="836"/>
      <c r="D11" s="836"/>
      <c r="E11" s="836"/>
      <c r="F11" s="837"/>
      <c r="G11" s="816"/>
    </row>
    <row r="12" spans="1:7" s="1023" customFormat="1">
      <c r="A12" s="826" t="str">
        <f>RAB!A13</f>
        <v>I.</v>
      </c>
      <c r="B12" s="835" t="str">
        <f>'BECKUP data'!B4</f>
        <v>PEKERJAAN PENDAHULUAN</v>
      </c>
      <c r="C12" s="836"/>
      <c r="D12" s="836"/>
      <c r="E12" s="836"/>
      <c r="F12" s="837"/>
      <c r="G12" s="816">
        <f>RAB!I21</f>
        <v>3790000</v>
      </c>
    </row>
    <row r="13" spans="1:7" s="1023" customFormat="1">
      <c r="A13" s="826"/>
      <c r="B13" s="835"/>
      <c r="C13" s="836"/>
      <c r="D13" s="836"/>
      <c r="E13" s="836"/>
      <c r="F13" s="837"/>
      <c r="G13" s="816"/>
    </row>
    <row r="14" spans="1:7" s="1023" customFormat="1">
      <c r="A14" s="826" t="str">
        <f>RAB!A22</f>
        <v xml:space="preserve">II. </v>
      </c>
      <c r="B14" s="826" t="str">
        <f>RAB!B22</f>
        <v>PEKERJAAN BONGKARAN</v>
      </c>
      <c r="C14" s="836"/>
      <c r="D14" s="836"/>
      <c r="E14" s="836"/>
      <c r="F14" s="837"/>
      <c r="G14" s="816">
        <f>RAB!I26</f>
        <v>8556150</v>
      </c>
    </row>
    <row r="15" spans="1:7" s="1023" customFormat="1">
      <c r="A15" s="826"/>
      <c r="B15" s="835"/>
      <c r="C15" s="836"/>
      <c r="D15" s="836"/>
      <c r="E15" s="836"/>
      <c r="F15" s="837"/>
      <c r="G15" s="816"/>
    </row>
    <row r="16" spans="1:7" s="1023" customFormat="1">
      <c r="A16" s="826" t="str">
        <f>RAB!A27</f>
        <v>B</v>
      </c>
      <c r="B16" s="826" t="str">
        <f>RAB!B27</f>
        <v>PEKERJAAN REHAB GUDANG PEYIMPANAN BENIH PADI</v>
      </c>
      <c r="C16" s="836"/>
      <c r="D16" s="836"/>
      <c r="E16" s="836"/>
      <c r="F16" s="837"/>
      <c r="G16" s="816"/>
    </row>
    <row r="17" spans="1:12" s="1023" customFormat="1">
      <c r="A17" s="826" t="str">
        <f>RAB!A28</f>
        <v>I</v>
      </c>
      <c r="B17" s="826" t="str">
        <f>RAB!B28</f>
        <v>PEKERJAAN GALIAN</v>
      </c>
      <c r="C17" s="836"/>
      <c r="D17" s="836"/>
      <c r="E17" s="836"/>
      <c r="F17" s="837"/>
      <c r="G17" s="816">
        <f>RAB!I36</f>
        <v>5411528.4498124998</v>
      </c>
    </row>
    <row r="18" spans="1:12" s="1023" customFormat="1">
      <c r="A18" s="826"/>
      <c r="B18" s="835"/>
      <c r="C18" s="836"/>
      <c r="D18" s="836"/>
      <c r="E18" s="836"/>
      <c r="F18" s="837"/>
      <c r="G18" s="816"/>
    </row>
    <row r="19" spans="1:12" s="1023" customFormat="1">
      <c r="A19" s="826" t="str">
        <f>RAB!A37</f>
        <v>II</v>
      </c>
      <c r="B19" s="826" t="str">
        <f>RAB!B37</f>
        <v xml:space="preserve">PEKERJAAN URUGAN </v>
      </c>
      <c r="C19" s="836"/>
      <c r="D19" s="836"/>
      <c r="E19" s="836"/>
      <c r="F19" s="837"/>
      <c r="G19" s="816">
        <f>RAB!I45</f>
        <v>5821257.4873749996</v>
      </c>
    </row>
    <row r="20" spans="1:12" s="1023" customFormat="1">
      <c r="A20" s="826"/>
      <c r="B20" s="835"/>
      <c r="C20" s="836"/>
      <c r="D20" s="836"/>
      <c r="E20" s="836"/>
      <c r="F20" s="837"/>
      <c r="G20" s="816"/>
    </row>
    <row r="21" spans="1:12" s="1023" customFormat="1">
      <c r="A21" s="826" t="str">
        <f>RAB!A46</f>
        <v>III</v>
      </c>
      <c r="B21" s="826" t="str">
        <f>RAB!B46</f>
        <v>PEKERJAAN PONDASI TAPAK (PT)</v>
      </c>
      <c r="C21" s="836"/>
      <c r="D21" s="836"/>
      <c r="E21" s="836"/>
      <c r="F21" s="837"/>
      <c r="G21" s="816">
        <f>RAB!I67</f>
        <v>13423338.117606666</v>
      </c>
      <c r="L21" s="1023" t="s">
        <v>4773</v>
      </c>
    </row>
    <row r="22" spans="1:12" s="1023" customFormat="1">
      <c r="A22" s="826"/>
      <c r="B22" s="835"/>
      <c r="C22" s="836"/>
      <c r="D22" s="836"/>
      <c r="E22" s="836"/>
      <c r="F22" s="837"/>
      <c r="G22" s="816"/>
    </row>
    <row r="23" spans="1:12" s="1023" customFormat="1">
      <c r="A23" s="826" t="str">
        <f>RAB!A68</f>
        <v>IV</v>
      </c>
      <c r="B23" s="826" t="str">
        <f>RAB!B68</f>
        <v>PEKERJAAN DINDING PENAHAN (DP)</v>
      </c>
      <c r="C23" s="836"/>
      <c r="D23" s="836"/>
      <c r="E23" s="836"/>
      <c r="F23" s="837"/>
      <c r="G23" s="816">
        <f>RAB!I77</f>
        <v>6609806.6310000001</v>
      </c>
    </row>
    <row r="24" spans="1:12" s="1023" customFormat="1">
      <c r="A24" s="826"/>
      <c r="B24" s="835"/>
      <c r="C24" s="836"/>
      <c r="D24" s="836"/>
      <c r="E24" s="836"/>
      <c r="F24" s="837"/>
      <c r="G24" s="816"/>
    </row>
    <row r="25" spans="1:12" s="1023" customFormat="1">
      <c r="A25" s="826" t="str">
        <f>RAB!A78</f>
        <v>V</v>
      </c>
      <c r="B25" s="826" t="str">
        <f>RAB!B78</f>
        <v xml:space="preserve">PEKERJAAN BETON </v>
      </c>
      <c r="C25" s="836"/>
      <c r="D25" s="836"/>
      <c r="E25" s="836"/>
      <c r="F25" s="837"/>
      <c r="G25" s="816">
        <f>RAB!I99</f>
        <v>114335440.22083135</v>
      </c>
    </row>
    <row r="26" spans="1:12" s="1023" customFormat="1">
      <c r="A26" s="826"/>
      <c r="B26" s="835"/>
      <c r="C26" s="836"/>
      <c r="D26" s="836"/>
      <c r="E26" s="836"/>
      <c r="F26" s="837"/>
      <c r="G26" s="816"/>
    </row>
    <row r="27" spans="1:12" s="1023" customFormat="1">
      <c r="A27" s="826" t="str">
        <f>RAB!A100</f>
        <v>VI</v>
      </c>
      <c r="B27" s="826" t="str">
        <f>RAB!B100</f>
        <v>PEKERJAAN DINDING DAN PLASTERAN</v>
      </c>
      <c r="C27" s="836"/>
      <c r="D27" s="836"/>
      <c r="E27" s="836"/>
      <c r="F27" s="837"/>
      <c r="G27" s="816">
        <f>RAB!I105</f>
        <v>64477217.455020003</v>
      </c>
    </row>
    <row r="28" spans="1:12" s="1023" customFormat="1">
      <c r="A28" s="826"/>
      <c r="B28" s="835"/>
      <c r="C28" s="836"/>
      <c r="D28" s="836"/>
      <c r="E28" s="836"/>
      <c r="F28" s="837"/>
      <c r="G28" s="816"/>
    </row>
    <row r="29" spans="1:12" s="1023" customFormat="1">
      <c r="A29" s="826" t="str">
        <f>RAB!A106</f>
        <v>VII</v>
      </c>
      <c r="B29" s="826" t="str">
        <f>RAB!B106</f>
        <v>PEKERJAAN KUSEN VENTILASI DAN PINTU</v>
      </c>
      <c r="C29" s="836"/>
      <c r="D29" s="836"/>
      <c r="E29" s="836"/>
      <c r="F29" s="837"/>
      <c r="G29" s="816">
        <f>RAB!I109</f>
        <v>23250000</v>
      </c>
    </row>
    <row r="30" spans="1:12" s="1023" customFormat="1">
      <c r="A30" s="826"/>
      <c r="B30" s="835"/>
      <c r="C30" s="836"/>
      <c r="D30" s="836"/>
      <c r="E30" s="836"/>
      <c r="F30" s="837"/>
      <c r="G30" s="816"/>
    </row>
    <row r="31" spans="1:12" s="1023" customFormat="1">
      <c r="A31" s="826" t="str">
        <f>RAB!A110</f>
        <v>VIII</v>
      </c>
      <c r="B31" s="826" t="str">
        <f>RAB!B110</f>
        <v>PEKERJAAN ATAP</v>
      </c>
      <c r="C31" s="836"/>
      <c r="D31" s="836"/>
      <c r="E31" s="836"/>
      <c r="F31" s="837"/>
      <c r="G31" s="816">
        <f>RAB!I115</f>
        <v>202429195.49826601</v>
      </c>
    </row>
    <row r="32" spans="1:12" s="1023" customFormat="1">
      <c r="A32" s="826"/>
      <c r="B32" s="835"/>
      <c r="C32" s="836"/>
      <c r="D32" s="836"/>
      <c r="E32" s="836"/>
      <c r="F32" s="837"/>
      <c r="G32" s="816"/>
    </row>
    <row r="33" spans="1:13" s="1023" customFormat="1">
      <c r="A33" s="826" t="str">
        <f>RAB!A116</f>
        <v>IX</v>
      </c>
      <c r="B33" s="826" t="str">
        <f>RAB!B116</f>
        <v>PEKERJAAN PENGECATAN</v>
      </c>
      <c r="C33" s="836"/>
      <c r="D33" s="836"/>
      <c r="E33" s="836"/>
      <c r="F33" s="837"/>
      <c r="G33" s="816">
        <f>RAB!I121</f>
        <v>34311800.229000002</v>
      </c>
    </row>
    <row r="34" spans="1:13" s="1023" customFormat="1">
      <c r="A34" s="826"/>
      <c r="B34" s="835"/>
      <c r="C34" s="836"/>
      <c r="D34" s="836"/>
      <c r="E34" s="836"/>
      <c r="F34" s="837"/>
      <c r="G34" s="816"/>
    </row>
    <row r="35" spans="1:13">
      <c r="A35" s="826" t="str">
        <f>RAB!A122</f>
        <v>X</v>
      </c>
      <c r="B35" s="826" t="str">
        <f>RAB!B122</f>
        <v xml:space="preserve">PEKERJAAN ELEKTRIKAL </v>
      </c>
      <c r="C35" s="836"/>
      <c r="D35" s="836"/>
      <c r="E35" s="836"/>
      <c r="F35" s="837"/>
      <c r="G35" s="816">
        <f>RAB!I128</f>
        <v>7724423.5</v>
      </c>
    </row>
    <row r="36" spans="1:13">
      <c r="A36" s="826"/>
      <c r="B36" s="835"/>
      <c r="C36" s="836"/>
      <c r="D36" s="836"/>
      <c r="E36" s="836"/>
      <c r="F36" s="837"/>
      <c r="G36" s="816"/>
    </row>
    <row r="37" spans="1:13">
      <c r="A37" s="826" t="str">
        <f>RAB!A129</f>
        <v>XI</v>
      </c>
      <c r="B37" s="826" t="str">
        <f>RAB!B129</f>
        <v>PEKERJAAN AKHIR</v>
      </c>
      <c r="C37" s="836"/>
      <c r="D37" s="836"/>
      <c r="E37" s="836"/>
      <c r="F37" s="837"/>
      <c r="G37" s="816">
        <f>RAB!I131</f>
        <v>1750000</v>
      </c>
    </row>
    <row r="38" spans="1:13">
      <c r="A38" s="826"/>
      <c r="B38" s="835"/>
      <c r="C38" s="836"/>
      <c r="D38" s="836"/>
      <c r="E38" s="836"/>
      <c r="F38" s="837"/>
      <c r="G38" s="816"/>
    </row>
    <row r="39" spans="1:13" ht="15.75" thickBot="1">
      <c r="A39" s="1010"/>
      <c r="B39" s="1011"/>
      <c r="C39" s="1012"/>
      <c r="D39" s="1012"/>
      <c r="E39" s="1012"/>
      <c r="F39" s="1013"/>
      <c r="G39" s="1014"/>
    </row>
    <row r="40" spans="1:13" ht="15.75" thickTop="1">
      <c r="A40" s="838"/>
      <c r="B40" s="839"/>
      <c r="C40" s="839"/>
      <c r="D40" s="839"/>
      <c r="E40" s="839"/>
      <c r="F40" s="839" t="s">
        <v>4745</v>
      </c>
      <c r="G40" s="841">
        <f>SUM(G12:G38)</f>
        <v>491890157.58891153</v>
      </c>
      <c r="J40" s="1113">
        <v>545998074.91999996</v>
      </c>
      <c r="L40">
        <f>14.8*9.8</f>
        <v>145.04000000000002</v>
      </c>
      <c r="M40" s="1051">
        <f>L40*'analisa 2019 cetak'!G757</f>
        <v>7369256.1376000009</v>
      </c>
    </row>
    <row r="41" spans="1:13">
      <c r="A41" s="818"/>
      <c r="B41" s="817"/>
      <c r="C41" s="817"/>
      <c r="D41" s="817"/>
      <c r="E41" s="817"/>
      <c r="F41" s="817" t="s">
        <v>4784</v>
      </c>
      <c r="G41" s="842">
        <f>G40*0.11</f>
        <v>54107917.334780268</v>
      </c>
    </row>
    <row r="42" spans="1:13">
      <c r="A42" s="818"/>
      <c r="B42" s="817"/>
      <c r="C42" s="817"/>
      <c r="D42" s="817"/>
      <c r="E42" s="817"/>
      <c r="F42" s="817" t="s">
        <v>4740</v>
      </c>
      <c r="G42" s="842">
        <f>SUM(G40:G41)</f>
        <v>545998074.92369175</v>
      </c>
    </row>
    <row r="43" spans="1:13">
      <c r="A43" s="818"/>
      <c r="B43" s="817"/>
      <c r="C43" s="817"/>
      <c r="D43" s="817"/>
      <c r="E43" s="817"/>
      <c r="F43" s="840" t="s">
        <v>4759</v>
      </c>
      <c r="G43" s="843">
        <f>ROUNDDOWN(G42,-2)</f>
        <v>545998000</v>
      </c>
      <c r="J43" s="972">
        <v>546000000</v>
      </c>
    </row>
    <row r="44" spans="1:13">
      <c r="A44" s="819"/>
      <c r="B44" s="41"/>
      <c r="C44" s="41"/>
      <c r="D44" s="41"/>
      <c r="E44" s="41"/>
      <c r="F44" s="41"/>
      <c r="G44" s="828"/>
      <c r="J44" s="998">
        <f>G43-J43</f>
        <v>-2000</v>
      </c>
    </row>
    <row r="45" spans="1:13">
      <c r="A45" s="819"/>
      <c r="B45" s="1091" t="s">
        <v>4905</v>
      </c>
      <c r="C45" s="41"/>
      <c r="D45" s="41"/>
      <c r="E45" s="41"/>
      <c r="F45" s="41"/>
      <c r="G45" s="828"/>
    </row>
    <row r="46" spans="1:13" ht="15.75" thickBot="1">
      <c r="A46" s="820"/>
      <c r="B46" s="971"/>
      <c r="C46" s="971" t="s">
        <v>4906</v>
      </c>
      <c r="D46" s="971"/>
      <c r="E46" s="821"/>
      <c r="F46" s="821"/>
      <c r="G46" s="822"/>
    </row>
    <row r="47" spans="1:13" ht="15.75" thickTop="1"/>
    <row r="48" spans="1:13">
      <c r="F48" s="1252" t="s">
        <v>4904</v>
      </c>
      <c r="G48" s="1252"/>
    </row>
  </sheetData>
  <mergeCells count="3">
    <mergeCell ref="B9:F9"/>
    <mergeCell ref="F48:G48"/>
    <mergeCell ref="A1:G1"/>
  </mergeCells>
  <pageMargins left="0.7" right="0.7" top="0.75" bottom="0.75" header="0.3" footer="0.3"/>
  <pageSetup paperSize="9" scale="94" orientation="portrait" horizont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4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4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5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82" t="s">
        <v>2210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7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6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2211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2212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1332" t="s">
        <v>702</v>
      </c>
      <c r="F37" s="1332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2" t="s">
        <v>705</v>
      </c>
      <c r="F40" s="1332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2" t="s">
        <v>707</v>
      </c>
      <c r="C42" s="1332"/>
      <c r="D42" s="1332"/>
      <c r="E42" s="1332"/>
      <c r="F42" s="1332"/>
      <c r="G42" s="5"/>
    </row>
    <row r="43" spans="1:7" ht="12" customHeight="1">
      <c r="A43" s="12" t="s">
        <v>708</v>
      </c>
      <c r="B43" s="1329" t="s">
        <v>876</v>
      </c>
      <c r="C43" s="1329"/>
      <c r="D43" s="1329"/>
      <c r="E43" s="1330" t="s">
        <v>710</v>
      </c>
      <c r="F43" s="1330"/>
      <c r="G43" s="5"/>
    </row>
    <row r="44" spans="1:7" ht="12" customHeight="1">
      <c r="A44" s="12" t="s">
        <v>711</v>
      </c>
      <c r="B44" s="1331" t="s">
        <v>712</v>
      </c>
      <c r="C44" s="1331"/>
      <c r="D44" s="1331"/>
      <c r="E44" s="1331"/>
      <c r="F44" s="1331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47"/>
  <dimension ref="A1:G45"/>
  <sheetViews>
    <sheetView topLeftCell="A40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8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49"/>
  <dimension ref="A1:G45"/>
  <sheetViews>
    <sheetView topLeftCell="A16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0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2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2:V133"/>
  <sheetViews>
    <sheetView tabSelected="1" view="pageBreakPreview" zoomScaleSheetLayoutView="100" workbookViewId="0">
      <selection activeCell="D5" sqref="D5"/>
    </sheetView>
  </sheetViews>
  <sheetFormatPr defaultRowHeight="15"/>
  <cols>
    <col min="1" max="1" width="4.140625" bestFit="1" customWidth="1"/>
    <col min="2" max="2" width="11" style="973" customWidth="1"/>
    <col min="3" max="3" width="2.85546875" customWidth="1"/>
    <col min="4" max="4" width="32.85546875" customWidth="1"/>
    <col min="5" max="5" width="11.7109375" style="827" bestFit="1" customWidth="1"/>
    <col min="6" max="6" width="9.42578125" style="795" bestFit="1" customWidth="1"/>
    <col min="7" max="7" width="5.85546875" customWidth="1"/>
    <col min="8" max="8" width="16.28515625" style="795" bestFit="1" customWidth="1"/>
    <col min="9" max="9" width="16.140625" style="795" bestFit="1" customWidth="1"/>
    <col min="10" max="10" width="13.28515625" bestFit="1" customWidth="1"/>
    <col min="11" max="13" width="14.28515625" bestFit="1" customWidth="1"/>
    <col min="14" max="14" width="14.28515625" customWidth="1"/>
    <col min="15" max="15" width="14.28515625" bestFit="1" customWidth="1"/>
    <col min="16" max="17" width="13.28515625" bestFit="1" customWidth="1"/>
    <col min="20" max="20" width="13.28515625" bestFit="1" customWidth="1"/>
    <col min="21" max="22" width="14.28515625" bestFit="1" customWidth="1"/>
  </cols>
  <sheetData>
    <row r="2" spans="1:16" ht="26.25">
      <c r="A2" s="1260" t="s">
        <v>4911</v>
      </c>
      <c r="B2" s="1260"/>
      <c r="C2" s="1260"/>
      <c r="D2" s="1260"/>
      <c r="E2" s="1260"/>
      <c r="F2" s="1260"/>
      <c r="G2" s="1260"/>
      <c r="H2" s="1260"/>
      <c r="I2" s="1260"/>
    </row>
    <row r="3" spans="1:16">
      <c r="A3" s="1252"/>
      <c r="B3" s="1252"/>
      <c r="C3" s="1252"/>
      <c r="D3" s="1252"/>
      <c r="E3" s="1252"/>
      <c r="F3" s="1252"/>
      <c r="G3" s="1252"/>
      <c r="H3" s="1252"/>
      <c r="I3" s="1252"/>
    </row>
    <row r="4" spans="1:16">
      <c r="A4" t="s">
        <v>4761</v>
      </c>
      <c r="C4" t="s">
        <v>4762</v>
      </c>
      <c r="D4" s="1023" t="s">
        <v>4913</v>
      </c>
    </row>
    <row r="5" spans="1:16" s="1023" customFormat="1">
      <c r="A5" s="1023" t="s">
        <v>4907</v>
      </c>
      <c r="B5" s="973"/>
      <c r="C5" s="1023" t="s">
        <v>4762</v>
      </c>
      <c r="D5" s="1023" t="s">
        <v>4910</v>
      </c>
      <c r="E5" s="1049"/>
      <c r="F5" s="1024"/>
      <c r="H5" s="1024"/>
      <c r="I5" s="1024"/>
    </row>
    <row r="6" spans="1:16" s="1023" customFormat="1">
      <c r="A6" s="1023" t="s">
        <v>4763</v>
      </c>
      <c r="B6" s="973"/>
      <c r="C6" s="1023" t="s">
        <v>4762</v>
      </c>
      <c r="D6" s="1023" t="s">
        <v>4908</v>
      </c>
      <c r="E6" s="1049"/>
      <c r="F6" s="1024"/>
      <c r="H6" s="1024"/>
      <c r="I6" s="1024"/>
    </row>
    <row r="7" spans="1:16">
      <c r="D7" s="1023" t="s">
        <v>4909</v>
      </c>
    </row>
    <row r="8" spans="1:16">
      <c r="A8" t="s">
        <v>4764</v>
      </c>
      <c r="C8" t="s">
        <v>4762</v>
      </c>
      <c r="D8" s="973">
        <v>2023</v>
      </c>
    </row>
    <row r="9" spans="1:16" ht="15.75" thickBot="1"/>
    <row r="10" spans="1:16" s="100" customFormat="1" ht="28.5" customHeight="1" thickTop="1" thickBot="1">
      <c r="A10" s="793" t="s">
        <v>4734</v>
      </c>
      <c r="B10" s="1254" t="s">
        <v>4735</v>
      </c>
      <c r="C10" s="1255"/>
      <c r="D10" s="1256"/>
      <c r="E10" s="794" t="s">
        <v>4741</v>
      </c>
      <c r="F10" s="815" t="s">
        <v>4742</v>
      </c>
      <c r="G10" s="794" t="s">
        <v>4743</v>
      </c>
      <c r="H10" s="815" t="s">
        <v>4744</v>
      </c>
      <c r="I10" s="990" t="s">
        <v>4745</v>
      </c>
    </row>
    <row r="11" spans="1:16" s="100" customFormat="1" ht="16.5" customHeight="1" thickTop="1" thickBot="1">
      <c r="A11" s="823">
        <v>1</v>
      </c>
      <c r="B11" s="1257">
        <v>2</v>
      </c>
      <c r="C11" s="1258"/>
      <c r="D11" s="1259"/>
      <c r="E11" s="824">
        <v>3</v>
      </c>
      <c r="F11" s="825">
        <v>4</v>
      </c>
      <c r="G11" s="824">
        <v>5</v>
      </c>
      <c r="H11" s="825">
        <v>6</v>
      </c>
      <c r="I11" s="993">
        <v>7</v>
      </c>
      <c r="P11" s="100" t="s">
        <v>4772</v>
      </c>
    </row>
    <row r="12" spans="1:16" s="996" customFormat="1" ht="16.5" customHeight="1" thickTop="1">
      <c r="A12" s="975" t="str">
        <f>'BECKUP data'!A3</f>
        <v>A</v>
      </c>
      <c r="B12" s="1032" t="str">
        <f>'BECKUP data'!B3</f>
        <v>PEKERJAAN PERSIAPAN</v>
      </c>
      <c r="C12" s="976"/>
      <c r="D12" s="976"/>
      <c r="E12" s="976"/>
      <c r="F12" s="988"/>
      <c r="G12" s="976"/>
      <c r="H12" s="988"/>
      <c r="I12" s="991"/>
    </row>
    <row r="13" spans="1:16" s="996" customFormat="1" ht="16.5" customHeight="1">
      <c r="A13" s="1028" t="str">
        <f>'BECKUP data'!A4</f>
        <v>I.</v>
      </c>
      <c r="B13" s="1033" t="str">
        <f>'BECKUP data'!B4</f>
        <v>PEKERJAAN PENDAHULUAN</v>
      </c>
      <c r="C13" s="1029"/>
      <c r="D13" s="1029"/>
      <c r="E13" s="1029"/>
      <c r="F13" s="1030"/>
      <c r="G13" s="1029"/>
      <c r="H13" s="1030"/>
      <c r="I13" s="1031"/>
    </row>
    <row r="14" spans="1:16" s="974" customFormat="1" ht="16.5" customHeight="1">
      <c r="A14" s="982">
        <f>'BECKUP data'!A5</f>
        <v>1</v>
      </c>
      <c r="B14" s="1034" t="str">
        <f>'BECKUP data'!B5</f>
        <v>Pekerjaan Pengkuran kembali</v>
      </c>
      <c r="C14" s="986"/>
      <c r="D14" s="986"/>
      <c r="E14" s="986" t="s">
        <v>1011</v>
      </c>
      <c r="F14" s="989">
        <v>1</v>
      </c>
      <c r="G14" s="986"/>
      <c r="H14" s="989">
        <v>750000</v>
      </c>
      <c r="I14" s="992">
        <f t="shared" ref="I14:I20" si="0">F14*H14</f>
        <v>750000</v>
      </c>
      <c r="L14" s="974" t="s">
        <v>4770</v>
      </c>
    </row>
    <row r="15" spans="1:16" s="974" customFormat="1" ht="16.5" customHeight="1">
      <c r="A15" s="982">
        <f>'BECKUP data'!A6</f>
        <v>2</v>
      </c>
      <c r="B15" s="983" t="s">
        <v>4886</v>
      </c>
      <c r="C15" s="984"/>
      <c r="D15" s="985"/>
      <c r="E15" s="986"/>
      <c r="F15" s="989"/>
      <c r="G15" s="986"/>
      <c r="H15" s="989"/>
      <c r="I15" s="992"/>
    </row>
    <row r="16" spans="1:16" s="974" customFormat="1" ht="16.5" customHeight="1">
      <c r="A16" s="982"/>
      <c r="B16" s="983" t="s">
        <v>4887</v>
      </c>
      <c r="C16" s="984"/>
      <c r="D16" s="985"/>
      <c r="E16" s="986" t="s">
        <v>1011</v>
      </c>
      <c r="F16" s="989">
        <v>8</v>
      </c>
      <c r="G16" s="986" t="s">
        <v>743</v>
      </c>
      <c r="H16" s="989">
        <v>50000</v>
      </c>
      <c r="I16" s="997">
        <v>400000</v>
      </c>
    </row>
    <row r="17" spans="1:10" s="974" customFormat="1" ht="16.5" customHeight="1">
      <c r="A17" s="982"/>
      <c r="B17" s="983" t="s">
        <v>4888</v>
      </c>
      <c r="C17" s="984"/>
      <c r="D17" s="985"/>
      <c r="E17" s="986" t="s">
        <v>1011</v>
      </c>
      <c r="F17" s="989">
        <v>8</v>
      </c>
      <c r="G17" s="986" t="s">
        <v>743</v>
      </c>
      <c r="H17" s="989">
        <v>40000</v>
      </c>
      <c r="I17" s="997">
        <v>320000</v>
      </c>
    </row>
    <row r="18" spans="1:10" s="974" customFormat="1" ht="16.5" customHeight="1">
      <c r="A18" s="982"/>
      <c r="B18" s="983" t="s">
        <v>4889</v>
      </c>
      <c r="C18" s="984"/>
      <c r="D18" s="985"/>
      <c r="E18" s="986" t="s">
        <v>1011</v>
      </c>
      <c r="F18" s="989">
        <v>8</v>
      </c>
      <c r="G18" s="986" t="s">
        <v>4890</v>
      </c>
      <c r="H18" s="989">
        <v>15000</v>
      </c>
      <c r="I18" s="997">
        <v>120000</v>
      </c>
    </row>
    <row r="19" spans="1:10" s="974" customFormat="1" ht="16.5" customHeight="1">
      <c r="A19" s="982"/>
      <c r="B19" s="983" t="s">
        <v>4891</v>
      </c>
      <c r="C19" s="984"/>
      <c r="D19" s="985"/>
      <c r="E19" s="986" t="s">
        <v>1011</v>
      </c>
      <c r="F19" s="989">
        <v>8</v>
      </c>
      <c r="G19" s="986" t="s">
        <v>4890</v>
      </c>
      <c r="H19" s="989">
        <v>200000</v>
      </c>
      <c r="I19" s="997">
        <v>1600000</v>
      </c>
    </row>
    <row r="20" spans="1:10" s="974" customFormat="1" ht="16.5" customHeight="1" thickBot="1">
      <c r="A20" s="982">
        <f>'BECKUP data'!A7</f>
        <v>3</v>
      </c>
      <c r="B20" s="983" t="str">
        <f>'BECKUP data'!B7</f>
        <v>Perancah Alat Bantu Kerja</v>
      </c>
      <c r="C20" s="984"/>
      <c r="D20" s="985"/>
      <c r="E20" s="986" t="s">
        <v>1011</v>
      </c>
      <c r="F20" s="989">
        <v>1</v>
      </c>
      <c r="G20" s="986"/>
      <c r="H20" s="989">
        <v>600000</v>
      </c>
      <c r="I20" s="997">
        <f t="shared" si="0"/>
        <v>600000</v>
      </c>
    </row>
    <row r="21" spans="1:10" s="974" customFormat="1" ht="16.5" customHeight="1" thickTop="1">
      <c r="A21" s="982"/>
      <c r="B21" s="981"/>
      <c r="C21" s="978"/>
      <c r="D21" s="979"/>
      <c r="E21" s="986"/>
      <c r="F21" s="989"/>
      <c r="G21" s="986"/>
      <c r="H21" s="989"/>
      <c r="I21" s="991">
        <f>SUM(I14:I20)</f>
        <v>3790000</v>
      </c>
    </row>
    <row r="22" spans="1:10" s="996" customFormat="1" ht="16.5" customHeight="1">
      <c r="A22" s="977" t="str">
        <f>'BECKUP data'!A9</f>
        <v xml:space="preserve">II. </v>
      </c>
      <c r="B22" s="981" t="str">
        <f>'BECKUP data'!B9</f>
        <v>PEKERJAAN BONGKARAN</v>
      </c>
      <c r="C22" s="978"/>
      <c r="D22" s="979"/>
      <c r="E22" s="980"/>
      <c r="F22" s="995"/>
      <c r="G22" s="980"/>
      <c r="H22" s="995"/>
      <c r="I22" s="994"/>
      <c r="J22" s="1008"/>
    </row>
    <row r="23" spans="1:10" s="987" customFormat="1" ht="16.5" customHeight="1">
      <c r="A23" s="982">
        <f>'BECKUP data'!A10</f>
        <v>1</v>
      </c>
      <c r="B23" s="983" t="str">
        <f>'BECKUP data'!B10</f>
        <v>Pek. Bongkaran Atap</v>
      </c>
      <c r="C23" s="984"/>
      <c r="D23" s="985"/>
      <c r="E23" s="986"/>
      <c r="F23" s="989">
        <f>'BECKUP data'!I10</f>
        <v>416.745</v>
      </c>
      <c r="G23" s="989" t="str">
        <f>'BECKUP data'!J10</f>
        <v>m2</v>
      </c>
      <c r="H23" s="989">
        <f>'UPAD-BAHAN-ALAT Cetak'!I38</f>
        <v>20000</v>
      </c>
      <c r="I23" s="992">
        <f t="shared" ref="I23:I25" si="1">F23*H23</f>
        <v>8334900</v>
      </c>
      <c r="J23" s="1006"/>
    </row>
    <row r="24" spans="1:10" s="987" customFormat="1" ht="16.5" customHeight="1">
      <c r="A24" s="982">
        <f>'BECKUP data'!A11</f>
        <v>2</v>
      </c>
      <c r="B24" s="983" t="str">
        <f>'BECKUP data'!B11</f>
        <v>Pek. Bongkar Dinding</v>
      </c>
      <c r="C24" s="984"/>
      <c r="D24" s="985"/>
      <c r="E24" s="986"/>
      <c r="F24" s="989">
        <f>'BECKUP data'!I11</f>
        <v>7.125</v>
      </c>
      <c r="G24" s="989" t="str">
        <f>'BECKUP data'!J11</f>
        <v>m2</v>
      </c>
      <c r="H24" s="989">
        <f>'UPAD-BAHAN-ALAT Cetak'!I37</f>
        <v>10000</v>
      </c>
      <c r="I24" s="992">
        <f t="shared" si="1"/>
        <v>71250</v>
      </c>
      <c r="J24" s="1006"/>
    </row>
    <row r="25" spans="1:10" s="987" customFormat="1" ht="16.5" customHeight="1" thickBot="1">
      <c r="A25" s="982">
        <f>'BECKUP data'!A12</f>
        <v>3</v>
      </c>
      <c r="B25" s="983" t="str">
        <f>'BECKUP data'!B12</f>
        <v>Pek. Bongkaran Pintu P1</v>
      </c>
      <c r="C25" s="984"/>
      <c r="D25" s="985"/>
      <c r="E25" s="986"/>
      <c r="F25" s="989">
        <f>'BECKUP data'!I12</f>
        <v>1</v>
      </c>
      <c r="G25" s="989" t="str">
        <f>'BECKUP data'!J12</f>
        <v>bh</v>
      </c>
      <c r="H25" s="989">
        <v>150000</v>
      </c>
      <c r="I25" s="997">
        <f t="shared" si="1"/>
        <v>150000</v>
      </c>
      <c r="J25" s="1006"/>
    </row>
    <row r="26" spans="1:10" s="987" customFormat="1" ht="16.5" customHeight="1" thickTop="1">
      <c r="A26" s="982"/>
      <c r="B26" s="983"/>
      <c r="C26" s="984"/>
      <c r="D26" s="985"/>
      <c r="E26" s="986"/>
      <c r="F26" s="989"/>
      <c r="G26" s="989"/>
      <c r="H26" s="989"/>
      <c r="I26" s="991">
        <f>SUM(I23:I25)</f>
        <v>8556150</v>
      </c>
      <c r="J26" s="1006"/>
    </row>
    <row r="27" spans="1:10" s="996" customFormat="1" ht="16.5" customHeight="1">
      <c r="A27" s="977" t="str">
        <f>'BECKUP data'!A15</f>
        <v>B</v>
      </c>
      <c r="B27" s="981" t="str">
        <f>'BECKUP data'!B15</f>
        <v>PEKERJAAN REHAB GUDANG PEYIMPANAN BENIH PADI</v>
      </c>
      <c r="C27" s="978"/>
      <c r="D27" s="979"/>
      <c r="E27" s="980"/>
      <c r="F27" s="995"/>
      <c r="G27" s="995"/>
      <c r="H27" s="995"/>
      <c r="I27" s="994"/>
      <c r="J27" s="1009"/>
    </row>
    <row r="28" spans="1:10" s="996" customFormat="1" ht="16.5" customHeight="1">
      <c r="A28" s="977" t="str">
        <f>'BECKUP data'!A16</f>
        <v>I</v>
      </c>
      <c r="B28" s="981" t="str">
        <f>'BECKUP data'!B16</f>
        <v>PEKERJAAN GALIAN</v>
      </c>
      <c r="C28" s="978"/>
      <c r="D28" s="979"/>
      <c r="E28" s="980"/>
      <c r="F28" s="995"/>
      <c r="G28" s="995"/>
      <c r="H28" s="995"/>
      <c r="I28" s="994"/>
      <c r="J28" s="1009"/>
    </row>
    <row r="29" spans="1:10" s="996" customFormat="1" ht="16.5" customHeight="1">
      <c r="A29" s="982">
        <v>1</v>
      </c>
      <c r="B29" s="983" t="s">
        <v>4903</v>
      </c>
      <c r="C29" s="984"/>
      <c r="D29" s="985"/>
      <c r="E29" s="986"/>
      <c r="F29" s="989">
        <f>(11+11+16+16)</f>
        <v>54</v>
      </c>
      <c r="G29" s="989" t="s">
        <v>2970</v>
      </c>
      <c r="H29" s="989">
        <f>'analisa 2019 cetak'!G31</f>
        <v>62192</v>
      </c>
      <c r="I29" s="992">
        <f t="shared" ref="I29:I35" si="2">F29*H29</f>
        <v>3358368</v>
      </c>
      <c r="J29" s="1009"/>
    </row>
    <row r="30" spans="1:10" s="987" customFormat="1" ht="16.5" customHeight="1">
      <c r="A30" s="982">
        <v>2</v>
      </c>
      <c r="B30" s="983" t="str">
        <f>'BECKUP data'!B17</f>
        <v>Pek. Galian Pondasi Tapak (PT1)</v>
      </c>
      <c r="C30" s="984"/>
      <c r="D30" s="985"/>
      <c r="E30" s="986"/>
      <c r="F30" s="989">
        <f>'BECKUP data'!I17</f>
        <v>4.8366699999999998</v>
      </c>
      <c r="G30" s="989" t="str">
        <f>'BECKUP data'!J17</f>
        <v>m3</v>
      </c>
      <c r="H30" s="989">
        <f>'analisa 2019 cetak'!G44</f>
        <v>90275</v>
      </c>
      <c r="I30" s="992">
        <f t="shared" si="2"/>
        <v>436630.38425</v>
      </c>
      <c r="J30" s="1006"/>
    </row>
    <row r="31" spans="1:10" s="987" customFormat="1" ht="16.5" customHeight="1">
      <c r="A31" s="982">
        <v>3</v>
      </c>
      <c r="B31" s="983" t="str">
        <f>'BECKUP data'!B19</f>
        <v>Pek. Galian Pondasi Tapak (PT2)</v>
      </c>
      <c r="C31" s="984"/>
      <c r="D31" s="985"/>
      <c r="E31" s="986"/>
      <c r="F31" s="989">
        <f>'BECKUP data'!I19</f>
        <v>6.0458374999999993</v>
      </c>
      <c r="G31" s="989" t="str">
        <f>'BECKUP data'!J19</f>
        <v>m3</v>
      </c>
      <c r="H31" s="989">
        <f>H30</f>
        <v>90275</v>
      </c>
      <c r="I31" s="992">
        <f t="shared" si="2"/>
        <v>545787.98031249992</v>
      </c>
      <c r="J31" s="1006"/>
    </row>
    <row r="32" spans="1:10" s="987" customFormat="1" ht="16.5" customHeight="1">
      <c r="A32" s="982">
        <v>4</v>
      </c>
      <c r="B32" s="983" t="str">
        <f>'BECKUP data'!B21</f>
        <v>Pek. Galian Pondasi Tapak (PT3)</v>
      </c>
      <c r="C32" s="984"/>
      <c r="D32" s="985"/>
      <c r="E32" s="986"/>
      <c r="F32" s="989">
        <f>'BECKUP data'!I21</f>
        <v>3.2471399999999999</v>
      </c>
      <c r="G32" s="989" t="str">
        <f>'BECKUP data'!J21</f>
        <v>m3</v>
      </c>
      <c r="H32" s="989">
        <f>H31</f>
        <v>90275</v>
      </c>
      <c r="I32" s="992">
        <f t="shared" si="2"/>
        <v>293135.56349999999</v>
      </c>
      <c r="J32" s="1006"/>
    </row>
    <row r="33" spans="1:10" s="987" customFormat="1" ht="16.5" customHeight="1">
      <c r="A33" s="982">
        <v>5</v>
      </c>
      <c r="B33" s="983" t="str">
        <f>'BECKUP data'!B23</f>
        <v>Pek. Galian Pondasi Tapak (PT4)</v>
      </c>
      <c r="C33" s="984"/>
      <c r="D33" s="985"/>
      <c r="E33" s="986"/>
      <c r="F33" s="989">
        <f>'BECKUP data'!I23</f>
        <v>4.3295199999999996</v>
      </c>
      <c r="G33" s="989" t="str">
        <f>'BECKUP data'!J23</f>
        <v>m3</v>
      </c>
      <c r="H33" s="989">
        <f>H32</f>
        <v>90275</v>
      </c>
      <c r="I33" s="992">
        <f t="shared" si="2"/>
        <v>390847.41799999995</v>
      </c>
      <c r="J33" s="1006"/>
    </row>
    <row r="34" spans="1:10" s="987" customFormat="1" ht="16.5" customHeight="1">
      <c r="A34" s="982">
        <v>6</v>
      </c>
      <c r="B34" s="983" t="str">
        <f>'BECKUP data'!B25</f>
        <v>Pek. Galian Dinding  Penahan (DP1)</v>
      </c>
      <c r="C34" s="984"/>
      <c r="D34" s="985"/>
      <c r="E34" s="986"/>
      <c r="F34" s="989">
        <f>'BECKUP data'!I27</f>
        <v>2.3476499999999998</v>
      </c>
      <c r="G34" s="989" t="str">
        <f>'BECKUP data'!J27</f>
        <v>m3</v>
      </c>
      <c r="H34" s="989">
        <f>H33</f>
        <v>90275</v>
      </c>
      <c r="I34" s="992">
        <f t="shared" si="2"/>
        <v>211934.10374999998</v>
      </c>
      <c r="J34" s="1006"/>
    </row>
    <row r="35" spans="1:10" s="987" customFormat="1" ht="16.5" customHeight="1" thickBot="1">
      <c r="A35" s="982">
        <v>7</v>
      </c>
      <c r="B35" s="983" t="str">
        <f>'BECKUP data'!B29</f>
        <v>Pek. Galian Dinding  Penahan (DP2)</v>
      </c>
      <c r="C35" s="984"/>
      <c r="D35" s="985"/>
      <c r="E35" s="986"/>
      <c r="F35" s="989">
        <f>'BECKUP data'!I29</f>
        <v>3.4964999999999997</v>
      </c>
      <c r="G35" s="989" t="str">
        <f>'BECKUP data'!J29</f>
        <v>m3</v>
      </c>
      <c r="H35" s="989">
        <f>'analisa 2019 cetak'!G49</f>
        <v>50000</v>
      </c>
      <c r="I35" s="997">
        <f t="shared" si="2"/>
        <v>174825</v>
      </c>
      <c r="J35" s="1006"/>
    </row>
    <row r="36" spans="1:10" s="987" customFormat="1" ht="16.5" customHeight="1" thickTop="1">
      <c r="A36" s="982"/>
      <c r="B36" s="983"/>
      <c r="C36" s="984"/>
      <c r="D36" s="985"/>
      <c r="E36" s="986"/>
      <c r="F36" s="989"/>
      <c r="G36" s="989"/>
      <c r="H36" s="989"/>
      <c r="I36" s="1035">
        <f>SUM(I29:I35)</f>
        <v>5411528.4498124998</v>
      </c>
      <c r="J36" s="1006"/>
    </row>
    <row r="37" spans="1:10" s="996" customFormat="1" ht="16.5" customHeight="1">
      <c r="A37" s="977" t="str">
        <f>'BECKUP data'!A31</f>
        <v>II</v>
      </c>
      <c r="B37" s="981" t="str">
        <f>'BECKUP data'!B31</f>
        <v xml:space="preserve">PEKERJAAN URUGAN </v>
      </c>
      <c r="C37" s="978"/>
      <c r="D37" s="979"/>
      <c r="E37" s="980"/>
      <c r="F37" s="995"/>
      <c r="G37" s="995"/>
      <c r="H37" s="995"/>
      <c r="I37" s="994"/>
      <c r="J37" s="1009"/>
    </row>
    <row r="38" spans="1:10" s="987" customFormat="1" ht="16.5" customHeight="1">
      <c r="A38" s="982">
        <f>'BECKUP data'!A32</f>
        <v>1</v>
      </c>
      <c r="B38" s="983" t="str">
        <f>'BECKUP data'!B32</f>
        <v>Pek. Urug Pondasi Tapak (PT1)</v>
      </c>
      <c r="C38" s="984"/>
      <c r="D38" s="985"/>
      <c r="E38" s="986"/>
      <c r="F38" s="989">
        <f>'BECKUP data'!I32</f>
        <v>1.6122233333333333</v>
      </c>
      <c r="G38" s="989" t="str">
        <f>'BECKUP data'!J32</f>
        <v>m3</v>
      </c>
      <c r="H38" s="989">
        <f>'analisa 2019 cetak'!G56</f>
        <v>65550</v>
      </c>
      <c r="I38" s="992">
        <f t="shared" ref="I38:I44" si="3">F38*H38</f>
        <v>105681.2395</v>
      </c>
      <c r="J38" s="1006"/>
    </row>
    <row r="39" spans="1:10" s="987" customFormat="1" ht="16.5" customHeight="1">
      <c r="A39" s="982">
        <f>'BECKUP data'!A33</f>
        <v>2</v>
      </c>
      <c r="B39" s="983" t="str">
        <f>'BECKUP data'!B33</f>
        <v>Pek. Urug Pondasi Tapak (PT2)</v>
      </c>
      <c r="C39" s="984"/>
      <c r="D39" s="985"/>
      <c r="E39" s="986"/>
      <c r="F39" s="989">
        <f>'BECKUP data'!I33</f>
        <v>2.0152791666666663</v>
      </c>
      <c r="G39" s="989" t="str">
        <f>'BECKUP data'!J33</f>
        <v>m3</v>
      </c>
      <c r="H39" s="989">
        <f>H38</f>
        <v>65550</v>
      </c>
      <c r="I39" s="992">
        <f t="shared" si="3"/>
        <v>132101.54937499997</v>
      </c>
      <c r="J39" s="1006"/>
    </row>
    <row r="40" spans="1:10" s="987" customFormat="1" ht="16.5" customHeight="1">
      <c r="A40" s="982">
        <f>'BECKUP data'!A34</f>
        <v>3</v>
      </c>
      <c r="B40" s="983" t="str">
        <f>'BECKUP data'!B34</f>
        <v>Pek. Urug Pondasi Tapak (PT3)</v>
      </c>
      <c r="C40" s="984"/>
      <c r="D40" s="985"/>
      <c r="E40" s="986"/>
      <c r="F40" s="989">
        <f>'BECKUP data'!I34</f>
        <v>1.0823799999999999</v>
      </c>
      <c r="G40" s="989" t="str">
        <f>'BECKUP data'!J34</f>
        <v>m3</v>
      </c>
      <c r="H40" s="989">
        <f>H39</f>
        <v>65550</v>
      </c>
      <c r="I40" s="992">
        <f t="shared" si="3"/>
        <v>70950.008999999991</v>
      </c>
      <c r="J40" s="1006"/>
    </row>
    <row r="41" spans="1:10" s="987" customFormat="1" ht="16.5" customHeight="1">
      <c r="A41" s="982">
        <f>'BECKUP data'!A35</f>
        <v>4</v>
      </c>
      <c r="B41" s="983" t="str">
        <f>'BECKUP data'!B35</f>
        <v>Pek. Urug Pondasi Tapak (PT4)</v>
      </c>
      <c r="C41" s="984"/>
      <c r="D41" s="985"/>
      <c r="E41" s="986"/>
      <c r="F41" s="989">
        <f>'BECKUP data'!I35</f>
        <v>1.4431733333333332</v>
      </c>
      <c r="G41" s="989" t="str">
        <f>'BECKUP data'!J35</f>
        <v>m3</v>
      </c>
      <c r="H41" s="989">
        <f>H40</f>
        <v>65550</v>
      </c>
      <c r="I41" s="992">
        <f t="shared" si="3"/>
        <v>94600.011999999988</v>
      </c>
      <c r="J41" s="1006"/>
    </row>
    <row r="42" spans="1:10" s="987" customFormat="1" ht="16.5" customHeight="1">
      <c r="A42" s="982">
        <f>'BECKUP data'!A36</f>
        <v>5</v>
      </c>
      <c r="B42" s="983" t="str">
        <f>'BECKUP data'!B36</f>
        <v>Pek. Urug Dinding  Penahan (DP1)</v>
      </c>
      <c r="C42" s="984"/>
      <c r="D42" s="985"/>
      <c r="E42" s="986"/>
      <c r="F42" s="989">
        <f>'BECKUP data'!I36</f>
        <v>0.78254999999999997</v>
      </c>
      <c r="G42" s="989" t="str">
        <f>'BECKUP data'!J36</f>
        <v>m3</v>
      </c>
      <c r="H42" s="989">
        <f>H41</f>
        <v>65550</v>
      </c>
      <c r="I42" s="992">
        <f t="shared" si="3"/>
        <v>51296.152499999997</v>
      </c>
      <c r="J42" s="1006"/>
    </row>
    <row r="43" spans="1:10" s="987" customFormat="1" ht="16.5" customHeight="1">
      <c r="A43" s="982">
        <f>'BECKUP data'!A37</f>
        <v>6</v>
      </c>
      <c r="B43" s="983" t="str">
        <f>'BECKUP data'!B37</f>
        <v>Pek. Urug Penahan (DP2)</v>
      </c>
      <c r="C43" s="984"/>
      <c r="D43" s="985"/>
      <c r="E43" s="986"/>
      <c r="F43" s="989">
        <f>'BECKUP data'!I37</f>
        <v>1.1655</v>
      </c>
      <c r="G43" s="989" t="str">
        <f>'BECKUP data'!J37</f>
        <v>m3</v>
      </c>
      <c r="H43" s="989">
        <f>H42</f>
        <v>65550</v>
      </c>
      <c r="I43" s="992">
        <f t="shared" si="3"/>
        <v>76398.524999999994</v>
      </c>
      <c r="J43" s="1006"/>
    </row>
    <row r="44" spans="1:10" s="987" customFormat="1" ht="16.5" customHeight="1" thickBot="1">
      <c r="A44" s="982">
        <f>'BECKUP data'!A39</f>
        <v>7</v>
      </c>
      <c r="B44" s="983" t="str">
        <f>'BECKUP data'!B39</f>
        <v>Pek. Tanah Timbun</v>
      </c>
      <c r="C44" s="984"/>
      <c r="D44" s="985"/>
      <c r="E44" s="986"/>
      <c r="F44" s="989">
        <f>'BECKUP data'!I39</f>
        <v>33</v>
      </c>
      <c r="G44" s="989" t="str">
        <f>'BECKUP data'!J39</f>
        <v>m3</v>
      </c>
      <c r="H44" s="989">
        <f>'analisa 2019 cetak'!G69</f>
        <v>160310</v>
      </c>
      <c r="I44" s="997">
        <f t="shared" si="3"/>
        <v>5290230</v>
      </c>
      <c r="J44" s="1006"/>
    </row>
    <row r="45" spans="1:10" s="987" customFormat="1" ht="16.5" customHeight="1" thickTop="1">
      <c r="A45" s="982"/>
      <c r="B45" s="983"/>
      <c r="C45" s="984"/>
      <c r="D45" s="985"/>
      <c r="E45" s="986"/>
      <c r="F45" s="989"/>
      <c r="G45" s="989"/>
      <c r="H45" s="989"/>
      <c r="I45" s="1035">
        <f>SUM(I38:I44)</f>
        <v>5821257.4873749996</v>
      </c>
      <c r="J45" s="1006"/>
    </row>
    <row r="46" spans="1:10" s="996" customFormat="1" ht="16.5" customHeight="1">
      <c r="A46" s="977" t="str">
        <f>'BECKUP data'!A42</f>
        <v>III</v>
      </c>
      <c r="B46" s="981" t="str">
        <f>'BECKUP data'!B42</f>
        <v>PEKERJAAN PONDASI TAPAK (PT)</v>
      </c>
      <c r="C46" s="978"/>
      <c r="D46" s="979"/>
      <c r="E46" s="980"/>
      <c r="F46" s="995"/>
      <c r="G46" s="995"/>
      <c r="H46" s="995"/>
      <c r="I46" s="994"/>
      <c r="J46" s="1009"/>
    </row>
    <row r="47" spans="1:10" s="987" customFormat="1" ht="16.5" customHeight="1">
      <c r="A47" s="982">
        <f>'BECKUP data'!A43</f>
        <v>1</v>
      </c>
      <c r="B47" s="983" t="str">
        <f>'BECKUP data'!B43</f>
        <v>Pek. Pondasi Tapak (PT1)</v>
      </c>
      <c r="C47" s="984"/>
      <c r="D47" s="985"/>
      <c r="E47" s="986"/>
      <c r="F47" s="989"/>
      <c r="G47" s="989"/>
      <c r="H47" s="989"/>
      <c r="I47" s="992"/>
      <c r="J47" s="1006"/>
    </row>
    <row r="48" spans="1:10" s="987" customFormat="1" ht="16.5" customHeight="1">
      <c r="A48" s="982"/>
      <c r="B48" s="983" t="str">
        <f>'BECKUP data'!B44</f>
        <v>- Pek. Cor Lantai Kerja</v>
      </c>
      <c r="C48" s="984"/>
      <c r="D48" s="985"/>
      <c r="E48" s="986"/>
      <c r="F48" s="989">
        <f>'BECKUP data'!I44</f>
        <v>0.19599999999999998</v>
      </c>
      <c r="G48" s="989" t="str">
        <f>'BECKUP data'!J44</f>
        <v>m3</v>
      </c>
      <c r="H48" s="989">
        <f>'analisa 2019 cetak'!G100</f>
        <v>983204.21</v>
      </c>
      <c r="I48" s="992">
        <f t="shared" ref="I48:I51" si="4">F48*H48</f>
        <v>192708.02515999996</v>
      </c>
      <c r="J48" s="1006"/>
    </row>
    <row r="49" spans="1:10" s="987" customFormat="1" ht="16.5" customHeight="1">
      <c r="A49" s="982"/>
      <c r="B49" s="983" t="str">
        <f>'BECKUP data'!B46</f>
        <v>-Pek. Beton Cor Pedestal</v>
      </c>
      <c r="C49" s="984"/>
      <c r="D49" s="985"/>
      <c r="E49" s="986"/>
      <c r="F49" s="989">
        <f>'BECKUP data'!I48</f>
        <v>0.6</v>
      </c>
      <c r="G49" s="989" t="str">
        <f>'BECKUP data'!J48</f>
        <v>m3</v>
      </c>
      <c r="H49" s="989">
        <f>'analisa 2019 cetak'!G135</f>
        <v>1346027.72</v>
      </c>
      <c r="I49" s="992">
        <f t="shared" si="4"/>
        <v>807616.63199999998</v>
      </c>
      <c r="J49" s="1006"/>
    </row>
    <row r="50" spans="1:10" s="987" customFormat="1" ht="16.5" customHeight="1">
      <c r="A50" s="982"/>
      <c r="B50" s="983" t="str">
        <f>'BECKUP data'!B50</f>
        <v>-Pek. Pembesian</v>
      </c>
      <c r="C50" s="984"/>
      <c r="D50" s="985"/>
      <c r="E50" s="986"/>
      <c r="F50" s="989">
        <f>'BECKUP data'!I58</f>
        <v>86.812666666666672</v>
      </c>
      <c r="G50" s="989" t="str">
        <f>'BECKUP data'!J58</f>
        <v>kg</v>
      </c>
      <c r="H50" s="989">
        <f>'analisa 2019 cetak'!G211</f>
        <v>18332.150000000001</v>
      </c>
      <c r="I50" s="992">
        <f t="shared" si="4"/>
        <v>1591462.8272333336</v>
      </c>
      <c r="J50" s="1006"/>
    </row>
    <row r="51" spans="1:10" s="987" customFormat="1" ht="16.5" customHeight="1">
      <c r="A51" s="982"/>
      <c r="B51" s="983" t="str">
        <f>'BECKUP data'!B60</f>
        <v>-Pek. Bekisting</v>
      </c>
      <c r="C51" s="984"/>
      <c r="D51" s="985"/>
      <c r="E51" s="986"/>
      <c r="F51" s="989">
        <f>'BECKUP data'!I60</f>
        <v>3.2</v>
      </c>
      <c r="G51" s="989" t="str">
        <f>'BECKUP data'!J60</f>
        <v>m2</v>
      </c>
      <c r="H51" s="989">
        <f>'analisa 2019 cetak'!G173</f>
        <v>271365.5</v>
      </c>
      <c r="I51" s="992">
        <f t="shared" si="4"/>
        <v>868369.60000000009</v>
      </c>
      <c r="J51" s="1006"/>
    </row>
    <row r="52" spans="1:10" s="987" customFormat="1" ht="16.5" customHeight="1">
      <c r="A52" s="982">
        <f>'BECKUP data'!A62</f>
        <v>2</v>
      </c>
      <c r="B52" s="983" t="str">
        <f>'BECKUP data'!B62</f>
        <v>Pek. Pondasi Tapak (PT2)</v>
      </c>
      <c r="C52" s="984"/>
      <c r="D52" s="985"/>
      <c r="E52" s="986"/>
      <c r="F52" s="989"/>
      <c r="G52" s="989"/>
      <c r="H52" s="989"/>
      <c r="I52" s="992"/>
      <c r="J52" s="1006"/>
    </row>
    <row r="53" spans="1:10" s="987" customFormat="1" ht="16.5" customHeight="1">
      <c r="A53" s="982"/>
      <c r="B53" s="983" t="str">
        <f>'BECKUP data'!B63</f>
        <v>- Pek. Cor Lantai Kerja</v>
      </c>
      <c r="C53" s="984"/>
      <c r="D53" s="985"/>
      <c r="E53" s="986"/>
      <c r="F53" s="989">
        <f>'BECKUP data'!I63</f>
        <v>0.24499999999999997</v>
      </c>
      <c r="G53" s="989" t="str">
        <f>'BECKUP data'!J63</f>
        <v>m3</v>
      </c>
      <c r="H53" s="989">
        <f>H48</f>
        <v>983204.21</v>
      </c>
      <c r="I53" s="992">
        <f t="shared" ref="I53:I56" si="5">F53*H53</f>
        <v>240885.03144999995</v>
      </c>
      <c r="J53" s="1006"/>
    </row>
    <row r="54" spans="1:10" s="987" customFormat="1" ht="16.5" customHeight="1">
      <c r="A54" s="982"/>
      <c r="B54" s="983" t="str">
        <f>'BECKUP data'!B65</f>
        <v>-Pek. Beton Cor Pedestal</v>
      </c>
      <c r="C54" s="984"/>
      <c r="D54" s="985"/>
      <c r="E54" s="986"/>
      <c r="F54" s="989">
        <f>'BECKUP data'!I67</f>
        <v>0.75</v>
      </c>
      <c r="G54" s="989" t="str">
        <f>'BECKUP data'!J67</f>
        <v>m3</v>
      </c>
      <c r="H54" s="989">
        <f>H49</f>
        <v>1346027.72</v>
      </c>
      <c r="I54" s="992">
        <f t="shared" si="5"/>
        <v>1009520.79</v>
      </c>
      <c r="J54" s="1006"/>
    </row>
    <row r="55" spans="1:10" s="987" customFormat="1" ht="16.5" customHeight="1">
      <c r="A55" s="982"/>
      <c r="B55" s="983" t="str">
        <f>'BECKUP data'!B69</f>
        <v>-Pek. Pembesian</v>
      </c>
      <c r="C55" s="984"/>
      <c r="D55" s="985"/>
      <c r="E55" s="986"/>
      <c r="F55" s="989">
        <f>'BECKUP data'!I77</f>
        <v>108.51583333333335</v>
      </c>
      <c r="G55" s="989" t="str">
        <f>'BECKUP data'!J77</f>
        <v>kg</v>
      </c>
      <c r="H55" s="989">
        <f>H50</f>
        <v>18332.150000000001</v>
      </c>
      <c r="I55" s="992">
        <f t="shared" si="5"/>
        <v>1989328.5340416671</v>
      </c>
      <c r="J55" s="1006"/>
    </row>
    <row r="56" spans="1:10" s="987" customFormat="1" ht="16.5" customHeight="1">
      <c r="A56" s="982"/>
      <c r="B56" s="983" t="str">
        <f>'BECKUP data'!B79</f>
        <v>-Pek. Bekisting</v>
      </c>
      <c r="C56" s="984"/>
      <c r="D56" s="985"/>
      <c r="E56" s="986"/>
      <c r="F56" s="989">
        <f>'BECKUP data'!I79</f>
        <v>4</v>
      </c>
      <c r="G56" s="989" t="str">
        <f>'BECKUP data'!J79</f>
        <v>m2</v>
      </c>
      <c r="H56" s="989">
        <f>H51</f>
        <v>271365.5</v>
      </c>
      <c r="I56" s="992">
        <f t="shared" si="5"/>
        <v>1085462</v>
      </c>
      <c r="J56" s="1006"/>
    </row>
    <row r="57" spans="1:10" s="987" customFormat="1" ht="16.5" customHeight="1">
      <c r="A57" s="982">
        <f>'BECKUP data'!A81</f>
        <v>3</v>
      </c>
      <c r="B57" s="983" t="str">
        <f>'BECKUP data'!B81</f>
        <v>Pek. Pondasi Tapak (PT3)</v>
      </c>
      <c r="C57" s="984"/>
      <c r="D57" s="985"/>
      <c r="E57" s="986"/>
      <c r="F57" s="989"/>
      <c r="G57" s="989"/>
      <c r="H57" s="989"/>
      <c r="I57" s="992"/>
      <c r="J57" s="1006"/>
    </row>
    <row r="58" spans="1:10" s="987" customFormat="1" ht="16.5" customHeight="1">
      <c r="A58" s="982"/>
      <c r="B58" s="983" t="str">
        <f>'BECKUP data'!B82</f>
        <v>- Pek. Cor Lantai Kerja</v>
      </c>
      <c r="C58" s="984"/>
      <c r="D58" s="985"/>
      <c r="E58" s="986"/>
      <c r="F58" s="989">
        <f>'BECKUP data'!I82</f>
        <v>0.14699999999999999</v>
      </c>
      <c r="G58" s="989" t="str">
        <f>'BECKUP data'!J82</f>
        <v>m3</v>
      </c>
      <c r="H58" s="989">
        <f>H53</f>
        <v>983204.21</v>
      </c>
      <c r="I58" s="992">
        <f t="shared" ref="I58:I61" si="6">F58*H58</f>
        <v>144531.01887</v>
      </c>
      <c r="J58" s="1006"/>
    </row>
    <row r="59" spans="1:10" s="987" customFormat="1" ht="16.5" customHeight="1">
      <c r="A59" s="982"/>
      <c r="B59" s="983" t="str">
        <f>'BECKUP data'!B84</f>
        <v>-Pek. Beton Cor Pedestal</v>
      </c>
      <c r="C59" s="984"/>
      <c r="D59" s="985"/>
      <c r="E59" s="986"/>
      <c r="F59" s="989">
        <f>'BECKUP data'!I86</f>
        <v>0.39</v>
      </c>
      <c r="G59" s="989" t="str">
        <f>'BECKUP data'!J86</f>
        <v>m3</v>
      </c>
      <c r="H59" s="989">
        <f>H54</f>
        <v>1346027.72</v>
      </c>
      <c r="I59" s="992">
        <f t="shared" si="6"/>
        <v>524950.81079999998</v>
      </c>
      <c r="J59" s="1006"/>
    </row>
    <row r="60" spans="1:10" s="987" customFormat="1" ht="16.5" customHeight="1">
      <c r="A60" s="982"/>
      <c r="B60" s="983" t="str">
        <f>'BECKUP data'!B88</f>
        <v>-Pek. Pembesian</v>
      </c>
      <c r="C60" s="984"/>
      <c r="D60" s="985"/>
      <c r="E60" s="986"/>
      <c r="F60" s="989">
        <f>'BECKUP data'!I96</f>
        <v>59.759500000000003</v>
      </c>
      <c r="G60" s="989" t="str">
        <f>'BECKUP data'!J96</f>
        <v>kg</v>
      </c>
      <c r="H60" s="989">
        <f>H55</f>
        <v>18332.150000000001</v>
      </c>
      <c r="I60" s="992">
        <f t="shared" si="6"/>
        <v>1095520.1179250001</v>
      </c>
      <c r="J60" s="1006"/>
    </row>
    <row r="61" spans="1:10" s="987" customFormat="1" ht="16.5" customHeight="1">
      <c r="A61" s="982"/>
      <c r="B61" s="983" t="str">
        <f>'BECKUP data'!B98</f>
        <v>-Pek. Bekisting</v>
      </c>
      <c r="C61" s="984"/>
      <c r="D61" s="985"/>
      <c r="E61" s="986"/>
      <c r="F61" s="989">
        <f>'BECKUP data'!I98</f>
        <v>2.4000000000000004</v>
      </c>
      <c r="G61" s="989" t="str">
        <f>'BECKUP data'!J98</f>
        <v>m2</v>
      </c>
      <c r="H61" s="989">
        <f>H56</f>
        <v>271365.5</v>
      </c>
      <c r="I61" s="992">
        <f t="shared" si="6"/>
        <v>651277.20000000007</v>
      </c>
      <c r="J61" s="1006"/>
    </row>
    <row r="62" spans="1:10" s="987" customFormat="1" ht="16.5" customHeight="1">
      <c r="A62" s="982">
        <f>'BECKUP data'!A100</f>
        <v>4</v>
      </c>
      <c r="B62" s="983" t="str">
        <f>'BECKUP data'!B100</f>
        <v>Pek. Pondasi Tapak (PT4)</v>
      </c>
      <c r="C62" s="984"/>
      <c r="D62" s="985"/>
      <c r="E62" s="986"/>
      <c r="F62" s="989"/>
      <c r="G62" s="989"/>
      <c r="H62" s="989"/>
      <c r="I62" s="992"/>
      <c r="J62" s="1006"/>
    </row>
    <row r="63" spans="1:10" s="987" customFormat="1" ht="16.5" customHeight="1">
      <c r="A63" s="982"/>
      <c r="B63" s="983" t="str">
        <f>'BECKUP data'!B101</f>
        <v>- Pek. Cor Lantai Kerja</v>
      </c>
      <c r="C63" s="984"/>
      <c r="D63" s="985"/>
      <c r="E63" s="986"/>
      <c r="F63" s="989">
        <f>'BECKUP data'!I101</f>
        <v>0.19599999999999998</v>
      </c>
      <c r="G63" s="989" t="str">
        <f>'BECKUP data'!J101</f>
        <v>m3</v>
      </c>
      <c r="H63" s="989">
        <f>H58</f>
        <v>983204.21</v>
      </c>
      <c r="I63" s="992">
        <f t="shared" ref="I63:I66" si="7">F63*H63</f>
        <v>192708.02515999996</v>
      </c>
      <c r="J63" s="1006"/>
    </row>
    <row r="64" spans="1:10" s="987" customFormat="1" ht="16.5" customHeight="1">
      <c r="A64" s="982"/>
      <c r="B64" s="983" t="str">
        <f>'BECKUP data'!B103</f>
        <v>-Pek. Beton Cor Pedestal</v>
      </c>
      <c r="C64" s="984"/>
      <c r="D64" s="985"/>
      <c r="E64" s="986"/>
      <c r="F64" s="989">
        <f>'BECKUP data'!I105</f>
        <v>0.52</v>
      </c>
      <c r="G64" s="989" t="str">
        <f>'BECKUP data'!J105</f>
        <v>m3</v>
      </c>
      <c r="H64" s="989">
        <f>H59</f>
        <v>1346027.72</v>
      </c>
      <c r="I64" s="992">
        <f t="shared" si="7"/>
        <v>699934.41440000001</v>
      </c>
      <c r="J64" s="1006"/>
    </row>
    <row r="65" spans="1:10" s="987" customFormat="1" ht="16.5" customHeight="1">
      <c r="A65" s="982"/>
      <c r="B65" s="983" t="str">
        <f>'BECKUP data'!B107</f>
        <v>-Pek. Pembesian</v>
      </c>
      <c r="C65" s="984"/>
      <c r="D65" s="985"/>
      <c r="E65" s="986"/>
      <c r="F65" s="989">
        <f>'BECKUP data'!I115</f>
        <v>79.679333333333332</v>
      </c>
      <c r="G65" s="989" t="str">
        <f>'BECKUP data'!J115</f>
        <v>kg</v>
      </c>
      <c r="H65" s="989">
        <f>H60</f>
        <v>18332.150000000001</v>
      </c>
      <c r="I65" s="992">
        <f t="shared" si="7"/>
        <v>1460693.4905666667</v>
      </c>
      <c r="J65" s="1006"/>
    </row>
    <row r="66" spans="1:10" s="987" customFormat="1" ht="16.5" customHeight="1" thickBot="1">
      <c r="A66" s="982"/>
      <c r="B66" s="983" t="str">
        <f>'BECKUP data'!B117</f>
        <v>-Pek. Bekisting</v>
      </c>
      <c r="C66" s="984"/>
      <c r="D66" s="985"/>
      <c r="E66" s="986"/>
      <c r="F66" s="989">
        <f>'BECKUP data'!I117</f>
        <v>3.2</v>
      </c>
      <c r="G66" s="989" t="str">
        <f>'BECKUP data'!J117</f>
        <v>m2</v>
      </c>
      <c r="H66" s="989">
        <f>H61</f>
        <v>271365.5</v>
      </c>
      <c r="I66" s="997">
        <f t="shared" si="7"/>
        <v>868369.60000000009</v>
      </c>
      <c r="J66" s="1006"/>
    </row>
    <row r="67" spans="1:10" s="987" customFormat="1" ht="16.5" customHeight="1" thickTop="1">
      <c r="A67" s="982"/>
      <c r="B67" s="983"/>
      <c r="C67" s="984"/>
      <c r="D67" s="985"/>
      <c r="E67" s="986"/>
      <c r="F67" s="989"/>
      <c r="G67" s="989"/>
      <c r="H67" s="989"/>
      <c r="I67" s="991">
        <f>SUM(I48:I66)</f>
        <v>13423338.117606666</v>
      </c>
      <c r="J67" s="1006"/>
    </row>
    <row r="68" spans="1:10" s="996" customFormat="1" ht="16.5" customHeight="1">
      <c r="A68" s="977" t="str">
        <f>'BECKUP data'!A119</f>
        <v>IV</v>
      </c>
      <c r="B68" s="981" t="str">
        <f>'BECKUP data'!B119</f>
        <v>PEKERJAAN DINDING PENAHAN (DP)</v>
      </c>
      <c r="C68" s="978"/>
      <c r="D68" s="979"/>
      <c r="E68" s="980"/>
      <c r="F68" s="995"/>
      <c r="G68" s="995"/>
      <c r="H68" s="995"/>
      <c r="I68" s="994"/>
      <c r="J68" s="1009"/>
    </row>
    <row r="69" spans="1:10" s="987" customFormat="1" ht="16.5" customHeight="1">
      <c r="A69" s="982">
        <f>'BECKUP data'!A120</f>
        <v>1</v>
      </c>
      <c r="B69" s="983" t="str">
        <f>'BECKUP data'!B120</f>
        <v>Pek. Dinding Penahan (DP1)</v>
      </c>
      <c r="C69" s="984"/>
      <c r="D69" s="985"/>
      <c r="E69" s="986"/>
      <c r="F69" s="989"/>
      <c r="G69" s="989"/>
      <c r="H69" s="989"/>
      <c r="I69" s="992"/>
      <c r="J69" s="1006"/>
    </row>
    <row r="70" spans="1:10" s="987" customFormat="1" ht="16.5" customHeight="1">
      <c r="A70" s="982"/>
      <c r="B70" s="983" t="str">
        <f>'BECKUP data'!B121</f>
        <v>- Pek. Pasir Urug</v>
      </c>
      <c r="C70" s="984"/>
      <c r="D70" s="985"/>
      <c r="E70" s="986"/>
      <c r="F70" s="989">
        <f>'BECKUP data'!I123</f>
        <v>0.47</v>
      </c>
      <c r="G70" s="989" t="str">
        <f>'BECKUP data'!J123</f>
        <v>m3</v>
      </c>
      <c r="H70" s="989">
        <f>'analisa 2019 cetak'!G82</f>
        <v>205160</v>
      </c>
      <c r="I70" s="992">
        <f t="shared" ref="I70:I72" si="8">F70*H70</f>
        <v>96425.2</v>
      </c>
      <c r="J70" s="1006"/>
    </row>
    <row r="71" spans="1:10" s="987" customFormat="1" ht="16.5" customHeight="1">
      <c r="A71" s="982"/>
      <c r="B71" s="983" t="str">
        <f>'BECKUP data'!B125</f>
        <v>- Pek. Pasangan Batu Kali</v>
      </c>
      <c r="C71" s="984"/>
      <c r="D71" s="985"/>
      <c r="E71" s="986"/>
      <c r="F71" s="989">
        <f>'BECKUP data'!I127</f>
        <v>2.02</v>
      </c>
      <c r="G71" s="989" t="str">
        <f>'BECKUP data'!J127</f>
        <v>m3</v>
      </c>
      <c r="H71" s="989">
        <f>'analisa 2019 cetak'!G117</f>
        <v>1072518.75</v>
      </c>
      <c r="I71" s="992">
        <f t="shared" si="8"/>
        <v>2166487.875</v>
      </c>
      <c r="J71" s="1006"/>
    </row>
    <row r="72" spans="1:10" s="987" customFormat="1" ht="16.5" customHeight="1">
      <c r="A72" s="982"/>
      <c r="B72" s="983" t="str">
        <f>'BECKUP data'!B129</f>
        <v>- Pek. Plastaran Batu Kali Sisi Luar</v>
      </c>
      <c r="C72" s="984"/>
      <c r="D72" s="985"/>
      <c r="E72" s="986"/>
      <c r="F72" s="989">
        <f>'BECKUP data'!I131</f>
        <v>6.016</v>
      </c>
      <c r="G72" s="989" t="str">
        <f>'BECKUP data'!J131</f>
        <v>m2</v>
      </c>
      <c r="H72" s="989">
        <f>'analisa 2019 cetak'!G244</f>
        <v>80143.5</v>
      </c>
      <c r="I72" s="992">
        <f t="shared" si="8"/>
        <v>482143.29599999997</v>
      </c>
      <c r="J72" s="1006"/>
    </row>
    <row r="73" spans="1:10" s="987" customFormat="1" ht="16.5" customHeight="1">
      <c r="A73" s="982">
        <f>'BECKUP data'!A133</f>
        <v>2</v>
      </c>
      <c r="B73" s="983" t="str">
        <f>'BECKUP data'!B133</f>
        <v>Pek. Dinding Penahan (DP2)</v>
      </c>
      <c r="C73" s="984"/>
      <c r="D73" s="985"/>
      <c r="E73" s="986"/>
      <c r="F73" s="989"/>
      <c r="G73" s="989"/>
      <c r="H73" s="989"/>
      <c r="I73" s="992"/>
      <c r="J73" s="1006"/>
    </row>
    <row r="74" spans="1:10" s="987" customFormat="1" ht="16.5" customHeight="1">
      <c r="A74" s="982"/>
      <c r="B74" s="983" t="str">
        <f>'BECKUP data'!B134</f>
        <v>- Pek. Pasir Urug</v>
      </c>
      <c r="C74" s="984"/>
      <c r="D74" s="985"/>
      <c r="E74" s="986"/>
      <c r="F74" s="989">
        <f>'BECKUP data'!I135</f>
        <v>0.7</v>
      </c>
      <c r="G74" s="989" t="str">
        <f>'BECKUP data'!J135</f>
        <v>m3</v>
      </c>
      <c r="H74" s="989">
        <f>H70</f>
        <v>205160</v>
      </c>
      <c r="I74" s="992">
        <f t="shared" ref="I74:I76" si="9">F74*H74</f>
        <v>143612</v>
      </c>
      <c r="J74" s="1006"/>
    </row>
    <row r="75" spans="1:10" s="987" customFormat="1" ht="16.5" customHeight="1">
      <c r="A75" s="982"/>
      <c r="B75" s="983" t="str">
        <f>'BECKUP data'!B137</f>
        <v>- Pek. Pasangan Batu Kali</v>
      </c>
      <c r="C75" s="984"/>
      <c r="D75" s="985"/>
      <c r="E75" s="986"/>
      <c r="F75" s="989">
        <f>'BECKUP data'!I137</f>
        <v>2.8</v>
      </c>
      <c r="G75" s="989" t="str">
        <f>'BECKUP data'!J137</f>
        <v>m3</v>
      </c>
      <c r="H75" s="989">
        <f>H71</f>
        <v>1072518.75</v>
      </c>
      <c r="I75" s="992">
        <f t="shared" si="9"/>
        <v>3003052.5</v>
      </c>
      <c r="J75" s="1006"/>
    </row>
    <row r="76" spans="1:10" s="987" customFormat="1" ht="16.5" customHeight="1" thickBot="1">
      <c r="A76" s="982"/>
      <c r="B76" s="983" t="str">
        <f>'BECKUP data'!B139</f>
        <v>- Pek. Plastaran Batu Kali Sisi Luar</v>
      </c>
      <c r="C76" s="984"/>
      <c r="D76" s="985"/>
      <c r="E76" s="986"/>
      <c r="F76" s="989">
        <f>'BECKUP data'!I139</f>
        <v>8.9599999999999991</v>
      </c>
      <c r="G76" s="989" t="str">
        <f>'BECKUP data'!J139</f>
        <v>m2</v>
      </c>
      <c r="H76" s="989">
        <f>H72</f>
        <v>80143.5</v>
      </c>
      <c r="I76" s="997">
        <f t="shared" si="9"/>
        <v>718085.75999999989</v>
      </c>
      <c r="J76" s="1006"/>
    </row>
    <row r="77" spans="1:10" s="987" customFormat="1" ht="16.5" customHeight="1" thickTop="1">
      <c r="A77" s="982"/>
      <c r="B77" s="983"/>
      <c r="C77" s="984"/>
      <c r="D77" s="985"/>
      <c r="E77" s="986"/>
      <c r="F77" s="989"/>
      <c r="G77" s="989"/>
      <c r="H77" s="989"/>
      <c r="I77" s="991">
        <f>SUM(I70:I76)</f>
        <v>6609806.6310000001</v>
      </c>
      <c r="J77" s="1006"/>
    </row>
    <row r="78" spans="1:10" s="996" customFormat="1" ht="16.5" customHeight="1">
      <c r="A78" s="977" t="str">
        <f>'BECKUP data'!A141</f>
        <v>V</v>
      </c>
      <c r="B78" s="981" t="str">
        <f>'BECKUP data'!B141</f>
        <v xml:space="preserve">PEKERJAAN BETON </v>
      </c>
      <c r="C78" s="978"/>
      <c r="D78" s="979"/>
      <c r="E78" s="980"/>
      <c r="F78" s="995"/>
      <c r="G78" s="995"/>
      <c r="H78" s="995"/>
      <c r="I78" s="994"/>
      <c r="J78" s="1009"/>
    </row>
    <row r="79" spans="1:10" s="987" customFormat="1" ht="16.5" customHeight="1">
      <c r="A79" s="982">
        <f>'BECKUP data'!A142</f>
        <v>1</v>
      </c>
      <c r="B79" s="983" t="str">
        <f>'BECKUP data'!B142</f>
        <v>Pek. Sloof 20x30 cm</v>
      </c>
      <c r="C79" s="984"/>
      <c r="D79" s="985"/>
      <c r="E79" s="986"/>
      <c r="F79" s="989"/>
      <c r="G79" s="989"/>
      <c r="H79" s="989"/>
      <c r="I79" s="992"/>
      <c r="J79" s="1006"/>
    </row>
    <row r="80" spans="1:10" s="987" customFormat="1" ht="16.5" customHeight="1">
      <c r="A80" s="982"/>
      <c r="B80" s="983" t="str">
        <f>'BECKUP data'!B143</f>
        <v>- Pek. Beton</v>
      </c>
      <c r="C80" s="984"/>
      <c r="D80" s="985"/>
      <c r="E80" s="986"/>
      <c r="F80" s="989">
        <f>'BECKUP data'!I145</f>
        <v>3.1440000000000001</v>
      </c>
      <c r="G80" s="989" t="str">
        <f>'BECKUP data'!J145</f>
        <v>m3</v>
      </c>
      <c r="H80" s="989">
        <f>H49</f>
        <v>1346027.72</v>
      </c>
      <c r="I80" s="992">
        <f t="shared" ref="I80:I82" si="10">F80*H80</f>
        <v>4231911.1516800001</v>
      </c>
      <c r="J80" s="1006"/>
    </row>
    <row r="81" spans="1:10" s="987" customFormat="1" ht="16.5" customHeight="1">
      <c r="A81" s="982"/>
      <c r="B81" s="983" t="str">
        <f>'BECKUP data'!B147</f>
        <v>- Pek. Pembesian</v>
      </c>
      <c r="C81" s="984"/>
      <c r="D81" s="985"/>
      <c r="E81" s="986"/>
      <c r="F81" s="989">
        <f>'BECKUP data'!I163</f>
        <v>278.99943333333329</v>
      </c>
      <c r="G81" s="989" t="str">
        <f>'BECKUP data'!J163</f>
        <v>kg</v>
      </c>
      <c r="H81" s="989">
        <f>H50</f>
        <v>18332.150000000001</v>
      </c>
      <c r="I81" s="992">
        <f t="shared" si="10"/>
        <v>5114659.4617816666</v>
      </c>
      <c r="J81" s="1006"/>
    </row>
    <row r="82" spans="1:10" s="987" customFormat="1" ht="16.5" customHeight="1">
      <c r="A82" s="982"/>
      <c r="B82" s="983" t="str">
        <f>'BECKUP data'!B165</f>
        <v>- Pek. Bekisting</v>
      </c>
      <c r="C82" s="984"/>
      <c r="D82" s="985"/>
      <c r="E82" s="986"/>
      <c r="F82" s="989">
        <f>'BECKUP data'!I167</f>
        <v>20.959999999999997</v>
      </c>
      <c r="G82" s="989" t="str">
        <f>'BECKUP data'!J167</f>
        <v>m2</v>
      </c>
      <c r="H82" s="989">
        <f>'analisa 2019 cetak'!G152</f>
        <v>234876</v>
      </c>
      <c r="I82" s="992">
        <f t="shared" si="10"/>
        <v>4923000.959999999</v>
      </c>
      <c r="J82" s="1006"/>
    </row>
    <row r="83" spans="1:10" s="987" customFormat="1" ht="16.5" customHeight="1">
      <c r="A83" s="982">
        <f>'BECKUP data'!A169</f>
        <v>2</v>
      </c>
      <c r="B83" s="983" t="str">
        <f>'BECKUP data'!B169</f>
        <v>Pek. Kolom 20x20 cm</v>
      </c>
      <c r="C83" s="984"/>
      <c r="D83" s="985"/>
      <c r="E83" s="986"/>
      <c r="F83" s="989"/>
      <c r="G83" s="989"/>
      <c r="H83" s="989"/>
      <c r="I83" s="992"/>
      <c r="J83" s="1006"/>
    </row>
    <row r="84" spans="1:10" s="987" customFormat="1" ht="16.5" customHeight="1">
      <c r="A84" s="982"/>
      <c r="B84" s="983" t="str">
        <f>'BECKUP data'!B170</f>
        <v>- Pek. Beton</v>
      </c>
      <c r="C84" s="984"/>
      <c r="D84" s="985"/>
      <c r="E84" s="986"/>
      <c r="F84" s="989">
        <f>'BECKUP data'!I170</f>
        <v>2.7200000000000006</v>
      </c>
      <c r="G84" s="989" t="str">
        <f>'BECKUP data'!J170</f>
        <v>m3</v>
      </c>
      <c r="H84" s="989">
        <f>H80</f>
        <v>1346027.72</v>
      </c>
      <c r="I84" s="992">
        <f t="shared" ref="I84:I86" si="11">F84*H84</f>
        <v>3661195.3984000008</v>
      </c>
      <c r="J84" s="1006"/>
    </row>
    <row r="85" spans="1:10" s="987" customFormat="1" ht="16.5" customHeight="1">
      <c r="A85" s="982"/>
      <c r="B85" s="983" t="str">
        <f>'BECKUP data'!B172</f>
        <v>- Pek. Pembesian</v>
      </c>
      <c r="C85" s="984"/>
      <c r="D85" s="985"/>
      <c r="E85" s="986"/>
      <c r="F85" s="989">
        <f>'BECKUP data'!I178</f>
        <v>340.57233333333329</v>
      </c>
      <c r="G85" s="989" t="str">
        <f>'BECKUP data'!J178</f>
        <v>kg</v>
      </c>
      <c r="H85" s="989">
        <f>H81</f>
        <v>18332.150000000001</v>
      </c>
      <c r="I85" s="992">
        <f t="shared" si="11"/>
        <v>6243423.1005166667</v>
      </c>
      <c r="J85" s="1006"/>
    </row>
    <row r="86" spans="1:10" s="987" customFormat="1" ht="16.5" customHeight="1">
      <c r="A86" s="982"/>
      <c r="B86" s="983" t="str">
        <f>'BECKUP data'!B180</f>
        <v>- Pek. Bekisting</v>
      </c>
      <c r="C86" s="984"/>
      <c r="D86" s="985"/>
      <c r="E86" s="986"/>
      <c r="F86" s="989">
        <f>'BECKUP data'!I180</f>
        <v>45.900000000000006</v>
      </c>
      <c r="G86" s="989" t="str">
        <f>'BECKUP data'!J180</f>
        <v>m2</v>
      </c>
      <c r="H86" s="989">
        <f>'analisa 2019 cetak'!G173</f>
        <v>271365.5</v>
      </c>
      <c r="I86" s="992">
        <f t="shared" si="11"/>
        <v>12455676.450000001</v>
      </c>
      <c r="J86" s="1006"/>
    </row>
    <row r="87" spans="1:10" s="987" customFormat="1" ht="16.5" customHeight="1">
      <c r="A87" s="982">
        <f>'BECKUP data'!A182</f>
        <v>3</v>
      </c>
      <c r="B87" s="983" t="str">
        <f>'BECKUP data'!B182</f>
        <v>Pek. Balok Latei 15x15 cm</v>
      </c>
      <c r="C87" s="984"/>
      <c r="D87" s="985"/>
      <c r="E87" s="986"/>
      <c r="F87" s="989"/>
      <c r="G87" s="989"/>
      <c r="H87" s="989"/>
      <c r="I87" s="992"/>
      <c r="J87" s="1006"/>
    </row>
    <row r="88" spans="1:10" s="987" customFormat="1" ht="16.5" customHeight="1">
      <c r="A88" s="982"/>
      <c r="B88" s="983" t="str">
        <f>'BECKUP data'!B183</f>
        <v>- Pek. Beton</v>
      </c>
      <c r="C88" s="984"/>
      <c r="D88" s="985"/>
      <c r="E88" s="986"/>
      <c r="F88" s="989">
        <f>'BECKUP data'!I185</f>
        <v>1.1789999999999998</v>
      </c>
      <c r="G88" s="989" t="str">
        <f>'BECKUP data'!J185</f>
        <v>m3</v>
      </c>
      <c r="H88" s="989">
        <f>H84</f>
        <v>1346027.72</v>
      </c>
      <c r="I88" s="992">
        <f t="shared" ref="I88:I90" si="12">F88*H88</f>
        <v>1586966.6818799998</v>
      </c>
      <c r="J88" s="1006"/>
    </row>
    <row r="89" spans="1:10" s="987" customFormat="1" ht="16.5" customHeight="1">
      <c r="A89" s="982"/>
      <c r="B89" s="983" t="str">
        <f>'BECKUP data'!B187</f>
        <v>- Pek. Pembesian</v>
      </c>
      <c r="C89" s="984"/>
      <c r="D89" s="985"/>
      <c r="E89" s="986"/>
      <c r="F89" s="989">
        <f>'BECKUP data'!I203</f>
        <v>233.4638333333333</v>
      </c>
      <c r="G89" s="989" t="str">
        <f>'BECKUP data'!J203</f>
        <v>kg</v>
      </c>
      <c r="H89" s="989">
        <f>H85</f>
        <v>18332.150000000001</v>
      </c>
      <c r="I89" s="992">
        <f t="shared" si="12"/>
        <v>4279894.0122416662</v>
      </c>
      <c r="J89" s="1006"/>
    </row>
    <row r="90" spans="1:10" s="987" customFormat="1" ht="16.5" customHeight="1">
      <c r="A90" s="982"/>
      <c r="B90" s="983" t="str">
        <f>'BECKUP data'!B205</f>
        <v>- Pek. Bekisting</v>
      </c>
      <c r="C90" s="984"/>
      <c r="D90" s="985"/>
      <c r="E90" s="986"/>
      <c r="F90" s="989">
        <f>'BECKUP data'!I207</f>
        <v>15.719999999999999</v>
      </c>
      <c r="G90" s="989" t="str">
        <f>'BECKUP data'!J207</f>
        <v>m2</v>
      </c>
      <c r="H90" s="989">
        <f>'analisa 2019 cetak'!G194</f>
        <v>275160.5</v>
      </c>
      <c r="I90" s="992">
        <f t="shared" si="12"/>
        <v>4325523.0599999996</v>
      </c>
      <c r="J90" s="1006"/>
    </row>
    <row r="91" spans="1:10" s="987" customFormat="1" ht="16.5" customHeight="1">
      <c r="A91" s="982">
        <f>'BECKUP data'!A209</f>
        <v>4</v>
      </c>
      <c r="B91" s="983" t="str">
        <f>'BECKUP data'!B209</f>
        <v>Pek. Ring Balok 15x20 cm</v>
      </c>
      <c r="C91" s="984"/>
      <c r="D91" s="985"/>
      <c r="E91" s="986"/>
      <c r="F91" s="989"/>
      <c r="G91" s="989"/>
      <c r="H91" s="989"/>
      <c r="I91" s="992"/>
      <c r="J91" s="1006"/>
    </row>
    <row r="92" spans="1:10" s="987" customFormat="1" ht="16.5" customHeight="1">
      <c r="A92" s="982"/>
      <c r="B92" s="983" t="str">
        <f>'BECKUP data'!B210</f>
        <v>- Pek. Beton</v>
      </c>
      <c r="C92" s="984"/>
      <c r="D92" s="985"/>
      <c r="E92" s="986"/>
      <c r="F92" s="989">
        <f>'BECKUP data'!I216</f>
        <v>2.9484000000000004</v>
      </c>
      <c r="G92" s="989" t="str">
        <f>'BECKUP data'!J216</f>
        <v>m3</v>
      </c>
      <c r="H92" s="989">
        <f>H88</f>
        <v>1346027.72</v>
      </c>
      <c r="I92" s="992">
        <f t="shared" ref="I92:I94" si="13">F92*H92</f>
        <v>3968628.1296480005</v>
      </c>
      <c r="J92" s="1006"/>
    </row>
    <row r="93" spans="1:10" s="987" customFormat="1" ht="16.5" customHeight="1">
      <c r="A93" s="982"/>
      <c r="B93" s="983" t="str">
        <f>'BECKUP data'!B218</f>
        <v>- Pek. Pembesian</v>
      </c>
      <c r="C93" s="984"/>
      <c r="D93" s="985"/>
      <c r="E93" s="986"/>
      <c r="F93" s="989">
        <f>'BECKUP data'!I258</f>
        <v>465.05276999999995</v>
      </c>
      <c r="G93" s="989" t="str">
        <f>'BECKUP data'!J258</f>
        <v>kg</v>
      </c>
      <c r="H93" s="989">
        <f>H89</f>
        <v>18332.150000000001</v>
      </c>
      <c r="I93" s="992">
        <f t="shared" si="13"/>
        <v>8525417.1375555005</v>
      </c>
      <c r="J93" s="1006"/>
    </row>
    <row r="94" spans="1:10" s="987" customFormat="1" ht="16.5" customHeight="1">
      <c r="A94" s="982"/>
      <c r="B94" s="983" t="str">
        <f>'BECKUP data'!B260</f>
        <v>- Pek. Bekisting</v>
      </c>
      <c r="C94" s="984"/>
      <c r="D94" s="985"/>
      <c r="E94" s="986"/>
      <c r="F94" s="989">
        <f>'BECKUP data'!I266</f>
        <v>34.397999999999996</v>
      </c>
      <c r="G94" s="989" t="str">
        <f>'BECKUP data'!J266</f>
        <v>m2</v>
      </c>
      <c r="H94" s="989">
        <f>H90</f>
        <v>275160.5</v>
      </c>
      <c r="I94" s="992">
        <f t="shared" si="13"/>
        <v>9464970.8789999988</v>
      </c>
      <c r="J94" s="1006"/>
    </row>
    <row r="95" spans="1:10" s="987" customFormat="1" ht="16.5" customHeight="1">
      <c r="A95" s="982">
        <f>'BECKUP data'!A271</f>
        <v>5</v>
      </c>
      <c r="B95" s="983" t="str">
        <f>'BECKUP data'!B271</f>
        <v>Pek. Rabat Beton Bertulang t=12 cm (lantai)</v>
      </c>
      <c r="C95" s="984"/>
      <c r="D95" s="985"/>
      <c r="E95" s="986"/>
      <c r="F95" s="989"/>
      <c r="G95" s="989"/>
      <c r="H95" s="989"/>
      <c r="I95" s="992"/>
      <c r="J95" s="1006"/>
    </row>
    <row r="96" spans="1:10" s="987" customFormat="1" ht="16.5" customHeight="1">
      <c r="A96" s="982"/>
      <c r="B96" s="983" t="str">
        <f>'BECKUP data'!B272</f>
        <v>- Pek. Beton</v>
      </c>
      <c r="C96" s="984"/>
      <c r="D96" s="985"/>
      <c r="E96" s="986"/>
      <c r="F96" s="989">
        <f>'BECKUP data'!I272</f>
        <v>17.404800000000002</v>
      </c>
      <c r="G96" s="989" t="str">
        <f>'BECKUP data'!J272</f>
        <v>m3</v>
      </c>
      <c r="H96" s="989">
        <f>H92</f>
        <v>1346027.72</v>
      </c>
      <c r="I96" s="992">
        <f t="shared" ref="I96:I98" si="14">F96*H96</f>
        <v>23427343.261056002</v>
      </c>
      <c r="J96" s="1006"/>
    </row>
    <row r="97" spans="1:10" s="987" customFormat="1" ht="16.5" customHeight="1">
      <c r="A97" s="982"/>
      <c r="B97" s="983" t="str">
        <f>'BECKUP data'!B274</f>
        <v>- Pek. Pembesian</v>
      </c>
      <c r="C97" s="984"/>
      <c r="D97" s="985"/>
      <c r="E97" s="986"/>
      <c r="F97" s="989">
        <f>'BECKUP data'!I275</f>
        <v>805.01056338028172</v>
      </c>
      <c r="G97" s="989" t="str">
        <f>'BECKUP data'!J275</f>
        <v>kg</v>
      </c>
      <c r="H97" s="989">
        <f>H89</f>
        <v>18332.150000000001</v>
      </c>
      <c r="I97" s="997">
        <f t="shared" si="14"/>
        <v>14757574.399471832</v>
      </c>
      <c r="J97" s="1006"/>
    </row>
    <row r="98" spans="1:10" s="987" customFormat="1" ht="16.5" customHeight="1" thickBot="1">
      <c r="A98" s="982" t="s">
        <v>4893</v>
      </c>
      <c r="B98" s="1052" t="s">
        <v>4894</v>
      </c>
      <c r="C98" s="984"/>
      <c r="D98" s="985"/>
      <c r="E98" s="986"/>
      <c r="F98" s="989">
        <f>'BECKUP data'!I273</f>
        <v>145.04000000000002</v>
      </c>
      <c r="G98" s="989" t="s">
        <v>2647</v>
      </c>
      <c r="H98" s="989">
        <f>'analisa 2019 cetak'!G757</f>
        <v>50808.44</v>
      </c>
      <c r="I98" s="997">
        <f t="shared" si="14"/>
        <v>7369256.1376000009</v>
      </c>
      <c r="J98" s="1006"/>
    </row>
    <row r="99" spans="1:10" s="987" customFormat="1" ht="16.5" customHeight="1" thickTop="1">
      <c r="A99" s="982"/>
      <c r="B99" s="983"/>
      <c r="C99" s="984"/>
      <c r="D99" s="985"/>
      <c r="E99" s="986"/>
      <c r="F99" s="989"/>
      <c r="G99" s="989"/>
      <c r="H99" s="989"/>
      <c r="I99" s="991">
        <f>SUM(I80:I98)</f>
        <v>114335440.22083135</v>
      </c>
      <c r="J99" s="1006"/>
    </row>
    <row r="100" spans="1:10" s="996" customFormat="1" ht="16.5" customHeight="1">
      <c r="A100" s="977" t="str">
        <f>'BECKUP data'!A277</f>
        <v>VI</v>
      </c>
      <c r="B100" s="981" t="str">
        <f>'BECKUP data'!B277</f>
        <v>PEKERJAAN DINDING DAN PLASTERAN</v>
      </c>
      <c r="C100" s="978"/>
      <c r="D100" s="979"/>
      <c r="E100" s="980"/>
      <c r="F100" s="995"/>
      <c r="G100" s="995"/>
      <c r="H100" s="995"/>
      <c r="I100" s="994"/>
      <c r="J100" s="1009"/>
    </row>
    <row r="101" spans="1:10" s="987" customFormat="1" ht="16.5" customHeight="1">
      <c r="A101" s="982">
        <f>'BECKUP data'!A278</f>
        <v>1</v>
      </c>
      <c r="B101" s="983" t="str">
        <f>'BECKUP data'!B278</f>
        <v>Pek. Dinding Bata 1:4 (Penambahan Dinding Bata Eksisting)</v>
      </c>
      <c r="C101" s="984"/>
      <c r="D101" s="985"/>
      <c r="E101" s="986"/>
      <c r="F101" s="989">
        <f>'BECKUP data'!I282</f>
        <v>25.234000000000002</v>
      </c>
      <c r="G101" s="989" t="str">
        <f>'BECKUP data'!J282</f>
        <v>M2</v>
      </c>
      <c r="H101" s="989">
        <f>'analisa 2019 cetak'!G228</f>
        <v>149284.38</v>
      </c>
      <c r="I101" s="992">
        <f t="shared" ref="I101:I104" si="15">F101*H101</f>
        <v>3767042.0449200002</v>
      </c>
      <c r="J101" s="1006"/>
    </row>
    <row r="102" spans="1:10" s="987" customFormat="1" ht="16.5" customHeight="1">
      <c r="A102" s="982">
        <f>'BECKUP data'!A284</f>
        <v>2</v>
      </c>
      <c r="B102" s="983" t="str">
        <f>'BECKUP data'!B284</f>
        <v>Pek. Dinding Bata 1:4 (Baru)</v>
      </c>
      <c r="C102" s="984"/>
      <c r="D102" s="985"/>
      <c r="E102" s="986"/>
      <c r="F102" s="989">
        <f>'BECKUP data'!I292</f>
        <v>183.04499999999999</v>
      </c>
      <c r="G102" s="989" t="str">
        <f>'BECKUP data'!J292</f>
        <v>m2</v>
      </c>
      <c r="H102" s="989">
        <f>H101</f>
        <v>149284.38</v>
      </c>
      <c r="I102" s="992">
        <f t="shared" si="15"/>
        <v>27325759.337099999</v>
      </c>
      <c r="J102" s="1006"/>
    </row>
    <row r="103" spans="1:10" s="987" customFormat="1" ht="16.5" customHeight="1">
      <c r="A103" s="982">
        <f>'BECKUP data'!A295</f>
        <v>3</v>
      </c>
      <c r="B103" s="983" t="str">
        <f>'BECKUP data'!B295</f>
        <v>Pek. Plasteran 1:4 (Penambahan Plasteran Bata Eksisting)</v>
      </c>
      <c r="C103" s="984"/>
      <c r="D103" s="985"/>
      <c r="E103" s="986"/>
      <c r="F103" s="989">
        <f>'BECKUP data'!I295</f>
        <v>50.468000000000004</v>
      </c>
      <c r="G103" s="989" t="str">
        <f>'BECKUP data'!J295</f>
        <v>m2</v>
      </c>
      <c r="H103" s="989">
        <f>'analisa 2019 cetak'!G244</f>
        <v>80143.5</v>
      </c>
      <c r="I103" s="992">
        <f t="shared" si="15"/>
        <v>4044682.1580000003</v>
      </c>
      <c r="J103" s="1006"/>
    </row>
    <row r="104" spans="1:10" s="987" customFormat="1" ht="16.5" customHeight="1" thickBot="1">
      <c r="A104" s="982">
        <f>'BECKUP data'!A296</f>
        <v>4</v>
      </c>
      <c r="B104" s="983" t="str">
        <f>'BECKUP data'!B296</f>
        <v>Pek. Plasteran 1:4 (Baru)</v>
      </c>
      <c r="C104" s="984"/>
      <c r="D104" s="985"/>
      <c r="E104" s="986"/>
      <c r="F104" s="989">
        <f>'BECKUP data'!I296</f>
        <v>366.09</v>
      </c>
      <c r="G104" s="989" t="str">
        <f>'BECKUP data'!J296</f>
        <v>m2</v>
      </c>
      <c r="H104" s="989">
        <f>H103</f>
        <v>80143.5</v>
      </c>
      <c r="I104" s="997">
        <f t="shared" si="15"/>
        <v>29339733.914999999</v>
      </c>
      <c r="J104" s="1006"/>
    </row>
    <row r="105" spans="1:10" s="987" customFormat="1" ht="16.5" customHeight="1" thickTop="1">
      <c r="A105" s="982"/>
      <c r="B105" s="983"/>
      <c r="C105" s="984"/>
      <c r="D105" s="985"/>
      <c r="E105" s="986"/>
      <c r="F105" s="989"/>
      <c r="G105" s="989"/>
      <c r="H105" s="989"/>
      <c r="I105" s="991">
        <f>SUM(I101:I104)</f>
        <v>64477217.455020003</v>
      </c>
      <c r="J105" s="1006"/>
    </row>
    <row r="106" spans="1:10" s="996" customFormat="1" ht="16.5" customHeight="1">
      <c r="A106" s="977" t="str">
        <f>'BECKUP data'!A298</f>
        <v>VII</v>
      </c>
      <c r="B106" s="981" t="str">
        <f>'BECKUP data'!B298</f>
        <v>PEKERJAAN KUSEN VENTILASI DAN PINTU</v>
      </c>
      <c r="C106" s="978"/>
      <c r="D106" s="979"/>
      <c r="E106" s="980"/>
      <c r="F106" s="995"/>
      <c r="G106" s="995"/>
      <c r="H106" s="995"/>
      <c r="I106" s="994"/>
      <c r="J106" s="1009"/>
    </row>
    <row r="107" spans="1:10" s="987" customFormat="1" ht="16.5" customHeight="1">
      <c r="A107" s="982">
        <f>'BECKUP data'!A299</f>
        <v>1</v>
      </c>
      <c r="B107" s="983" t="str">
        <f>'BECKUP data'!B299</f>
        <v>Pek. Pintu Besi P1</v>
      </c>
      <c r="C107" s="984"/>
      <c r="D107" s="985"/>
      <c r="E107" s="986"/>
      <c r="F107" s="989">
        <f>'BECKUP data'!I299</f>
        <v>1</v>
      </c>
      <c r="G107" s="989" t="str">
        <f>'BECKUP data'!J299</f>
        <v>unit</v>
      </c>
      <c r="H107" s="989">
        <v>15000000</v>
      </c>
      <c r="I107" s="992">
        <f t="shared" ref="I107:I108" si="16">F107*H107</f>
        <v>15000000</v>
      </c>
      <c r="J107" s="1006"/>
    </row>
    <row r="108" spans="1:10" s="987" customFormat="1" ht="16.5" customHeight="1" thickBot="1">
      <c r="A108" s="982">
        <f>'BECKUP data'!A300</f>
        <v>2</v>
      </c>
      <c r="B108" s="983" t="str">
        <f>'BECKUP data'!B300</f>
        <v>Pek. Kusen Ventilasi V1</v>
      </c>
      <c r="C108" s="984"/>
      <c r="D108" s="985"/>
      <c r="E108" s="986"/>
      <c r="F108" s="989">
        <f>'BECKUP data'!I300</f>
        <v>11</v>
      </c>
      <c r="G108" s="989" t="str">
        <f>'BECKUP data'!J300</f>
        <v>unit</v>
      </c>
      <c r="H108" s="989">
        <v>750000</v>
      </c>
      <c r="I108" s="997">
        <f t="shared" si="16"/>
        <v>8250000</v>
      </c>
      <c r="J108" s="1006"/>
    </row>
    <row r="109" spans="1:10" s="987" customFormat="1" ht="16.5" customHeight="1" thickTop="1">
      <c r="A109" s="982"/>
      <c r="B109" s="983"/>
      <c r="C109" s="984"/>
      <c r="D109" s="985"/>
      <c r="E109" s="986"/>
      <c r="F109" s="989"/>
      <c r="G109" s="989"/>
      <c r="H109" s="989"/>
      <c r="I109" s="991">
        <f>SUM(I107:I108)</f>
        <v>23250000</v>
      </c>
      <c r="J109" s="1006"/>
    </row>
    <row r="110" spans="1:10" s="996" customFormat="1" ht="16.5" customHeight="1">
      <c r="A110" s="977" t="str">
        <f>'BECKUP data'!A302</f>
        <v>VIII</v>
      </c>
      <c r="B110" s="981" t="str">
        <f>'BECKUP data'!B302</f>
        <v>PEKERJAAN ATAP</v>
      </c>
      <c r="C110" s="978"/>
      <c r="D110" s="979"/>
      <c r="E110" s="980"/>
      <c r="F110" s="995"/>
      <c r="G110" s="995"/>
      <c r="H110" s="995"/>
      <c r="I110" s="994"/>
      <c r="J110" s="1009"/>
    </row>
    <row r="111" spans="1:10" s="987" customFormat="1" ht="16.5" customHeight="1">
      <c r="A111" s="982">
        <f>'BECKUP data'!A303</f>
        <v>1</v>
      </c>
      <c r="B111" s="983" t="str">
        <f>'BECKUP data'!B303</f>
        <v xml:space="preserve">Pek. Rangka Atap Cannal C 75 </v>
      </c>
      <c r="C111" s="984"/>
      <c r="D111" s="985"/>
      <c r="E111" s="986"/>
      <c r="F111" s="989">
        <f>'BECKUP data'!I305</f>
        <v>612.87059999999997</v>
      </c>
      <c r="G111" s="989" t="str">
        <f>'BECKUP data'!J305</f>
        <v>m2</v>
      </c>
      <c r="H111" s="989">
        <f>'analisa 2019 cetak'!G334</f>
        <v>197043.06</v>
      </c>
      <c r="I111" s="992">
        <f t="shared" ref="I111:I114" si="17">F111*H111</f>
        <v>120761898.40803599</v>
      </c>
      <c r="J111" s="1006"/>
    </row>
    <row r="112" spans="1:10" s="987" customFormat="1" ht="16.5" customHeight="1">
      <c r="A112" s="982">
        <f>'BECKUP data'!A307</f>
        <v>2</v>
      </c>
      <c r="B112" s="983" t="str">
        <f>'BECKUP data'!B307</f>
        <v>Pek. Atap Spandeck t=0.35 mm</v>
      </c>
      <c r="C112" s="984"/>
      <c r="D112" s="985"/>
      <c r="E112" s="986"/>
      <c r="F112" s="989">
        <f>'BECKUP data'!I307</f>
        <v>612.87059999999997</v>
      </c>
      <c r="G112" s="989" t="str">
        <f>'BECKUP data'!J307</f>
        <v>m2</v>
      </c>
      <c r="H112" s="989">
        <f>'analisa 2019 cetak'!G383</f>
        <v>115143.75</v>
      </c>
      <c r="I112" s="992">
        <f t="shared" si="17"/>
        <v>70568219.148749992</v>
      </c>
      <c r="J112" s="1006"/>
    </row>
    <row r="113" spans="1:22" s="996" customFormat="1" ht="16.5" customHeight="1">
      <c r="A113" s="982">
        <f>'BECKUP data'!A311</f>
        <v>3</v>
      </c>
      <c r="B113" s="983" t="str">
        <f>'BECKUP data'!B311</f>
        <v xml:space="preserve">Pek. Jurai </v>
      </c>
      <c r="C113" s="978"/>
      <c r="D113" s="979"/>
      <c r="E113" s="980"/>
      <c r="F113" s="989">
        <f>'BECKUP data'!I311</f>
        <v>16.795999999999999</v>
      </c>
      <c r="G113" s="989" t="str">
        <f>'BECKUP data'!J311</f>
        <v>m'</v>
      </c>
      <c r="H113" s="989">
        <f>'analisa 2019 cetak'!G351</f>
        <v>217634.63</v>
      </c>
      <c r="I113" s="992">
        <f t="shared" si="17"/>
        <v>3655391.24548</v>
      </c>
      <c r="J113" s="1009"/>
    </row>
    <row r="114" spans="1:22" s="987" customFormat="1" ht="16.5" customHeight="1" thickBot="1">
      <c r="A114" s="982">
        <f>'BECKUP data'!A313</f>
        <v>4</v>
      </c>
      <c r="B114" s="983" t="str">
        <f>'BECKUP data'!B313</f>
        <v xml:space="preserve">Pek. Rabung </v>
      </c>
      <c r="C114" s="984"/>
      <c r="D114" s="985"/>
      <c r="E114" s="986"/>
      <c r="F114" s="989">
        <f>'BECKUP data'!I317</f>
        <v>80.727999999999994</v>
      </c>
      <c r="G114" s="989" t="str">
        <f>'BECKUP data'!J317</f>
        <v>m'</v>
      </c>
      <c r="H114" s="989">
        <f>'analisa 2019 cetak'!G367</f>
        <v>92207</v>
      </c>
      <c r="I114" s="997">
        <f t="shared" si="17"/>
        <v>7443686.6959999995</v>
      </c>
      <c r="J114" s="1006"/>
    </row>
    <row r="115" spans="1:22" s="987" customFormat="1" ht="16.5" customHeight="1" thickTop="1">
      <c r="A115" s="982"/>
      <c r="B115" s="983"/>
      <c r="C115" s="984"/>
      <c r="D115" s="985"/>
      <c r="E115" s="986"/>
      <c r="F115" s="989"/>
      <c r="G115" s="989"/>
      <c r="H115" s="989"/>
      <c r="I115" s="991">
        <f>SUM(I111:I114)</f>
        <v>202429195.49826601</v>
      </c>
      <c r="J115" s="1006"/>
    </row>
    <row r="116" spans="1:22" s="996" customFormat="1" ht="16.5" customHeight="1">
      <c r="A116" s="977" t="str">
        <f>'BECKUP data'!A319</f>
        <v>IX</v>
      </c>
      <c r="B116" s="981" t="str">
        <f>'BECKUP data'!B319</f>
        <v>PEKERJAAN PENGECATAN</v>
      </c>
      <c r="C116" s="978"/>
      <c r="D116" s="979"/>
      <c r="E116" s="980"/>
      <c r="F116" s="995"/>
      <c r="G116" s="980"/>
      <c r="H116" s="995"/>
      <c r="I116" s="994"/>
      <c r="J116" s="1009"/>
    </row>
    <row r="117" spans="1:22" s="996" customFormat="1" ht="16.5" customHeight="1">
      <c r="A117" s="982">
        <f>'BECKUP data'!A320</f>
        <v>1</v>
      </c>
      <c r="B117" s="983" t="str">
        <f>'BECKUP data'!B320</f>
        <v>Pek. Pengecatan Dinding Bata (Eksisting)</v>
      </c>
      <c r="C117" s="978"/>
      <c r="D117" s="979"/>
      <c r="E117" s="980"/>
      <c r="F117" s="989">
        <f>'BECKUP data'!I328</f>
        <v>309.32</v>
      </c>
      <c r="G117" s="989" t="str">
        <f>'BECKUP data'!J328</f>
        <v>m2</v>
      </c>
      <c r="H117" s="989">
        <f>'analisa 2019 cetak'!G462</f>
        <v>43395.25</v>
      </c>
      <c r="I117" s="992">
        <f t="shared" ref="I117:I120" si="18">F117*H117</f>
        <v>13423018.73</v>
      </c>
      <c r="J117" s="1009"/>
    </row>
    <row r="118" spans="1:22" s="987" customFormat="1" ht="16.5" customHeight="1">
      <c r="A118" s="982">
        <f>'BECKUP data'!A331</f>
        <v>2</v>
      </c>
      <c r="B118" s="983" t="str">
        <f>'BECKUP data'!B331</f>
        <v>Pek. Pengecatan Dinding Bata (Baru)</v>
      </c>
      <c r="C118" s="984"/>
      <c r="D118" s="985"/>
      <c r="E118" s="986"/>
      <c r="F118" s="989">
        <f>'BECKUP data'!I331</f>
        <v>416.55799999999999</v>
      </c>
      <c r="G118" s="989" t="str">
        <f>'BECKUP data'!J331</f>
        <v>m2</v>
      </c>
      <c r="H118" s="989">
        <f>H117</f>
        <v>43395.25</v>
      </c>
      <c r="I118" s="992">
        <f t="shared" si="18"/>
        <v>18076638.5495</v>
      </c>
      <c r="J118" s="1006"/>
    </row>
    <row r="119" spans="1:22" s="987" customFormat="1" ht="16.5" customHeight="1">
      <c r="A119" s="982">
        <f>'BECKUP data'!A333</f>
        <v>3</v>
      </c>
      <c r="B119" s="983" t="str">
        <f>'BECKUP data'!B333</f>
        <v>Pek. Pengecatan Kusen V1</v>
      </c>
      <c r="C119" s="984"/>
      <c r="D119" s="985"/>
      <c r="E119" s="986"/>
      <c r="F119" s="989">
        <f>'BECKUP data'!I338</f>
        <v>24.225000000000001</v>
      </c>
      <c r="G119" s="989" t="str">
        <f>'BECKUP data'!J338</f>
        <v>m2</v>
      </c>
      <c r="H119" s="989">
        <f>'analisa 2019 cetak'!G483</f>
        <v>83335.100000000006</v>
      </c>
      <c r="I119" s="992">
        <f t="shared" si="18"/>
        <v>2018792.7975000003</v>
      </c>
      <c r="J119" s="1006"/>
    </row>
    <row r="120" spans="1:22" s="987" customFormat="1" ht="16.5" customHeight="1" thickBot="1">
      <c r="A120" s="982">
        <f>'BECKUP data'!A341</f>
        <v>4</v>
      </c>
      <c r="B120" s="983" t="str">
        <f>'BECKUP data'!B341</f>
        <v>Pek. Pengecatan Kusen V2</v>
      </c>
      <c r="C120" s="984"/>
      <c r="D120" s="985"/>
      <c r="E120" s="986"/>
      <c r="F120" s="989">
        <f>'BECKUP data'!I346</f>
        <v>9.52</v>
      </c>
      <c r="G120" s="989" t="str">
        <f>'BECKUP data'!J346</f>
        <v>m2</v>
      </c>
      <c r="H120" s="989">
        <f>H119</f>
        <v>83335.100000000006</v>
      </c>
      <c r="I120" s="997">
        <f t="shared" si="18"/>
        <v>793350.152</v>
      </c>
      <c r="J120" s="1006"/>
      <c r="K120" s="1005"/>
      <c r="M120" s="1005"/>
      <c r="N120" s="1005"/>
      <c r="O120" s="1005"/>
      <c r="Q120" s="1005"/>
      <c r="R120" s="1005"/>
      <c r="T120" s="1005"/>
      <c r="U120" s="1005"/>
      <c r="V120" s="1005"/>
    </row>
    <row r="121" spans="1:22" s="996" customFormat="1" ht="16.5" customHeight="1" thickTop="1">
      <c r="A121" s="982"/>
      <c r="B121" s="983"/>
      <c r="C121" s="978"/>
      <c r="D121" s="979"/>
      <c r="E121" s="980"/>
      <c r="F121" s="995"/>
      <c r="G121" s="980"/>
      <c r="H121" s="995"/>
      <c r="I121" s="991">
        <f>SUM(I117:I120)</f>
        <v>34311800.229000002</v>
      </c>
      <c r="J121" s="1009"/>
      <c r="K121" s="1004"/>
      <c r="M121" s="1004"/>
      <c r="N121" s="1004"/>
      <c r="O121" s="1004"/>
      <c r="P121" s="1003"/>
    </row>
    <row r="122" spans="1:22" s="996" customFormat="1" ht="13.5" customHeight="1">
      <c r="A122" s="977" t="str">
        <f>'BECKUP data'!A348</f>
        <v>X</v>
      </c>
      <c r="B122" s="981" t="str">
        <f>'BECKUP data'!B348</f>
        <v xml:space="preserve">PEKERJAAN ELEKTRIKAL </v>
      </c>
      <c r="C122" s="978"/>
      <c r="D122" s="979"/>
      <c r="E122" s="980"/>
      <c r="F122" s="995"/>
      <c r="G122" s="980"/>
      <c r="H122" s="995"/>
      <c r="I122" s="994"/>
      <c r="J122" s="1009"/>
    </row>
    <row r="123" spans="1:22" s="987" customFormat="1" ht="16.5" customHeight="1">
      <c r="A123" s="982">
        <f>'BECKUP data'!A349</f>
        <v>1</v>
      </c>
      <c r="B123" s="983" t="str">
        <f>'BECKUP data'!B349</f>
        <v>Pek. Pasang Instalasi Titik Nyala</v>
      </c>
      <c r="C123" s="984"/>
      <c r="D123" s="985"/>
      <c r="E123" s="986"/>
      <c r="F123" s="989">
        <f>'BECKUP data'!I349</f>
        <v>22</v>
      </c>
      <c r="G123" s="989" t="str">
        <f>'BECKUP data'!J349</f>
        <v>ttk</v>
      </c>
      <c r="H123" s="989">
        <f>'analisa 2019 cetak'!G500</f>
        <v>281796</v>
      </c>
      <c r="I123" s="992">
        <f t="shared" ref="I123:I127" si="19">F123*H123</f>
        <v>6199512</v>
      </c>
      <c r="J123" s="1007"/>
      <c r="K123" s="1005"/>
      <c r="L123" s="1005"/>
      <c r="N123" s="1005"/>
      <c r="O123" s="1005"/>
      <c r="P123" s="1005"/>
    </row>
    <row r="124" spans="1:22" s="987" customFormat="1" ht="16.5" customHeight="1">
      <c r="A124" s="982">
        <f>'BECKUP data'!A350</f>
        <v>2</v>
      </c>
      <c r="B124" s="983" t="str">
        <f>'BECKUP data'!B350</f>
        <v>Pek. Pasang Lampu LED</v>
      </c>
      <c r="C124" s="984"/>
      <c r="D124" s="985"/>
      <c r="E124" s="986"/>
      <c r="F124" s="989">
        <f>'BECKUP data'!I350</f>
        <v>16</v>
      </c>
      <c r="G124" s="989" t="str">
        <f>'BECKUP data'!J350</f>
        <v>bh</v>
      </c>
      <c r="H124" s="989">
        <f>'analisa 2019 cetak'!G516</f>
        <v>83162.25</v>
      </c>
      <c r="I124" s="992">
        <f t="shared" si="19"/>
        <v>1330596</v>
      </c>
      <c r="J124" s="1006"/>
    </row>
    <row r="125" spans="1:22" s="987" customFormat="1" ht="16.5" customHeight="1">
      <c r="A125" s="982">
        <f>'BECKUP data'!A351</f>
        <v>3</v>
      </c>
      <c r="B125" s="983" t="str">
        <f>'BECKUP data'!B351</f>
        <v>Pek. Pasang Saklar Tunggal</v>
      </c>
      <c r="C125" s="984"/>
      <c r="D125" s="985"/>
      <c r="E125" s="986"/>
      <c r="F125" s="989">
        <f>'BECKUP data'!I351</f>
        <v>1</v>
      </c>
      <c r="G125" s="989" t="str">
        <f>'BECKUP data'!J351</f>
        <v>bh</v>
      </c>
      <c r="H125" s="989">
        <f>'analisa 2019 cetak'!G548</f>
        <v>58293.5</v>
      </c>
      <c r="I125" s="992">
        <f t="shared" si="19"/>
        <v>58293.5</v>
      </c>
      <c r="J125" s="1006"/>
      <c r="K125" s="1005"/>
      <c r="L125" s="1005"/>
      <c r="O125" s="1005"/>
      <c r="P125" s="999"/>
    </row>
    <row r="126" spans="1:22" s="987" customFormat="1" ht="16.5" customHeight="1">
      <c r="A126" s="982">
        <f>'BECKUP data'!A352</f>
        <v>4</v>
      </c>
      <c r="B126" s="983" t="str">
        <f>'BECKUP data'!B352</f>
        <v>Pek. Pasang Saklar Ganda</v>
      </c>
      <c r="C126" s="984"/>
      <c r="D126" s="985"/>
      <c r="E126" s="986"/>
      <c r="F126" s="989">
        <f>'BECKUP data'!I352</f>
        <v>1</v>
      </c>
      <c r="G126" s="989" t="str">
        <f>'BECKUP data'!J352</f>
        <v>bh</v>
      </c>
      <c r="H126" s="989">
        <f>'analisa 2019 cetak'!G564</f>
        <v>82961</v>
      </c>
      <c r="I126" s="992">
        <f t="shared" si="19"/>
        <v>82961</v>
      </c>
      <c r="J126" s="1006"/>
    </row>
    <row r="127" spans="1:22" s="987" customFormat="1" ht="16.5" customHeight="1" thickBot="1">
      <c r="A127" s="982">
        <f>'BECKUP data'!A353</f>
        <v>5</v>
      </c>
      <c r="B127" s="983" t="str">
        <f>'BECKUP data'!B353</f>
        <v>Pek. Pasang Saklar Triple</v>
      </c>
      <c r="C127" s="984"/>
      <c r="D127" s="985"/>
      <c r="E127" s="986"/>
      <c r="F127" s="989">
        <f>'BECKUP data'!I353</f>
        <v>1</v>
      </c>
      <c r="G127" s="989" t="str">
        <f>'BECKUP data'!J353</f>
        <v>bh</v>
      </c>
      <c r="H127" s="989">
        <f>'analisa 2019 cetak'!G580</f>
        <v>53061</v>
      </c>
      <c r="I127" s="997">
        <f t="shared" si="19"/>
        <v>53061</v>
      </c>
      <c r="J127" s="1006"/>
      <c r="O127" s="1005"/>
    </row>
    <row r="128" spans="1:22" s="987" customFormat="1" ht="16.5" customHeight="1" thickTop="1">
      <c r="A128" s="982"/>
      <c r="B128" s="983"/>
      <c r="C128" s="984"/>
      <c r="D128" s="985"/>
      <c r="E128" s="986"/>
      <c r="F128" s="989"/>
      <c r="G128" s="986"/>
      <c r="H128" s="989"/>
      <c r="I128" s="991">
        <f>SUM(I123:I127)</f>
        <v>7724423.5</v>
      </c>
      <c r="J128" s="1006"/>
    </row>
    <row r="129" spans="1:10" s="996" customFormat="1" ht="16.5" customHeight="1">
      <c r="A129" s="977" t="str">
        <f>'BECKUP data'!A355</f>
        <v>XI</v>
      </c>
      <c r="B129" s="981" t="str">
        <f>'BECKUP data'!B355</f>
        <v>PEKERJAAN AKHIR</v>
      </c>
      <c r="C129" s="978"/>
      <c r="D129" s="979"/>
      <c r="E129" s="980"/>
      <c r="F129" s="995"/>
      <c r="G129" s="980"/>
      <c r="H129" s="995"/>
      <c r="I129" s="994"/>
      <c r="J129" s="1009"/>
    </row>
    <row r="130" spans="1:10" s="987" customFormat="1" ht="16.5" customHeight="1" thickBot="1">
      <c r="A130" s="982">
        <f>'BECKUP data'!A356</f>
        <v>1</v>
      </c>
      <c r="B130" s="983" t="str">
        <f>'BECKUP data'!B356</f>
        <v>Pek. Pembersihan Akhir</v>
      </c>
      <c r="C130" s="984"/>
      <c r="D130" s="985"/>
      <c r="E130" s="986"/>
      <c r="F130" s="989">
        <f>'BECKUP data'!I356</f>
        <v>1</v>
      </c>
      <c r="G130" s="989" t="str">
        <f>'BECKUP data'!J356</f>
        <v>ls</v>
      </c>
      <c r="H130" s="989">
        <v>1750000</v>
      </c>
      <c r="I130" s="997">
        <f t="shared" ref="I130" si="20">F130*H130</f>
        <v>1750000</v>
      </c>
      <c r="J130" s="1006"/>
    </row>
    <row r="131" spans="1:10" s="987" customFormat="1" ht="16.5" customHeight="1" thickTop="1">
      <c r="A131" s="982"/>
      <c r="B131" s="983"/>
      <c r="C131" s="984"/>
      <c r="D131" s="985"/>
      <c r="E131" s="986"/>
      <c r="F131" s="989"/>
      <c r="G131" s="986"/>
      <c r="H131" s="989"/>
      <c r="I131" s="991">
        <f>SUM(I130)</f>
        <v>1750000</v>
      </c>
      <c r="J131" s="1006"/>
    </row>
    <row r="132" spans="1:10">
      <c r="A132" s="1092"/>
      <c r="B132" s="1093"/>
      <c r="C132" s="1094"/>
      <c r="D132" s="1095"/>
      <c r="E132" s="1096"/>
      <c r="F132" s="1097"/>
      <c r="G132" s="1096"/>
      <c r="H132" s="1097"/>
      <c r="I132" s="1098"/>
    </row>
    <row r="133" spans="1:10">
      <c r="E133" s="1000"/>
    </row>
  </sheetData>
  <mergeCells count="4">
    <mergeCell ref="B10:D10"/>
    <mergeCell ref="B11:D11"/>
    <mergeCell ref="A3:I3"/>
    <mergeCell ref="A2:I2"/>
  </mergeCells>
  <pageMargins left="0.7" right="0.7" top="0.75" bottom="0.75" header="0.3" footer="0.3"/>
  <pageSetup paperSize="9" scale="77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3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54"/>
  <dimension ref="A1:G45"/>
  <sheetViews>
    <sheetView topLeftCell="A25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2227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8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1.85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.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2238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71" t="s">
        <v>2240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83" t="s">
        <v>2242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N172"/>
  <sheetViews>
    <sheetView view="pageBreakPreview" topLeftCell="A98" zoomScaleSheetLayoutView="100" workbookViewId="0">
      <selection sqref="A1:K1"/>
    </sheetView>
  </sheetViews>
  <sheetFormatPr defaultColWidth="7.85546875" defaultRowHeight="16.5"/>
  <cols>
    <col min="1" max="1" width="6.85546875" style="846" customWidth="1"/>
    <col min="2" max="2" width="13.85546875" style="950" customWidth="1"/>
    <col min="3" max="3" width="2.28515625" style="950" customWidth="1"/>
    <col min="4" max="4" width="13.7109375" style="950" customWidth="1"/>
    <col min="5" max="5" width="21.42578125" style="950" customWidth="1"/>
    <col min="6" max="6" width="16.85546875" style="950" hidden="1" customWidth="1"/>
    <col min="7" max="7" width="6.140625" style="846" hidden="1" customWidth="1"/>
    <col min="8" max="8" width="19.28515625" style="846" customWidth="1"/>
    <col min="9" max="9" width="18.7109375" style="442" customWidth="1"/>
    <col min="10" max="10" width="18.7109375" style="442" hidden="1" customWidth="1"/>
    <col min="11" max="11" width="15.140625" style="846" customWidth="1"/>
    <col min="12" max="12" width="3.7109375" style="950" customWidth="1"/>
    <col min="13" max="13" width="10.140625" style="950" customWidth="1"/>
    <col min="14" max="14" width="12" style="950" customWidth="1"/>
    <col min="15" max="21" width="7.85546875" style="950" customWidth="1"/>
    <col min="22" max="16384" width="7.85546875" style="950"/>
  </cols>
  <sheetData>
    <row r="1" spans="1:11">
      <c r="A1" s="1264" t="s">
        <v>4912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</row>
    <row r="2" spans="1:11">
      <c r="A2" s="506"/>
      <c r="B2" s="951"/>
      <c r="C2" s="951"/>
      <c r="D2" s="951"/>
      <c r="E2" s="951"/>
      <c r="F2" s="951"/>
      <c r="G2" s="1015"/>
      <c r="H2" s="1015"/>
      <c r="I2" s="437"/>
      <c r="J2" s="437"/>
      <c r="K2" s="1015"/>
    </row>
    <row r="3" spans="1:11">
      <c r="A3" s="1103" t="str">
        <f>RAB!A4</f>
        <v>Pekerjaan</v>
      </c>
      <c r="B3" s="951"/>
      <c r="C3" s="1104" t="str">
        <f>RAB!C4</f>
        <v>:</v>
      </c>
      <c r="D3" s="1104" t="str">
        <f>RAB!D4</f>
        <v>RENOVASI GUDANG PENYIMPANAN BENIH PADI DI UPT BIAT GABE HUTARAJA</v>
      </c>
      <c r="E3" s="1104"/>
      <c r="F3" s="1104"/>
      <c r="G3" s="1102"/>
      <c r="H3" s="1102"/>
      <c r="I3" s="1105"/>
      <c r="J3" s="1105"/>
      <c r="K3" s="1102"/>
    </row>
    <row r="4" spans="1:11">
      <c r="A4" s="1104" t="str">
        <f>RAB!A5</f>
        <v>Lokasi</v>
      </c>
      <c r="B4" s="951"/>
      <c r="C4" s="1104" t="str">
        <f>RAB!C5</f>
        <v>:</v>
      </c>
      <c r="D4" s="1104" t="str">
        <f>RAB!D5</f>
        <v>UPT BIAT GABE HUTARAJA, TAPANULI UTARA</v>
      </c>
      <c r="E4" s="1104"/>
      <c r="F4" s="1104"/>
      <c r="G4" s="1102"/>
      <c r="H4" s="1102"/>
      <c r="I4" s="1105"/>
      <c r="J4" s="1105"/>
      <c r="K4" s="1102"/>
    </row>
    <row r="5" spans="1:11">
      <c r="A5" s="1104" t="str">
        <f>RAB!A6</f>
        <v>Instansi</v>
      </c>
      <c r="B5" s="951"/>
      <c r="C5" s="1104" t="str">
        <f>RAB!C6</f>
        <v>:</v>
      </c>
      <c r="D5" s="1104" t="str">
        <f>RAB!D6</f>
        <v>DINAS KETAHANAN PANGAN, TANAMAN PANGAN DAN HORTIKULTURA</v>
      </c>
      <c r="E5" s="1104"/>
      <c r="F5" s="1104"/>
      <c r="G5" s="1102"/>
      <c r="H5" s="1102"/>
      <c r="I5" s="1105"/>
      <c r="J5" s="1105"/>
      <c r="K5" s="1102"/>
    </row>
    <row r="6" spans="1:11">
      <c r="A6" s="1102"/>
      <c r="B6" s="951"/>
      <c r="C6" s="1104"/>
      <c r="D6" s="1104" t="str">
        <f>RAB!D7</f>
        <v>PROVINSI SUMATERA UTARA</v>
      </c>
      <c r="E6" s="1104"/>
      <c r="F6" s="1104"/>
      <c r="G6" s="1102"/>
      <c r="H6" s="1102"/>
      <c r="I6" s="1105"/>
      <c r="J6" s="1105"/>
      <c r="K6" s="1102"/>
    </row>
    <row r="7" spans="1:11">
      <c r="A7" s="1104" t="str">
        <f>RAB!A8</f>
        <v>Tahun Anggaran</v>
      </c>
      <c r="B7" s="951"/>
      <c r="C7" s="1104" t="str">
        <f>RAB!C8</f>
        <v>:</v>
      </c>
      <c r="D7" s="1104">
        <f>RAB!D8</f>
        <v>2023</v>
      </c>
      <c r="E7" s="1104"/>
      <c r="F7" s="1106"/>
      <c r="G7" s="1102"/>
      <c r="H7" s="1102"/>
      <c r="I7" s="1105"/>
      <c r="J7" s="1105"/>
      <c r="K7" s="1102"/>
    </row>
    <row r="8" spans="1:11" ht="17.25" thickBot="1">
      <c r="A8" s="1015"/>
      <c r="B8" s="951"/>
      <c r="C8" s="951"/>
      <c r="D8" s="951"/>
      <c r="E8" s="951"/>
      <c r="F8" s="951"/>
      <c r="G8" s="1015"/>
      <c r="H8" s="1015"/>
      <c r="I8" s="437"/>
      <c r="J8" s="437"/>
      <c r="K8" s="1015"/>
    </row>
    <row r="9" spans="1:11" ht="17.25" customHeight="1" thickTop="1">
      <c r="A9" s="1282" t="s">
        <v>2903</v>
      </c>
      <c r="B9" s="1284" t="s">
        <v>2904</v>
      </c>
      <c r="C9" s="1285"/>
      <c r="D9" s="1285"/>
      <c r="E9" s="1285"/>
      <c r="F9" s="1286"/>
      <c r="G9" s="1293" t="s">
        <v>2905</v>
      </c>
      <c r="H9" s="1293" t="s">
        <v>2906</v>
      </c>
      <c r="I9" s="1295" t="s">
        <v>2907</v>
      </c>
      <c r="J9" s="1295" t="s">
        <v>2907</v>
      </c>
      <c r="K9" s="1296" t="s">
        <v>2908</v>
      </c>
    </row>
    <row r="10" spans="1:11">
      <c r="A10" s="1283"/>
      <c r="B10" s="1287"/>
      <c r="C10" s="1288"/>
      <c r="D10" s="1288"/>
      <c r="E10" s="1288"/>
      <c r="F10" s="1289"/>
      <c r="G10" s="1195"/>
      <c r="H10" s="1195"/>
      <c r="I10" s="1233"/>
      <c r="J10" s="1233"/>
      <c r="K10" s="1297"/>
    </row>
    <row r="11" spans="1:11">
      <c r="A11" s="1283"/>
      <c r="B11" s="1290"/>
      <c r="C11" s="1291"/>
      <c r="D11" s="1291"/>
      <c r="E11" s="1291"/>
      <c r="F11" s="1292"/>
      <c r="G11" s="1195"/>
      <c r="H11" s="1294"/>
      <c r="I11" s="1234"/>
      <c r="J11" s="1234"/>
      <c r="K11" s="1298"/>
    </row>
    <row r="12" spans="1:11">
      <c r="A12" s="934">
        <v>1</v>
      </c>
      <c r="B12" s="1261">
        <v>2</v>
      </c>
      <c r="C12" s="1262"/>
      <c r="D12" s="1262"/>
      <c r="E12" s="1262"/>
      <c r="F12" s="1263"/>
      <c r="G12" s="952">
        <v>3</v>
      </c>
      <c r="H12" s="952">
        <v>3</v>
      </c>
      <c r="I12" s="942">
        <v>4</v>
      </c>
      <c r="J12" s="942">
        <v>4</v>
      </c>
      <c r="K12" s="936">
        <v>5</v>
      </c>
    </row>
    <row r="13" spans="1:11">
      <c r="A13" s="943"/>
      <c r="B13" s="953"/>
      <c r="C13" s="954"/>
      <c r="D13" s="954"/>
      <c r="E13" s="954"/>
      <c r="F13" s="955"/>
      <c r="G13" s="510"/>
      <c r="H13" s="510"/>
      <c r="I13" s="439"/>
      <c r="J13" s="439"/>
      <c r="K13" s="944"/>
    </row>
    <row r="14" spans="1:11">
      <c r="A14" s="939">
        <v>1</v>
      </c>
      <c r="B14" s="956" t="s">
        <v>2909</v>
      </c>
      <c r="C14" s="957"/>
      <c r="D14" s="957"/>
      <c r="E14" s="957"/>
      <c r="F14" s="958"/>
      <c r="G14" s="446" t="s">
        <v>2910</v>
      </c>
      <c r="H14" s="446" t="s">
        <v>2911</v>
      </c>
      <c r="I14" s="440">
        <v>100000</v>
      </c>
      <c r="J14" s="440"/>
      <c r="K14" s="945">
        <f>I14/8</f>
        <v>12500</v>
      </c>
    </row>
    <row r="15" spans="1:11">
      <c r="A15" s="939">
        <v>2</v>
      </c>
      <c r="B15" s="956" t="s">
        <v>3422</v>
      </c>
      <c r="C15" s="957"/>
      <c r="D15" s="957"/>
      <c r="E15" s="957"/>
      <c r="F15" s="958"/>
      <c r="G15" s="446" t="s">
        <v>2912</v>
      </c>
      <c r="H15" s="446" t="s">
        <v>2911</v>
      </c>
      <c r="I15" s="440">
        <v>140000</v>
      </c>
      <c r="J15" s="440"/>
      <c r="K15" s="945">
        <f t="shared" ref="K15:K22" si="0">I15/8</f>
        <v>17500</v>
      </c>
    </row>
    <row r="16" spans="1:11">
      <c r="A16" s="939">
        <v>3</v>
      </c>
      <c r="B16" s="956" t="s">
        <v>683</v>
      </c>
      <c r="C16" s="957"/>
      <c r="D16" s="957"/>
      <c r="E16" s="957"/>
      <c r="F16" s="959"/>
      <c r="G16" s="446" t="s">
        <v>2913</v>
      </c>
      <c r="H16" s="446" t="s">
        <v>2911</v>
      </c>
      <c r="I16" s="440">
        <v>140000</v>
      </c>
      <c r="J16" s="440"/>
      <c r="K16" s="945">
        <f t="shared" si="0"/>
        <v>17500</v>
      </c>
    </row>
    <row r="17" spans="1:11">
      <c r="A17" s="939">
        <v>4</v>
      </c>
      <c r="B17" s="956" t="s">
        <v>680</v>
      </c>
      <c r="C17" s="957"/>
      <c r="D17" s="957"/>
      <c r="E17" s="957"/>
      <c r="F17" s="958"/>
      <c r="G17" s="446" t="s">
        <v>2914</v>
      </c>
      <c r="H17" s="446" t="s">
        <v>2911</v>
      </c>
      <c r="I17" s="440">
        <v>150000</v>
      </c>
      <c r="J17" s="440"/>
      <c r="K17" s="945">
        <f t="shared" si="0"/>
        <v>18750</v>
      </c>
    </row>
    <row r="18" spans="1:11">
      <c r="A18" s="939">
        <v>5</v>
      </c>
      <c r="B18" s="956" t="s">
        <v>2915</v>
      </c>
      <c r="C18" s="957"/>
      <c r="D18" s="957"/>
      <c r="E18" s="957"/>
      <c r="F18" s="958"/>
      <c r="G18" s="446" t="s">
        <v>2916</v>
      </c>
      <c r="H18" s="446" t="s">
        <v>2911</v>
      </c>
      <c r="I18" s="440">
        <v>200200</v>
      </c>
      <c r="J18" s="440"/>
      <c r="K18" s="945">
        <f t="shared" si="0"/>
        <v>25025</v>
      </c>
    </row>
    <row r="19" spans="1:11">
      <c r="A19" s="939">
        <v>6</v>
      </c>
      <c r="B19" s="956" t="s">
        <v>2917</v>
      </c>
      <c r="C19" s="957"/>
      <c r="D19" s="957"/>
      <c r="E19" s="957"/>
      <c r="F19" s="958"/>
      <c r="G19" s="446" t="s">
        <v>2918</v>
      </c>
      <c r="H19" s="446" t="s">
        <v>2911</v>
      </c>
      <c r="I19" s="440">
        <v>175500</v>
      </c>
      <c r="J19" s="440"/>
      <c r="K19" s="945">
        <f t="shared" si="0"/>
        <v>21937.5</v>
      </c>
    </row>
    <row r="20" spans="1:11">
      <c r="A20" s="939">
        <v>7</v>
      </c>
      <c r="B20" s="956" t="s">
        <v>2919</v>
      </c>
      <c r="C20" s="957"/>
      <c r="D20" s="957"/>
      <c r="E20" s="957"/>
      <c r="F20" s="958"/>
      <c r="G20" s="446" t="s">
        <v>2920</v>
      </c>
      <c r="H20" s="446" t="s">
        <v>2911</v>
      </c>
      <c r="I20" s="440">
        <v>175500</v>
      </c>
      <c r="J20" s="440"/>
      <c r="K20" s="945">
        <f t="shared" si="0"/>
        <v>21937.5</v>
      </c>
    </row>
    <row r="21" spans="1:11">
      <c r="A21" s="939">
        <v>8</v>
      </c>
      <c r="B21" s="956" t="s">
        <v>2921</v>
      </c>
      <c r="C21" s="957"/>
      <c r="D21" s="957"/>
      <c r="E21" s="957"/>
      <c r="F21" s="958"/>
      <c r="G21" s="446" t="s">
        <v>2922</v>
      </c>
      <c r="H21" s="446" t="s">
        <v>2911</v>
      </c>
      <c r="I21" s="440">
        <v>156000</v>
      </c>
      <c r="J21" s="440"/>
      <c r="K21" s="945">
        <f t="shared" si="0"/>
        <v>19500</v>
      </c>
    </row>
    <row r="22" spans="1:11">
      <c r="A22" s="939">
        <v>9</v>
      </c>
      <c r="B22" s="956" t="s">
        <v>2923</v>
      </c>
      <c r="C22" s="957"/>
      <c r="D22" s="957"/>
      <c r="E22" s="957"/>
      <c r="F22" s="958"/>
      <c r="G22" s="446" t="s">
        <v>2924</v>
      </c>
      <c r="H22" s="446" t="s">
        <v>2911</v>
      </c>
      <c r="I22" s="440">
        <v>254800</v>
      </c>
      <c r="J22" s="440"/>
      <c r="K22" s="945">
        <f t="shared" si="0"/>
        <v>31850</v>
      </c>
    </row>
    <row r="23" spans="1:11" s="442" customFormat="1" ht="16.5" hidden="1" customHeight="1">
      <c r="A23" s="939">
        <v>10</v>
      </c>
      <c r="B23" s="956"/>
      <c r="C23" s="957"/>
      <c r="D23" s="957"/>
      <c r="E23" s="957"/>
      <c r="F23" s="958"/>
      <c r="G23" s="446" t="s">
        <v>2925</v>
      </c>
      <c r="H23" s="446" t="s">
        <v>2911</v>
      </c>
      <c r="I23" s="440"/>
      <c r="J23" s="440"/>
      <c r="K23" s="945"/>
    </row>
    <row r="24" spans="1:11" s="442" customFormat="1" ht="16.5" hidden="1" customHeight="1">
      <c r="A24" s="939">
        <v>11</v>
      </c>
      <c r="B24" s="956"/>
      <c r="C24" s="957"/>
      <c r="D24" s="957"/>
      <c r="E24" s="957"/>
      <c r="F24" s="958"/>
      <c r="G24" s="446" t="s">
        <v>2914</v>
      </c>
      <c r="H24" s="446" t="s">
        <v>2911</v>
      </c>
      <c r="I24" s="440"/>
      <c r="J24" s="517"/>
      <c r="K24" s="946"/>
    </row>
    <row r="25" spans="1:11" s="442" customFormat="1" ht="16.5" hidden="1" customHeight="1">
      <c r="A25" s="939">
        <v>12</v>
      </c>
      <c r="B25" s="956"/>
      <c r="C25" s="957"/>
      <c r="D25" s="957"/>
      <c r="E25" s="957"/>
      <c r="F25" s="958"/>
      <c r="G25" s="446" t="s">
        <v>3421</v>
      </c>
      <c r="H25" s="446" t="s">
        <v>2911</v>
      </c>
      <c r="I25" s="440"/>
      <c r="J25" s="517"/>
      <c r="K25" s="946"/>
    </row>
    <row r="26" spans="1:11" s="442" customFormat="1" ht="17.25" thickBot="1">
      <c r="A26" s="947"/>
      <c r="B26" s="1036"/>
      <c r="C26" s="1037"/>
      <c r="D26" s="1037"/>
      <c r="E26" s="1037"/>
      <c r="F26" s="1038"/>
      <c r="G26" s="960"/>
      <c r="H26" s="960"/>
      <c r="I26" s="948"/>
      <c r="J26" s="948"/>
      <c r="K26" s="949"/>
    </row>
    <row r="27" spans="1:11" s="442" customFormat="1" ht="17.25" thickTop="1">
      <c r="A27" s="1015"/>
      <c r="B27" s="950"/>
      <c r="C27" s="950"/>
      <c r="D27" s="950"/>
      <c r="E27" s="950"/>
      <c r="F27" s="950"/>
      <c r="G27" s="1015"/>
      <c r="H27" s="1015"/>
      <c r="K27" s="1015"/>
    </row>
    <row r="28" spans="1:11" s="442" customFormat="1">
      <c r="A28" s="1264" t="s">
        <v>2926</v>
      </c>
      <c r="B28" s="1264"/>
      <c r="C28" s="1264"/>
      <c r="D28" s="1264"/>
      <c r="E28" s="1264"/>
      <c r="F28" s="1264"/>
      <c r="G28" s="1264"/>
      <c r="H28" s="1264"/>
      <c r="I28" s="1264"/>
      <c r="J28" s="1264"/>
      <c r="K28" s="1264"/>
    </row>
    <row r="29" spans="1:11" s="442" customFormat="1" ht="17.25" thickBot="1">
      <c r="A29" s="1015"/>
      <c r="B29" s="951"/>
      <c r="C29" s="951"/>
      <c r="D29" s="951"/>
      <c r="E29" s="951"/>
      <c r="F29" s="951"/>
      <c r="G29" s="1015"/>
      <c r="H29" s="1015"/>
      <c r="I29" s="437"/>
      <c r="J29" s="437"/>
      <c r="K29" s="1015"/>
    </row>
    <row r="30" spans="1:11" s="442" customFormat="1" ht="12.75" customHeight="1" thickTop="1">
      <c r="A30" s="1265" t="s">
        <v>2903</v>
      </c>
      <c r="B30" s="1268" t="s">
        <v>2927</v>
      </c>
      <c r="C30" s="1269"/>
      <c r="D30" s="1269"/>
      <c r="E30" s="1269"/>
      <c r="F30" s="1270"/>
      <c r="G30" s="1277" t="s">
        <v>2905</v>
      </c>
      <c r="H30" s="1277" t="s">
        <v>2906</v>
      </c>
      <c r="I30" s="1278" t="s">
        <v>2928</v>
      </c>
      <c r="J30" s="1278" t="s">
        <v>2928</v>
      </c>
      <c r="K30" s="1279" t="s">
        <v>2929</v>
      </c>
    </row>
    <row r="31" spans="1:11" s="442" customFormat="1">
      <c r="A31" s="1266"/>
      <c r="B31" s="1271"/>
      <c r="C31" s="1272"/>
      <c r="D31" s="1272"/>
      <c r="E31" s="1272"/>
      <c r="F31" s="1273"/>
      <c r="G31" s="1212"/>
      <c r="H31" s="1212"/>
      <c r="I31" s="1230"/>
      <c r="J31" s="1230"/>
      <c r="K31" s="1280"/>
    </row>
    <row r="32" spans="1:11" s="442" customFormat="1">
      <c r="A32" s="1267"/>
      <c r="B32" s="1274"/>
      <c r="C32" s="1275"/>
      <c r="D32" s="1275"/>
      <c r="E32" s="1275"/>
      <c r="F32" s="1276"/>
      <c r="G32" s="1213"/>
      <c r="H32" s="1213"/>
      <c r="I32" s="1231"/>
      <c r="J32" s="1231"/>
      <c r="K32" s="1281"/>
    </row>
    <row r="33" spans="1:14">
      <c r="A33" s="934">
        <v>1</v>
      </c>
      <c r="B33" s="1261">
        <v>2</v>
      </c>
      <c r="C33" s="1262"/>
      <c r="D33" s="1262"/>
      <c r="E33" s="1262"/>
      <c r="F33" s="1263"/>
      <c r="G33" s="952">
        <v>3</v>
      </c>
      <c r="H33" s="952">
        <v>3</v>
      </c>
      <c r="I33" s="935">
        <v>4</v>
      </c>
      <c r="J33" s="935">
        <v>4</v>
      </c>
      <c r="K33" s="936">
        <v>5</v>
      </c>
    </row>
    <row r="34" spans="1:14">
      <c r="A34" s="937"/>
      <c r="B34" s="961"/>
      <c r="C34" s="962"/>
      <c r="D34" s="962"/>
      <c r="E34" s="963"/>
      <c r="F34" s="964"/>
      <c r="G34" s="491"/>
      <c r="H34" s="491"/>
      <c r="I34" s="444"/>
      <c r="J34" s="444"/>
      <c r="K34" s="938"/>
    </row>
    <row r="35" spans="1:14">
      <c r="A35" s="939"/>
      <c r="B35" s="965" t="s">
        <v>2930</v>
      </c>
      <c r="C35" s="966"/>
      <c r="D35" s="967"/>
      <c r="E35" s="959"/>
      <c r="F35" s="968"/>
      <c r="G35" s="446"/>
      <c r="H35" s="446"/>
      <c r="I35" s="445"/>
      <c r="J35" s="445"/>
      <c r="K35" s="940"/>
    </row>
    <row r="36" spans="1:14">
      <c r="A36" s="939">
        <v>1</v>
      </c>
      <c r="B36" s="956" t="s">
        <v>2931</v>
      </c>
      <c r="C36" s="957"/>
      <c r="D36" s="967"/>
      <c r="E36" s="959"/>
      <c r="F36" s="968"/>
      <c r="G36" s="446"/>
      <c r="H36" s="446" t="s">
        <v>1264</v>
      </c>
      <c r="I36" s="445">
        <v>8000</v>
      </c>
      <c r="J36" s="445"/>
      <c r="K36" s="940"/>
    </row>
    <row r="37" spans="1:14">
      <c r="A37" s="939">
        <v>2</v>
      </c>
      <c r="B37" s="956" t="s">
        <v>2932</v>
      </c>
      <c r="C37" s="957"/>
      <c r="D37" s="967"/>
      <c r="E37" s="959"/>
      <c r="F37" s="968"/>
      <c r="G37" s="446"/>
      <c r="H37" s="446" t="s">
        <v>1264</v>
      </c>
      <c r="I37" s="445">
        <v>10000</v>
      </c>
      <c r="J37" s="445"/>
      <c r="K37" s="940"/>
    </row>
    <row r="38" spans="1:14">
      <c r="A38" s="939">
        <v>3</v>
      </c>
      <c r="B38" s="956" t="s">
        <v>2933</v>
      </c>
      <c r="C38" s="957"/>
      <c r="D38" s="967"/>
      <c r="E38" s="959"/>
      <c r="F38" s="968"/>
      <c r="G38" s="446"/>
      <c r="H38" s="446" t="s">
        <v>1264</v>
      </c>
      <c r="I38" s="445">
        <v>20000</v>
      </c>
      <c r="J38" s="445"/>
      <c r="K38" s="940"/>
    </row>
    <row r="39" spans="1:14">
      <c r="A39" s="939">
        <v>4</v>
      </c>
      <c r="B39" s="956" t="s">
        <v>2934</v>
      </c>
      <c r="C39" s="967"/>
      <c r="D39" s="967"/>
      <c r="E39" s="959"/>
      <c r="F39" s="968"/>
      <c r="G39" s="446"/>
      <c r="H39" s="446" t="s">
        <v>1264</v>
      </c>
      <c r="I39" s="445">
        <v>7000</v>
      </c>
      <c r="J39" s="445"/>
      <c r="K39" s="940"/>
    </row>
    <row r="40" spans="1:14">
      <c r="A40" s="939"/>
      <c r="B40" s="969"/>
      <c r="C40" s="967"/>
      <c r="D40" s="967"/>
      <c r="E40" s="959"/>
      <c r="F40" s="968"/>
      <c r="G40" s="446"/>
      <c r="H40" s="446"/>
      <c r="I40" s="445"/>
      <c r="J40" s="445"/>
      <c r="K40" s="940"/>
    </row>
    <row r="41" spans="1:14">
      <c r="A41" s="939"/>
      <c r="B41" s="969"/>
      <c r="C41" s="967"/>
      <c r="D41" s="967"/>
      <c r="E41" s="959"/>
      <c r="F41" s="968"/>
      <c r="G41" s="446"/>
      <c r="H41" s="446"/>
      <c r="I41" s="445"/>
      <c r="J41" s="445"/>
      <c r="K41" s="940"/>
    </row>
    <row r="42" spans="1:14">
      <c r="A42" s="941" t="s">
        <v>671</v>
      </c>
      <c r="B42" s="965" t="s">
        <v>2935</v>
      </c>
      <c r="C42" s="966"/>
      <c r="D42" s="966"/>
      <c r="E42" s="966"/>
      <c r="F42" s="959"/>
      <c r="G42" s="446"/>
      <c r="H42" s="446"/>
      <c r="I42" s="445"/>
      <c r="J42" s="445"/>
      <c r="K42" s="940"/>
    </row>
    <row r="43" spans="1:14">
      <c r="A43" s="939"/>
      <c r="B43" s="956"/>
      <c r="C43" s="957"/>
      <c r="D43" s="957"/>
      <c r="E43" s="958"/>
      <c r="F43" s="970"/>
      <c r="G43" s="446"/>
      <c r="H43" s="446"/>
      <c r="I43" s="440"/>
      <c r="J43" s="440"/>
      <c r="K43" s="940"/>
    </row>
    <row r="44" spans="1:14">
      <c r="A44" s="939"/>
      <c r="B44" s="956" t="str">
        <f>'[44]analisa 2019 Revisi'!B35</f>
        <v>Tanah urug</v>
      </c>
      <c r="C44" s="957"/>
      <c r="D44" s="957"/>
      <c r="E44" s="958"/>
      <c r="F44" s="970"/>
      <c r="G44" s="446"/>
      <c r="H44" s="446" t="s">
        <v>881</v>
      </c>
      <c r="I44" s="440">
        <v>90000</v>
      </c>
      <c r="J44" s="440"/>
      <c r="K44" s="440"/>
    </row>
    <row r="45" spans="1:14">
      <c r="A45" s="939"/>
      <c r="B45" s="956" t="str">
        <f>'[44]analisa 2019 Revisi'!B50</f>
        <v>Semen Portland</v>
      </c>
      <c r="C45" s="957"/>
      <c r="D45" s="957"/>
      <c r="E45" s="958"/>
      <c r="F45" s="970"/>
      <c r="G45" s="446"/>
      <c r="H45" s="446" t="s">
        <v>690</v>
      </c>
      <c r="I45" s="440">
        <f>N45</f>
        <v>1625</v>
      </c>
      <c r="J45" s="440"/>
      <c r="K45" s="440"/>
      <c r="M45" s="1050">
        <v>70000</v>
      </c>
      <c r="N45" s="950">
        <f>65000/40</f>
        <v>1625</v>
      </c>
    </row>
    <row r="46" spans="1:14">
      <c r="A46" s="939"/>
      <c r="B46" s="956" t="str">
        <f>'[44]analisa 2019 Revisi'!B51</f>
        <v>Pasir Beton</v>
      </c>
      <c r="C46" s="957"/>
      <c r="D46" s="957"/>
      <c r="E46" s="958"/>
      <c r="F46" s="970"/>
      <c r="G46" s="446"/>
      <c r="H46" s="446" t="s">
        <v>881</v>
      </c>
      <c r="I46" s="440">
        <v>175000</v>
      </c>
      <c r="J46" s="440"/>
      <c r="K46" s="440"/>
    </row>
    <row r="47" spans="1:14">
      <c r="A47" s="939"/>
      <c r="B47" s="956" t="s">
        <v>2956</v>
      </c>
      <c r="C47" s="957"/>
      <c r="D47" s="957"/>
      <c r="E47" s="958"/>
      <c r="F47" s="970"/>
      <c r="G47" s="446"/>
      <c r="H47" s="446" t="s">
        <v>881</v>
      </c>
      <c r="I47" s="440">
        <v>120000</v>
      </c>
      <c r="J47" s="440"/>
      <c r="K47" s="440"/>
    </row>
    <row r="48" spans="1:14">
      <c r="A48" s="939"/>
      <c r="B48" s="956" t="str">
        <f>'[44]analisa 2019 Revisi'!B52</f>
        <v>Kerikil (Maks 30mm)</v>
      </c>
      <c r="C48" s="957"/>
      <c r="D48" s="957"/>
      <c r="E48" s="958"/>
      <c r="F48" s="970"/>
      <c r="G48" s="446"/>
      <c r="H48" s="446" t="s">
        <v>881</v>
      </c>
      <c r="I48" s="440">
        <v>250000</v>
      </c>
      <c r="J48" s="440"/>
      <c r="K48" s="440"/>
    </row>
    <row r="49" spans="1:11">
      <c r="A49" s="939"/>
      <c r="B49" s="956" t="str">
        <f>'[44]analisa 2019 Revisi'!B53</f>
        <v>Air</v>
      </c>
      <c r="C49" s="957"/>
      <c r="D49" s="957"/>
      <c r="E49" s="958"/>
      <c r="F49" s="970"/>
      <c r="G49" s="446"/>
      <c r="H49" s="446" t="s">
        <v>701</v>
      </c>
      <c r="I49" s="440">
        <v>100</v>
      </c>
      <c r="J49" s="440"/>
      <c r="K49" s="440"/>
    </row>
    <row r="50" spans="1:11">
      <c r="A50" s="939"/>
      <c r="B50" s="956" t="str">
        <f>'[44]analisa 2019 Revisi'!B68</f>
        <v>Batu belah</v>
      </c>
      <c r="C50" s="957"/>
      <c r="D50" s="957"/>
      <c r="E50" s="958"/>
      <c r="F50" s="970"/>
      <c r="G50" s="446"/>
      <c r="H50" s="446" t="s">
        <v>881</v>
      </c>
      <c r="I50" s="440">
        <v>250000</v>
      </c>
      <c r="J50" s="440"/>
      <c r="K50" s="440"/>
    </row>
    <row r="51" spans="1:11">
      <c r="A51" s="939"/>
      <c r="B51" s="956" t="str">
        <f>'[44]analisa 2019 Revisi'!B87</f>
        <v>Batu Pecah  2 - 3cm</v>
      </c>
      <c r="C51" s="957"/>
      <c r="D51" s="957"/>
      <c r="E51" s="958"/>
      <c r="F51" s="970"/>
      <c r="G51" s="446"/>
      <c r="H51" s="446" t="s">
        <v>881</v>
      </c>
      <c r="I51" s="440">
        <v>400000</v>
      </c>
      <c r="J51" s="440"/>
      <c r="K51" s="440"/>
    </row>
    <row r="52" spans="1:11">
      <c r="A52" s="939"/>
      <c r="B52" s="956" t="str">
        <f>'[44]analisa 2019 Revisi'!B103</f>
        <v>Kayu kelas III</v>
      </c>
      <c r="C52" s="957"/>
      <c r="D52" s="957"/>
      <c r="E52" s="958"/>
      <c r="F52" s="970"/>
      <c r="G52" s="446"/>
      <c r="H52" s="446" t="s">
        <v>881</v>
      </c>
      <c r="I52" s="440">
        <v>2200000</v>
      </c>
      <c r="J52" s="440"/>
      <c r="K52" s="440"/>
    </row>
    <row r="53" spans="1:11">
      <c r="A53" s="939"/>
      <c r="B53" s="956" t="str">
        <f>'[44]analisa 2019 Revisi'!B104</f>
        <v>Paku 5 cm – 10 cm</v>
      </c>
      <c r="C53" s="957"/>
      <c r="D53" s="957"/>
      <c r="E53" s="958"/>
      <c r="F53" s="970"/>
      <c r="G53" s="446"/>
      <c r="H53" s="446" t="s">
        <v>690</v>
      </c>
      <c r="I53" s="440">
        <v>28000</v>
      </c>
      <c r="J53" s="440"/>
      <c r="K53" s="440"/>
    </row>
    <row r="54" spans="1:11">
      <c r="A54" s="939"/>
      <c r="B54" s="956" t="str">
        <f>'[44]analisa 2019 Revisi'!B105</f>
        <v>Minyak bekisting</v>
      </c>
      <c r="C54" s="957"/>
      <c r="D54" s="957"/>
      <c r="E54" s="958"/>
      <c r="F54" s="970"/>
      <c r="G54" s="446"/>
      <c r="H54" s="446" t="s">
        <v>4885</v>
      </c>
      <c r="I54" s="440">
        <v>15000</v>
      </c>
      <c r="J54" s="440"/>
      <c r="K54" s="440"/>
    </row>
    <row r="55" spans="1:11">
      <c r="A55" s="939"/>
      <c r="B55" s="956" t="str">
        <f>'[44]analisa 2019 Revisi'!B123</f>
        <v>Balok kayu kelas III</v>
      </c>
      <c r="C55" s="957"/>
      <c r="D55" s="957"/>
      <c r="E55" s="958"/>
      <c r="F55" s="970"/>
      <c r="G55" s="446"/>
      <c r="H55" s="446" t="s">
        <v>881</v>
      </c>
      <c r="I55" s="440">
        <f>I52</f>
        <v>2200000</v>
      </c>
      <c r="J55" s="440"/>
      <c r="K55" s="440"/>
    </row>
    <row r="56" spans="1:11">
      <c r="A56" s="939"/>
      <c r="B56" s="956" t="str">
        <f>'[44]analisa 2019 Revisi'!B124</f>
        <v>Plywood tebal 9 mm</v>
      </c>
      <c r="C56" s="957"/>
      <c r="D56" s="957"/>
      <c r="E56" s="958"/>
      <c r="F56" s="970"/>
      <c r="G56" s="446"/>
      <c r="H56" s="446" t="s">
        <v>715</v>
      </c>
      <c r="I56" s="440">
        <v>200000</v>
      </c>
      <c r="J56" s="440"/>
      <c r="K56" s="440"/>
    </row>
    <row r="57" spans="1:11">
      <c r="A57" s="939"/>
      <c r="B57" s="956" t="str">
        <f>'[44]analisa 2019 Revisi'!B125</f>
        <v>Dolken kayu φ 8-10cm –panj 4 m</v>
      </c>
      <c r="C57" s="957"/>
      <c r="D57" s="957"/>
      <c r="E57" s="958"/>
      <c r="F57" s="970"/>
      <c r="G57" s="446"/>
      <c r="H57" s="446" t="s">
        <v>743</v>
      </c>
      <c r="I57" s="440">
        <v>12000</v>
      </c>
      <c r="J57" s="440"/>
      <c r="K57" s="440"/>
    </row>
    <row r="58" spans="1:11">
      <c r="A58" s="939"/>
      <c r="B58" s="956" t="str">
        <f>'[44]analisa 2019 Revisi'!B162</f>
        <v>Besi beton (ulir)</v>
      </c>
      <c r="C58" s="957"/>
      <c r="D58" s="957"/>
      <c r="E58" s="958"/>
      <c r="F58" s="970"/>
      <c r="G58" s="446"/>
      <c r="H58" s="446" t="s">
        <v>690</v>
      </c>
      <c r="I58" s="440">
        <v>13000</v>
      </c>
      <c r="J58" s="440"/>
      <c r="K58" s="440"/>
    </row>
    <row r="59" spans="1:11">
      <c r="A59" s="939"/>
      <c r="B59" s="956" t="str">
        <f>'[44]analisa 2019 Revisi'!B163</f>
        <v>Kawat beton</v>
      </c>
      <c r="C59" s="957"/>
      <c r="D59" s="957"/>
      <c r="E59" s="958"/>
      <c r="F59" s="970"/>
      <c r="G59" s="446"/>
      <c r="H59" s="446" t="s">
        <v>690</v>
      </c>
      <c r="I59" s="440">
        <v>30000</v>
      </c>
      <c r="J59" s="440"/>
      <c r="K59" s="440"/>
    </row>
    <row r="60" spans="1:11">
      <c r="A60" s="939"/>
      <c r="B60" s="956" t="str">
        <f>'[44]analisa 2019 Revisi'!B179</f>
        <v>Bata merah</v>
      </c>
      <c r="C60" s="957"/>
      <c r="D60" s="957"/>
      <c r="E60" s="958"/>
      <c r="F60" s="970"/>
      <c r="G60" s="446"/>
      <c r="H60" s="446" t="s">
        <v>743</v>
      </c>
      <c r="I60" s="440">
        <v>800</v>
      </c>
      <c r="J60" s="440"/>
      <c r="K60" s="440"/>
    </row>
    <row r="61" spans="1:11">
      <c r="A61" s="939"/>
      <c r="B61" s="956" t="str">
        <f>'[44]analisa 2019 Revisi'!B230</f>
        <v>Ubin keramik 40x40 cm</v>
      </c>
      <c r="C61" s="957"/>
      <c r="D61" s="957"/>
      <c r="E61" s="958"/>
      <c r="F61" s="970"/>
      <c r="G61" s="446"/>
      <c r="H61" s="446" t="s">
        <v>743</v>
      </c>
      <c r="I61" s="440">
        <v>11000</v>
      </c>
      <c r="J61" s="440"/>
      <c r="K61" s="440"/>
    </row>
    <row r="62" spans="1:11">
      <c r="A62" s="939"/>
      <c r="B62" s="956" t="str">
        <f>'[44]analisa 2019 Revisi'!B248</f>
        <v>Ubin keramik 25x25 cm</v>
      </c>
      <c r="C62" s="957"/>
      <c r="D62" s="957"/>
      <c r="E62" s="958"/>
      <c r="F62" s="970"/>
      <c r="G62" s="446"/>
      <c r="H62" s="446" t="s">
        <v>743</v>
      </c>
      <c r="I62" s="440">
        <v>7500</v>
      </c>
      <c r="J62" s="440"/>
      <c r="K62" s="440"/>
    </row>
    <row r="63" spans="1:11">
      <c r="A63" s="939"/>
      <c r="B63" s="956" t="str">
        <f>'[44]analisa 2019 Revisi'!B266</f>
        <v>Keramik 25x40 cm</v>
      </c>
      <c r="C63" s="957"/>
      <c r="D63" s="957"/>
      <c r="E63" s="958"/>
      <c r="F63" s="970"/>
      <c r="G63" s="446"/>
      <c r="H63" s="446" t="s">
        <v>743</v>
      </c>
      <c r="I63" s="440">
        <v>10000</v>
      </c>
      <c r="J63" s="440"/>
      <c r="K63" s="440"/>
    </row>
    <row r="64" spans="1:11">
      <c r="A64" s="939"/>
      <c r="B64" s="956" t="str">
        <f>'[44]analisa 2019 Revisi'!B233</f>
        <v>Semen warna</v>
      </c>
      <c r="C64" s="957"/>
      <c r="D64" s="957"/>
      <c r="E64" s="958"/>
      <c r="F64" s="970"/>
      <c r="G64" s="446"/>
      <c r="H64" s="446" t="s">
        <v>690</v>
      </c>
      <c r="I64" s="440">
        <v>10000</v>
      </c>
      <c r="J64" s="440"/>
      <c r="K64" s="440"/>
    </row>
    <row r="65" spans="1:14">
      <c r="A65" s="939"/>
      <c r="B65" s="956" t="str">
        <f>'[44]analisa 2019 Revisi'!B284</f>
        <v>Baja ringan canal ringan C75</v>
      </c>
      <c r="C65" s="957"/>
      <c r="D65" s="957"/>
      <c r="E65" s="958"/>
      <c r="F65" s="970"/>
      <c r="G65" s="446"/>
      <c r="H65" s="446" t="s">
        <v>3365</v>
      </c>
      <c r="I65" s="440">
        <v>20000</v>
      </c>
      <c r="J65" s="440"/>
      <c r="K65" s="440"/>
    </row>
    <row r="66" spans="1:14">
      <c r="A66" s="939"/>
      <c r="B66" s="956" t="str">
        <f>'[44]analisa 2019 Revisi'!B285</f>
        <v>Reng Baja Ringan C40</v>
      </c>
      <c r="C66" s="957"/>
      <c r="D66" s="957"/>
      <c r="E66" s="958"/>
      <c r="F66" s="970"/>
      <c r="G66" s="446"/>
      <c r="H66" s="446" t="s">
        <v>3365</v>
      </c>
      <c r="I66" s="440">
        <f>48725/6</f>
        <v>8120.833333333333</v>
      </c>
      <c r="J66" s="440"/>
      <c r="K66" s="440"/>
    </row>
    <row r="67" spans="1:14">
      <c r="A67" s="939"/>
      <c r="B67" s="956" t="str">
        <f>'[44]analisa 2019 Revisi'!B286</f>
        <v>Baut Baja Ringan</v>
      </c>
      <c r="C67" s="957"/>
      <c r="D67" s="957"/>
      <c r="E67" s="958"/>
      <c r="F67" s="970"/>
      <c r="G67" s="446"/>
      <c r="H67" s="446" t="s">
        <v>743</v>
      </c>
      <c r="I67" s="440">
        <v>1170</v>
      </c>
      <c r="J67" s="440"/>
      <c r="K67" s="440"/>
    </row>
    <row r="68" spans="1:14">
      <c r="A68" s="939"/>
      <c r="B68" s="956" t="str">
        <f>'[44]analisa 2019 Revisi'!B302</f>
        <v>Seng plat</v>
      </c>
      <c r="C68" s="957"/>
      <c r="D68" s="957"/>
      <c r="E68" s="958"/>
      <c r="F68" s="970"/>
      <c r="G68" s="446"/>
      <c r="H68" s="446" t="s">
        <v>715</v>
      </c>
      <c r="I68" s="440">
        <v>91350</v>
      </c>
      <c r="J68" s="440"/>
      <c r="K68" s="440"/>
    </row>
    <row r="69" spans="1:14">
      <c r="A69" s="939"/>
      <c r="B69" s="956" t="str">
        <f>'[44]analisa 2019 Revisi'!B303</f>
        <v>Paku 1 cm - 2.5 cm</v>
      </c>
      <c r="C69" s="957"/>
      <c r="D69" s="957"/>
      <c r="E69" s="958"/>
      <c r="F69" s="970"/>
      <c r="G69" s="446"/>
      <c r="H69" s="446" t="s">
        <v>690</v>
      </c>
      <c r="I69" s="440">
        <v>26000</v>
      </c>
      <c r="J69" s="440"/>
      <c r="K69" s="440"/>
    </row>
    <row r="70" spans="1:14">
      <c r="A70" s="939"/>
      <c r="B70" s="956" t="str">
        <f>'[44]analisa 2019 Revisi'!B319</f>
        <v>Nok atap zincalume</v>
      </c>
      <c r="C70" s="957"/>
      <c r="D70" s="957"/>
      <c r="E70" s="958"/>
      <c r="F70" s="970"/>
      <c r="G70" s="446"/>
      <c r="H70" s="446" t="s">
        <v>3365</v>
      </c>
      <c r="I70" s="440">
        <v>26100</v>
      </c>
      <c r="J70" s="440"/>
      <c r="K70" s="440"/>
    </row>
    <row r="71" spans="1:14">
      <c r="A71" s="939"/>
      <c r="B71" s="956" t="str">
        <f>'[44]analisa 2019 Revisi'!B320</f>
        <v>paku seng</v>
      </c>
      <c r="C71" s="957"/>
      <c r="D71" s="957"/>
      <c r="E71" s="958"/>
      <c r="F71" s="970"/>
      <c r="G71" s="446"/>
      <c r="H71" s="446" t="s">
        <v>690</v>
      </c>
      <c r="I71" s="440">
        <v>28000</v>
      </c>
      <c r="J71" s="440"/>
      <c r="K71" s="440"/>
    </row>
    <row r="72" spans="1:14">
      <c r="A72" s="939"/>
      <c r="B72" s="956" t="str">
        <f>'[44]analisa 2019 Revisi'!B335</f>
        <v>Atap Zincalume</v>
      </c>
      <c r="C72" s="957"/>
      <c r="D72" s="957"/>
      <c r="E72" s="958"/>
      <c r="F72" s="970"/>
      <c r="G72" s="446"/>
      <c r="H72" s="446" t="s">
        <v>4892</v>
      </c>
      <c r="I72" s="440">
        <v>11500</v>
      </c>
      <c r="J72" s="440"/>
      <c r="K72" s="440"/>
      <c r="M72" s="950">
        <f>0.3047*0.3047</f>
        <v>9.2842090000000016E-2</v>
      </c>
      <c r="N72" s="1050">
        <f>M73*I72</f>
        <v>123866.23351542385</v>
      </c>
    </row>
    <row r="73" spans="1:14">
      <c r="A73" s="939"/>
      <c r="B73" s="956" t="str">
        <f>'[44]analisa 2019 Revisi'!B351</f>
        <v>Lisplank GRC</v>
      </c>
      <c r="C73" s="957"/>
      <c r="D73" s="957"/>
      <c r="E73" s="958"/>
      <c r="F73" s="970"/>
      <c r="G73" s="446"/>
      <c r="H73" s="446" t="s">
        <v>3365</v>
      </c>
      <c r="I73" s="440">
        <v>35000</v>
      </c>
      <c r="J73" s="440"/>
      <c r="K73" s="440"/>
      <c r="M73" s="950">
        <f>1/M72</f>
        <v>10.770976827428161</v>
      </c>
    </row>
    <row r="74" spans="1:14">
      <c r="A74" s="939"/>
      <c r="B74" s="956" t="str">
        <f>'[44]analisa 2019 Revisi'!B352</f>
        <v>Paku skrup 3.5”</v>
      </c>
      <c r="C74" s="957"/>
      <c r="D74" s="957"/>
      <c r="E74" s="958"/>
      <c r="F74" s="970"/>
      <c r="G74" s="446"/>
      <c r="H74" s="446" t="s">
        <v>743</v>
      </c>
      <c r="I74" s="440">
        <v>900</v>
      </c>
      <c r="J74" s="440"/>
      <c r="K74" s="440"/>
    </row>
    <row r="75" spans="1:14">
      <c r="A75" s="939"/>
      <c r="B75" s="956" t="str">
        <f>'[44]analisa 2019 Revisi'!B367</f>
        <v>Rangka Puring</v>
      </c>
      <c r="C75" s="957"/>
      <c r="D75" s="957"/>
      <c r="E75" s="958"/>
      <c r="F75" s="970"/>
      <c r="G75" s="446"/>
      <c r="H75" s="446" t="s">
        <v>3365</v>
      </c>
      <c r="I75" s="440">
        <v>16965</v>
      </c>
      <c r="J75" s="440"/>
      <c r="K75" s="440"/>
    </row>
    <row r="76" spans="1:14">
      <c r="A76" s="939"/>
      <c r="B76" s="956" t="str">
        <f>'[44]analisa 2019 Revisi'!B368</f>
        <v>Kawat dia 4 mm</v>
      </c>
      <c r="C76" s="957"/>
      <c r="D76" s="957"/>
      <c r="E76" s="958"/>
      <c r="F76" s="970"/>
      <c r="G76" s="446"/>
      <c r="H76" s="446" t="s">
        <v>690</v>
      </c>
      <c r="I76" s="440">
        <v>8900</v>
      </c>
      <c r="J76" s="440"/>
      <c r="K76" s="440"/>
    </row>
    <row r="77" spans="1:14">
      <c r="A77" s="939"/>
      <c r="B77" s="956" t="str">
        <f>'[44]analisa 2019 Revisi'!B369</f>
        <v>Ramset</v>
      </c>
      <c r="C77" s="957"/>
      <c r="D77" s="957"/>
      <c r="E77" s="958"/>
      <c r="F77" s="970"/>
      <c r="G77" s="446"/>
      <c r="H77" s="446" t="s">
        <v>743</v>
      </c>
      <c r="I77" s="440">
        <v>2900</v>
      </c>
      <c r="J77" s="440"/>
      <c r="K77" s="440"/>
    </row>
    <row r="78" spans="1:14">
      <c r="A78" s="939"/>
      <c r="B78" s="956" t="str">
        <f>'[44]analisa 2019 Revisi'!B384</f>
        <v>Plafond PVC</v>
      </c>
      <c r="C78" s="957"/>
      <c r="D78" s="957"/>
      <c r="E78" s="958"/>
      <c r="F78" s="970"/>
      <c r="G78" s="446"/>
      <c r="H78" s="446" t="s">
        <v>1264</v>
      </c>
      <c r="I78" s="440">
        <v>126000</v>
      </c>
      <c r="J78" s="440"/>
      <c r="K78" s="440"/>
    </row>
    <row r="79" spans="1:14">
      <c r="A79" s="939"/>
      <c r="B79" s="956" t="str">
        <f>'[44]analisa 2019 Revisi'!B398</f>
        <v>Soda api</v>
      </c>
      <c r="C79" s="957"/>
      <c r="D79" s="957"/>
      <c r="E79" s="958"/>
      <c r="F79" s="970"/>
      <c r="G79" s="446"/>
      <c r="H79" s="446" t="s">
        <v>690</v>
      </c>
      <c r="I79" s="440">
        <v>32625</v>
      </c>
      <c r="J79" s="440"/>
      <c r="K79" s="440"/>
    </row>
    <row r="80" spans="1:14">
      <c r="A80" s="939"/>
      <c r="B80" s="956" t="str">
        <f>'[44]analisa 2019 Revisi'!B413</f>
        <v>Plamuur</v>
      </c>
      <c r="C80" s="957"/>
      <c r="D80" s="957"/>
      <c r="E80" s="958"/>
      <c r="F80" s="970"/>
      <c r="G80" s="446"/>
      <c r="H80" s="446" t="s">
        <v>690</v>
      </c>
      <c r="I80" s="440">
        <v>7500</v>
      </c>
      <c r="J80" s="440"/>
      <c r="K80" s="440"/>
    </row>
    <row r="81" spans="1:11">
      <c r="A81" s="939"/>
      <c r="B81" s="956" t="str">
        <f>'[44]analisa 2019 Revisi'!B414</f>
        <v>Cat dasar</v>
      </c>
      <c r="C81" s="957"/>
      <c r="D81" s="957"/>
      <c r="E81" s="958"/>
      <c r="F81" s="970"/>
      <c r="G81" s="446"/>
      <c r="H81" s="446" t="s">
        <v>690</v>
      </c>
      <c r="I81" s="440">
        <v>40000</v>
      </c>
      <c r="J81" s="440"/>
      <c r="K81" s="440"/>
    </row>
    <row r="82" spans="1:11">
      <c r="A82" s="939"/>
      <c r="B82" s="956" t="str">
        <f>'[44]analisa 2019 Revisi'!B415</f>
        <v>Cat penutup setara vinilex</v>
      </c>
      <c r="C82" s="957"/>
      <c r="D82" s="957"/>
      <c r="E82" s="958"/>
      <c r="F82" s="970"/>
      <c r="G82" s="446"/>
      <c r="H82" s="446" t="s">
        <v>690</v>
      </c>
      <c r="I82" s="440">
        <v>80000</v>
      </c>
      <c r="J82" s="440"/>
      <c r="K82" s="440"/>
    </row>
    <row r="83" spans="1:11">
      <c r="A83" s="939"/>
      <c r="B83" s="956" t="str">
        <f>'[44]analisa 2019 Revisi'!B430</f>
        <v>Cat menie</v>
      </c>
      <c r="C83" s="957"/>
      <c r="D83" s="957"/>
      <c r="E83" s="958"/>
      <c r="F83" s="970"/>
      <c r="G83" s="446"/>
      <c r="H83" s="446" t="s">
        <v>690</v>
      </c>
      <c r="I83" s="440">
        <v>40000</v>
      </c>
      <c r="J83" s="440"/>
      <c r="K83" s="440"/>
    </row>
    <row r="84" spans="1:11">
      <c r="A84" s="939"/>
      <c r="B84" s="956" t="str">
        <f>'[44]analisa 2019 Revisi'!B433</f>
        <v>Cat penutup</v>
      </c>
      <c r="C84" s="957"/>
      <c r="D84" s="957"/>
      <c r="E84" s="958"/>
      <c r="F84" s="970"/>
      <c r="G84" s="446"/>
      <c r="H84" s="446" t="s">
        <v>690</v>
      </c>
      <c r="I84" s="440">
        <f>I82</f>
        <v>80000</v>
      </c>
      <c r="J84" s="440"/>
      <c r="K84" s="440"/>
    </row>
    <row r="85" spans="1:11">
      <c r="A85" s="939"/>
      <c r="B85" s="956" t="str">
        <f>'[44]analisa 2019 Revisi'!B434</f>
        <v>Kuas</v>
      </c>
      <c r="C85" s="957"/>
      <c r="D85" s="957"/>
      <c r="E85" s="958"/>
      <c r="F85" s="970"/>
      <c r="G85" s="446"/>
      <c r="H85" s="446" t="s">
        <v>743</v>
      </c>
      <c r="I85" s="440">
        <v>39150</v>
      </c>
      <c r="J85" s="440"/>
      <c r="K85" s="440"/>
    </row>
    <row r="86" spans="1:11">
      <c r="A86" s="939"/>
      <c r="B86" s="956" t="str">
        <f>'[44]analisa 2019 Revisi'!B435</f>
        <v>Pengencer</v>
      </c>
      <c r="C86" s="957"/>
      <c r="D86" s="957"/>
      <c r="E86" s="958"/>
      <c r="F86" s="970"/>
      <c r="G86" s="446"/>
      <c r="H86" s="446" t="s">
        <v>690</v>
      </c>
      <c r="I86" s="440">
        <v>67860</v>
      </c>
      <c r="J86" s="440"/>
      <c r="K86" s="440"/>
    </row>
    <row r="87" spans="1:11">
      <c r="A87" s="939"/>
      <c r="B87" s="956" t="str">
        <f>'[44]analisa 2019 Revisi'!B436</f>
        <v>Ampelas</v>
      </c>
      <c r="C87" s="957"/>
      <c r="D87" s="957"/>
      <c r="E87" s="958"/>
      <c r="F87" s="970"/>
      <c r="G87" s="446"/>
      <c r="H87" s="446" t="s">
        <v>743</v>
      </c>
      <c r="I87" s="440">
        <v>16965</v>
      </c>
      <c r="J87" s="440"/>
      <c r="K87" s="440"/>
    </row>
    <row r="88" spans="1:11">
      <c r="A88" s="939"/>
      <c r="B88" s="956" t="str">
        <f>'[44]analisa 2019 Revisi'!B451</f>
        <v>Kabel NYM 3x2,5 mm²</v>
      </c>
      <c r="C88" s="957"/>
      <c r="D88" s="957"/>
      <c r="E88" s="958"/>
      <c r="F88" s="970"/>
      <c r="G88" s="446"/>
      <c r="H88" s="446" t="s">
        <v>3365</v>
      </c>
      <c r="I88" s="440">
        <v>15660</v>
      </c>
      <c r="J88" s="440"/>
      <c r="K88" s="440"/>
    </row>
    <row r="89" spans="1:11">
      <c r="A89" s="939"/>
      <c r="B89" s="956" t="str">
        <f>'[44]analisa 2019 Revisi'!B452</f>
        <v>Conduit</v>
      </c>
      <c r="C89" s="957"/>
      <c r="D89" s="957"/>
      <c r="E89" s="958"/>
      <c r="F89" s="970"/>
      <c r="G89" s="446"/>
      <c r="H89" s="446" t="s">
        <v>3365</v>
      </c>
      <c r="I89" s="440">
        <v>13000</v>
      </c>
      <c r="J89" s="440"/>
      <c r="K89" s="440"/>
    </row>
    <row r="90" spans="1:11">
      <c r="A90" s="939"/>
      <c r="B90" s="956" t="str">
        <f>'[44]analisa 2019 Revisi'!B468</f>
        <v>Lampu Downlight</v>
      </c>
      <c r="C90" s="957"/>
      <c r="D90" s="957"/>
      <c r="E90" s="958"/>
      <c r="F90" s="970"/>
      <c r="G90" s="446"/>
      <c r="H90" s="446" t="s">
        <v>743</v>
      </c>
      <c r="I90" s="440">
        <v>45675</v>
      </c>
      <c r="J90" s="440"/>
      <c r="K90" s="440"/>
    </row>
    <row r="91" spans="1:11">
      <c r="A91" s="939"/>
      <c r="B91" s="956" t="str">
        <f>'[44]analisa 2019 Revisi'!B484</f>
        <v>Stop Kontak Tanam</v>
      </c>
      <c r="C91" s="957"/>
      <c r="D91" s="957"/>
      <c r="E91" s="958"/>
      <c r="F91" s="970"/>
      <c r="G91" s="446"/>
      <c r="H91" s="446" t="s">
        <v>743</v>
      </c>
      <c r="I91" s="440">
        <v>15660</v>
      </c>
      <c r="J91" s="440"/>
      <c r="K91" s="440"/>
    </row>
    <row r="92" spans="1:11">
      <c r="A92" s="939"/>
      <c r="B92" s="956" t="str">
        <f>'[44]analisa 2019 Revisi'!B500</f>
        <v>Saklar Tunggal</v>
      </c>
      <c r="C92" s="957"/>
      <c r="D92" s="957"/>
      <c r="E92" s="958"/>
      <c r="F92" s="970"/>
      <c r="G92" s="446"/>
      <c r="H92" s="446" t="s">
        <v>743</v>
      </c>
      <c r="I92" s="440">
        <v>24050</v>
      </c>
      <c r="J92" s="440"/>
      <c r="K92" s="440"/>
    </row>
    <row r="93" spans="1:11">
      <c r="A93" s="939"/>
      <c r="B93" s="956" t="str">
        <f>'[44]analisa 2019 Revisi'!B516</f>
        <v>Saklar Ganda</v>
      </c>
      <c r="C93" s="957"/>
      <c r="D93" s="957"/>
      <c r="E93" s="958"/>
      <c r="F93" s="970"/>
      <c r="G93" s="446"/>
      <c r="H93" s="446" t="s">
        <v>743</v>
      </c>
      <c r="I93" s="440">
        <v>45500</v>
      </c>
      <c r="J93" s="440"/>
      <c r="K93" s="440"/>
    </row>
    <row r="94" spans="1:11">
      <c r="A94" s="939"/>
      <c r="B94" s="956" t="str">
        <f>'[44]analisa 2019 Revisi'!B532</f>
        <v>Saklar Triple</v>
      </c>
      <c r="C94" s="957"/>
      <c r="D94" s="957"/>
      <c r="E94" s="958"/>
      <c r="F94" s="970"/>
      <c r="G94" s="446"/>
      <c r="H94" s="446" t="s">
        <v>743</v>
      </c>
      <c r="I94" s="440">
        <v>19500</v>
      </c>
      <c r="J94" s="440"/>
      <c r="K94" s="440"/>
    </row>
    <row r="95" spans="1:11">
      <c r="A95" s="939"/>
      <c r="B95" s="956" t="str">
        <f>'[44]analisa 2019 Revisi'!B548</f>
        <v>Pipa PVC 3/4”</v>
      </c>
      <c r="C95" s="957"/>
      <c r="D95" s="957"/>
      <c r="E95" s="958"/>
      <c r="F95" s="970"/>
      <c r="G95" s="446"/>
      <c r="H95" s="446" t="s">
        <v>3365</v>
      </c>
      <c r="I95" s="440">
        <f>65250/6</f>
        <v>10875</v>
      </c>
      <c r="J95" s="440"/>
      <c r="K95" s="440"/>
    </row>
    <row r="96" spans="1:11">
      <c r="A96" s="939"/>
      <c r="B96" s="956" t="str">
        <f>'[44]analisa 2019 Revisi'!B564</f>
        <v>Pipa PVC 4”</v>
      </c>
      <c r="C96" s="957"/>
      <c r="D96" s="957"/>
      <c r="E96" s="958"/>
      <c r="F96" s="970"/>
      <c r="G96" s="446"/>
      <c r="H96" s="446" t="s">
        <v>3365</v>
      </c>
      <c r="I96" s="440">
        <f>652500/6</f>
        <v>108750</v>
      </c>
      <c r="J96" s="440"/>
      <c r="K96" s="440"/>
    </row>
    <row r="97" spans="1:11">
      <c r="A97" s="939"/>
      <c r="B97" s="956" t="str">
        <f>'[44]analisa 2019 Revisi'!B580</f>
        <v>Pipa PVC 3”</v>
      </c>
      <c r="C97" s="957"/>
      <c r="D97" s="957"/>
      <c r="E97" s="958"/>
      <c r="F97" s="970"/>
      <c r="G97" s="446"/>
      <c r="H97" s="446" t="s">
        <v>3365</v>
      </c>
      <c r="I97" s="440">
        <f>391500/6</f>
        <v>65250</v>
      </c>
      <c r="J97" s="440"/>
      <c r="K97" s="440"/>
    </row>
    <row r="98" spans="1:11">
      <c r="A98" s="939"/>
      <c r="B98" s="956" t="str">
        <f>'[44]analisa 2019 Revisi'!B596</f>
        <v>Floor drain</v>
      </c>
      <c r="C98" s="957"/>
      <c r="D98" s="957"/>
      <c r="E98" s="958"/>
      <c r="F98" s="970"/>
      <c r="G98" s="446"/>
      <c r="H98" s="446" t="s">
        <v>743</v>
      </c>
      <c r="I98" s="440">
        <v>75000</v>
      </c>
      <c r="J98" s="440"/>
      <c r="K98" s="440"/>
    </row>
    <row r="99" spans="1:11">
      <c r="A99" s="939"/>
      <c r="B99" s="956" t="str">
        <f>'[44]analisa 2019 Revisi'!B611</f>
        <v>Kran air</v>
      </c>
      <c r="C99" s="957"/>
      <c r="D99" s="957"/>
      <c r="E99" s="958"/>
      <c r="F99" s="970"/>
      <c r="G99" s="446"/>
      <c r="H99" s="446" t="s">
        <v>743</v>
      </c>
      <c r="I99" s="440">
        <v>78300</v>
      </c>
      <c r="J99" s="440"/>
      <c r="K99" s="440"/>
    </row>
    <row r="100" spans="1:11">
      <c r="A100" s="939"/>
      <c r="B100" s="956" t="str">
        <f>'[44]analisa 2019 Revisi'!B627</f>
        <v>Closet jongkok</v>
      </c>
      <c r="C100" s="957"/>
      <c r="D100" s="957"/>
      <c r="E100" s="958"/>
      <c r="F100" s="970"/>
      <c r="G100" s="446"/>
      <c r="H100" s="446" t="s">
        <v>743</v>
      </c>
      <c r="I100" s="440">
        <v>195750</v>
      </c>
      <c r="J100" s="440"/>
      <c r="K100" s="440"/>
    </row>
    <row r="101" spans="1:11">
      <c r="A101" s="939"/>
      <c r="B101" s="956" t="str">
        <f>'[44]analisa 2019 Revisi'!B644</f>
        <v xml:space="preserve">Paving block 8 cm </v>
      </c>
      <c r="C101" s="957"/>
      <c r="D101" s="957"/>
      <c r="E101" s="958"/>
      <c r="F101" s="970"/>
      <c r="G101" s="446"/>
      <c r="H101" s="446" t="s">
        <v>743</v>
      </c>
      <c r="I101" s="440">
        <v>2500</v>
      </c>
      <c r="J101" s="440"/>
      <c r="K101" s="440"/>
    </row>
    <row r="102" spans="1:11">
      <c r="A102" s="939"/>
      <c r="B102" s="956" t="str">
        <f>'[44]analisa 2019 Revisi'!B660</f>
        <v>Besi siku UNP 50.38.5</v>
      </c>
      <c r="C102" s="957"/>
      <c r="D102" s="957"/>
      <c r="E102" s="958"/>
      <c r="F102" s="970"/>
      <c r="G102" s="446"/>
      <c r="H102" s="446" t="s">
        <v>690</v>
      </c>
      <c r="I102" s="440">
        <v>30000</v>
      </c>
      <c r="J102" s="440"/>
      <c r="K102" s="440"/>
    </row>
    <row r="103" spans="1:11">
      <c r="A103" s="939"/>
      <c r="B103" s="956" t="str">
        <f>'[44]analisa 2019 Revisi'!B661</f>
        <v>Besi plat baja</v>
      </c>
      <c r="C103" s="957"/>
      <c r="D103" s="957"/>
      <c r="E103" s="958"/>
      <c r="F103" s="970"/>
      <c r="G103" s="446"/>
      <c r="H103" s="446" t="s">
        <v>690</v>
      </c>
      <c r="I103" s="440">
        <f>(1190250/(1.2*2.4))/16</f>
        <v>25830.078125</v>
      </c>
      <c r="J103" s="440"/>
      <c r="K103" s="440"/>
    </row>
    <row r="104" spans="1:11">
      <c r="A104" s="939"/>
      <c r="B104" s="956" t="str">
        <f>'[44]analisa 2019 Revisi'!B693</f>
        <v>Kawat nyamuk aluminium</v>
      </c>
      <c r="C104" s="957"/>
      <c r="D104" s="957"/>
      <c r="E104" s="958"/>
      <c r="F104" s="970"/>
      <c r="G104" s="446"/>
      <c r="H104" s="446" t="s">
        <v>1264</v>
      </c>
      <c r="I104" s="440">
        <v>125000</v>
      </c>
      <c r="J104" s="440"/>
      <c r="K104" s="440"/>
    </row>
    <row r="105" spans="1:11">
      <c r="A105" s="939"/>
      <c r="B105" s="956" t="str">
        <f>'[44]analisa 2019 Revisi'!B695</f>
        <v>Baja strip (0.2 x 2) cm</v>
      </c>
      <c r="C105" s="957"/>
      <c r="D105" s="957"/>
      <c r="E105" s="958"/>
      <c r="F105" s="970"/>
      <c r="G105" s="446"/>
      <c r="H105" s="446" t="s">
        <v>3228</v>
      </c>
      <c r="I105" s="440">
        <v>25220</v>
      </c>
      <c r="J105" s="440"/>
      <c r="K105" s="440"/>
    </row>
    <row r="106" spans="1:11">
      <c r="A106" s="939"/>
      <c r="B106" s="956"/>
      <c r="C106" s="957"/>
      <c r="D106" s="957"/>
      <c r="E106" s="958"/>
      <c r="F106" s="970"/>
      <c r="G106" s="446"/>
      <c r="H106" s="446"/>
      <c r="I106" s="440"/>
      <c r="J106" s="440"/>
      <c r="K106" s="940"/>
    </row>
    <row r="107" spans="1:11">
      <c r="A107" s="939"/>
      <c r="B107" s="956"/>
      <c r="C107" s="957"/>
      <c r="D107" s="957"/>
      <c r="E107" s="958"/>
      <c r="F107" s="970"/>
      <c r="G107" s="446"/>
      <c r="H107" s="446"/>
      <c r="I107" s="440"/>
      <c r="J107" s="440"/>
      <c r="K107" s="940"/>
    </row>
    <row r="108" spans="1:11">
      <c r="A108" s="939"/>
      <c r="B108" s="956"/>
      <c r="C108" s="957"/>
      <c r="D108" s="957"/>
      <c r="E108" s="958"/>
      <c r="F108" s="970"/>
      <c r="G108" s="446"/>
      <c r="H108" s="446"/>
      <c r="I108" s="440"/>
      <c r="J108" s="440"/>
      <c r="K108" s="940"/>
    </row>
    <row r="109" spans="1:11">
      <c r="A109" s="939"/>
      <c r="B109" s="956"/>
      <c r="C109" s="957"/>
      <c r="D109" s="957"/>
      <c r="E109" s="958"/>
      <c r="F109" s="970"/>
      <c r="G109" s="446"/>
      <c r="H109" s="446"/>
      <c r="I109" s="440"/>
      <c r="J109" s="440"/>
      <c r="K109" s="940"/>
    </row>
    <row r="110" spans="1:11">
      <c r="A110" s="939"/>
      <c r="B110" s="956"/>
      <c r="C110" s="957"/>
      <c r="D110" s="957"/>
      <c r="E110" s="958"/>
      <c r="F110" s="970"/>
      <c r="G110" s="446"/>
      <c r="H110" s="446"/>
      <c r="I110" s="440"/>
      <c r="J110" s="440"/>
      <c r="K110" s="940"/>
    </row>
    <row r="111" spans="1:11">
      <c r="A111" s="939"/>
      <c r="B111" s="956"/>
      <c r="C111" s="957"/>
      <c r="D111" s="957"/>
      <c r="E111" s="958"/>
      <c r="F111" s="970"/>
      <c r="G111" s="446"/>
      <c r="H111" s="446"/>
      <c r="I111" s="440"/>
      <c r="J111" s="440"/>
      <c r="K111" s="940"/>
    </row>
    <row r="112" spans="1:11">
      <c r="A112" s="939"/>
      <c r="B112" s="956"/>
      <c r="C112" s="957"/>
      <c r="D112" s="957"/>
      <c r="E112" s="958"/>
      <c r="F112" s="970"/>
      <c r="G112" s="446"/>
      <c r="H112" s="446"/>
      <c r="I112" s="440"/>
      <c r="J112" s="440"/>
      <c r="K112" s="940"/>
    </row>
    <row r="113" spans="1:11">
      <c r="A113" s="939"/>
      <c r="B113" s="956"/>
      <c r="C113" s="957"/>
      <c r="D113" s="957"/>
      <c r="E113" s="958"/>
      <c r="F113" s="970"/>
      <c r="G113" s="446"/>
      <c r="H113" s="446"/>
      <c r="I113" s="440"/>
      <c r="J113" s="440"/>
      <c r="K113" s="940"/>
    </row>
    <row r="114" spans="1:11">
      <c r="A114" s="939"/>
      <c r="B114" s="956"/>
      <c r="C114" s="957"/>
      <c r="D114" s="957"/>
      <c r="E114" s="958"/>
      <c r="F114" s="970"/>
      <c r="G114" s="446"/>
      <c r="H114" s="446"/>
      <c r="I114" s="440"/>
      <c r="J114" s="440"/>
      <c r="K114" s="940"/>
    </row>
    <row r="115" spans="1:11">
      <c r="A115" s="939"/>
      <c r="B115" s="956"/>
      <c r="C115" s="957"/>
      <c r="D115" s="957"/>
      <c r="E115" s="958"/>
      <c r="F115" s="970"/>
      <c r="G115" s="446"/>
      <c r="H115" s="446"/>
      <c r="I115" s="440"/>
      <c r="J115" s="440"/>
      <c r="K115" s="940"/>
    </row>
    <row r="116" spans="1:11">
      <c r="A116" s="939"/>
      <c r="B116" s="956"/>
      <c r="C116" s="957"/>
      <c r="D116" s="957"/>
      <c r="E116" s="958"/>
      <c r="F116" s="970"/>
      <c r="G116" s="446"/>
      <c r="H116" s="446"/>
      <c r="I116" s="440"/>
      <c r="J116" s="440"/>
      <c r="K116" s="940"/>
    </row>
    <row r="117" spans="1:11">
      <c r="A117" s="939"/>
      <c r="B117" s="956"/>
      <c r="C117" s="957"/>
      <c r="D117" s="957"/>
      <c r="E117" s="958"/>
      <c r="F117" s="970"/>
      <c r="G117" s="446"/>
      <c r="H117" s="446"/>
      <c r="I117" s="440"/>
      <c r="J117" s="440"/>
      <c r="K117" s="940"/>
    </row>
    <row r="118" spans="1:11">
      <c r="A118" s="1107"/>
      <c r="B118" s="1108"/>
      <c r="C118" s="1109"/>
      <c r="D118" s="1109"/>
      <c r="E118" s="1110"/>
      <c r="F118" s="1111"/>
      <c r="G118" s="486"/>
      <c r="H118" s="486"/>
      <c r="I118" s="456"/>
      <c r="J118" s="456"/>
      <c r="K118" s="1112"/>
    </row>
    <row r="119" spans="1:11">
      <c r="A119" s="1015"/>
      <c r="G119" s="1015"/>
      <c r="H119" s="1015"/>
      <c r="K119" s="1015"/>
    </row>
    <row r="170" spans="1:11" s="442" customFormat="1">
      <c r="A170" s="1249" t="s">
        <v>3419</v>
      </c>
      <c r="B170" s="1249"/>
      <c r="C170" s="1249"/>
      <c r="D170" s="1249"/>
      <c r="E170" s="1249"/>
      <c r="F170" s="1249"/>
      <c r="G170" s="1249"/>
      <c r="H170" s="1249"/>
      <c r="I170" s="1249"/>
      <c r="J170" s="1249"/>
      <c r="K170" s="1249"/>
    </row>
    <row r="171" spans="1:11" s="442" customFormat="1">
      <c r="A171" s="1249" t="s">
        <v>3420</v>
      </c>
      <c r="B171" s="1249"/>
      <c r="C171" s="1249"/>
      <c r="D171" s="1249"/>
      <c r="E171" s="1249"/>
      <c r="F171" s="1249"/>
      <c r="G171" s="1249"/>
      <c r="H171" s="1249"/>
      <c r="I171" s="1249"/>
      <c r="J171" s="1249"/>
      <c r="K171" s="1249"/>
    </row>
    <row r="172" spans="1:11" s="442" customFormat="1">
      <c r="A172" s="1250">
        <v>2016</v>
      </c>
      <c r="B172" s="1250"/>
      <c r="C172" s="1250"/>
      <c r="D172" s="1250"/>
      <c r="E172" s="1250"/>
      <c r="F172" s="1250"/>
      <c r="G172" s="1250"/>
      <c r="H172" s="1250"/>
      <c r="I172" s="1250"/>
      <c r="J172" s="1250"/>
      <c r="K172" s="1250"/>
    </row>
  </sheetData>
  <mergeCells count="21">
    <mergeCell ref="A1:K1"/>
    <mergeCell ref="A9:A11"/>
    <mergeCell ref="B9:F11"/>
    <mergeCell ref="G9:G11"/>
    <mergeCell ref="H9:H11"/>
    <mergeCell ref="I9:I11"/>
    <mergeCell ref="J9:J11"/>
    <mergeCell ref="K9:K11"/>
    <mergeCell ref="A172:K172"/>
    <mergeCell ref="A170:K170"/>
    <mergeCell ref="A171:K171"/>
    <mergeCell ref="B33:F33"/>
    <mergeCell ref="B12:F12"/>
    <mergeCell ref="A28:K28"/>
    <mergeCell ref="A30:A32"/>
    <mergeCell ref="B30:F32"/>
    <mergeCell ref="G30:G32"/>
    <mergeCell ref="H30:H32"/>
    <mergeCell ref="I30:I32"/>
    <mergeCell ref="J30:J32"/>
    <mergeCell ref="K30:K32"/>
  </mergeCells>
  <printOptions horizontalCentered="1"/>
  <pageMargins left="0.66929133858267698" right="0.23622047244094499" top="0.511811023622047" bottom="0.43307086614173201" header="0.39370078740157499" footer="0.23622047244094499"/>
  <pageSetup paperSize="9" scale="80" orientation="portrait" horizontalDpi="4294967294" verticalDpi="4294967293" r:id="rId1"/>
  <headerFooter differentOddEven="1"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12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12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4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7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1332" t="s">
        <v>702</v>
      </c>
      <c r="F39" s="1332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2" t="s">
        <v>705</v>
      </c>
      <c r="F42" s="1332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32" t="s">
        <v>707</v>
      </c>
      <c r="C44" s="1332"/>
      <c r="D44" s="1332"/>
      <c r="E44" s="1332"/>
      <c r="F44" s="1332"/>
      <c r="G44" s="5"/>
    </row>
    <row r="45" spans="1:7" ht="12" customHeight="1">
      <c r="A45" s="12" t="s">
        <v>708</v>
      </c>
      <c r="B45" s="1329" t="s">
        <v>876</v>
      </c>
      <c r="C45" s="1329"/>
      <c r="D45" s="1329"/>
      <c r="E45" s="1330" t="s">
        <v>710</v>
      </c>
      <c r="F45" s="1330"/>
      <c r="G45" s="5"/>
    </row>
    <row r="46" spans="1:7" ht="12" customHeight="1">
      <c r="A46" s="12" t="s">
        <v>711</v>
      </c>
      <c r="B46" s="1331" t="s">
        <v>712</v>
      </c>
      <c r="C46" s="1331"/>
      <c r="D46" s="1331"/>
      <c r="E46" s="1331"/>
      <c r="F46" s="1331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5"/>
  <dimension ref="A1:G44"/>
  <sheetViews>
    <sheetView topLeftCell="A19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32" t="s">
        <v>702</v>
      </c>
      <c r="F15" s="1332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2" t="s">
        <v>705</v>
      </c>
      <c r="F18" s="1332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2" t="s">
        <v>707</v>
      </c>
      <c r="C20" s="1332"/>
      <c r="D20" s="1332"/>
      <c r="E20" s="1332"/>
      <c r="F20" s="1332"/>
      <c r="G20" s="5"/>
    </row>
    <row r="21" spans="1:7" ht="12" customHeight="1">
      <c r="A21" s="12" t="s">
        <v>708</v>
      </c>
      <c r="B21" s="1329" t="s">
        <v>876</v>
      </c>
      <c r="C21" s="1329"/>
      <c r="D21" s="1329"/>
      <c r="E21" s="1330" t="s">
        <v>710</v>
      </c>
      <c r="F21" s="1330"/>
      <c r="G21" s="5"/>
    </row>
    <row r="22" spans="1:7" ht="12" customHeight="1">
      <c r="A22" s="12" t="s">
        <v>711</v>
      </c>
      <c r="B22" s="1331" t="s">
        <v>712</v>
      </c>
      <c r="C22" s="1331"/>
      <c r="D22" s="1331"/>
      <c r="E22" s="1331"/>
      <c r="F22" s="1331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2250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1332" t="s">
        <v>702</v>
      </c>
      <c r="F37" s="1332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2" t="s">
        <v>705</v>
      </c>
      <c r="F40" s="1332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2" t="s">
        <v>707</v>
      </c>
      <c r="C42" s="1332"/>
      <c r="D42" s="1332"/>
      <c r="E42" s="1332"/>
      <c r="F42" s="1332"/>
      <c r="G42" s="5"/>
    </row>
    <row r="43" spans="1:7" ht="12" customHeight="1">
      <c r="A43" s="12" t="s">
        <v>708</v>
      </c>
      <c r="B43" s="1329" t="s">
        <v>876</v>
      </c>
      <c r="C43" s="1329"/>
      <c r="D43" s="1329"/>
      <c r="E43" s="1330" t="s">
        <v>710</v>
      </c>
      <c r="F43" s="1330"/>
      <c r="G43" s="5"/>
    </row>
    <row r="44" spans="1:7" ht="12" customHeight="1">
      <c r="A44" s="12" t="s">
        <v>711</v>
      </c>
      <c r="B44" s="1331" t="s">
        <v>712</v>
      </c>
      <c r="C44" s="1331"/>
      <c r="D44" s="1331"/>
      <c r="E44" s="1331"/>
      <c r="F44" s="1331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6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12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12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2252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1332" t="s">
        <v>702</v>
      </c>
      <c r="F35" s="1332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2" t="s">
        <v>705</v>
      </c>
      <c r="F38" s="1332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12" t="s">
        <v>708</v>
      </c>
      <c r="B41" s="1329" t="s">
        <v>876</v>
      </c>
      <c r="C41" s="1329"/>
      <c r="D41" s="1329"/>
      <c r="E41" s="1330" t="s">
        <v>710</v>
      </c>
      <c r="F41" s="1330"/>
      <c r="G41" s="5"/>
    </row>
    <row r="42" spans="1:7" ht="12" customHeight="1">
      <c r="A42" s="12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71" t="s">
        <v>2254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1332" t="s">
        <v>702</v>
      </c>
      <c r="F33" s="1332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2" t="s">
        <v>705</v>
      </c>
      <c r="F36" s="1332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1332" t="s">
        <v>707</v>
      </c>
      <c r="C38" s="1332"/>
      <c r="D38" s="1332"/>
      <c r="E38" s="1332"/>
      <c r="F38" s="1332"/>
      <c r="G38" s="5"/>
    </row>
    <row r="39" spans="1:7" ht="12" customHeight="1">
      <c r="A39" s="12" t="s">
        <v>708</v>
      </c>
      <c r="B39" s="1329" t="s">
        <v>876</v>
      </c>
      <c r="C39" s="1329"/>
      <c r="D39" s="1329"/>
      <c r="E39" s="1330" t="s">
        <v>710</v>
      </c>
      <c r="F39" s="1330"/>
      <c r="G39" s="5"/>
    </row>
    <row r="40" spans="1:7" ht="12.2" customHeight="1">
      <c r="A40" s="12" t="s">
        <v>711</v>
      </c>
      <c r="B40" s="1331" t="s">
        <v>712</v>
      </c>
      <c r="C40" s="1331"/>
      <c r="D40" s="1331"/>
      <c r="E40" s="1331"/>
      <c r="F40" s="1331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.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64" t="s">
        <v>2256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5" t="s">
        <v>2257</v>
      </c>
    </row>
    <row r="2" spans="1:7">
      <c r="A2" s="84"/>
    </row>
    <row r="3" spans="1:7">
      <c r="A3" s="64" t="s">
        <v>2258</v>
      </c>
    </row>
    <row r="5" spans="1:7" ht="35.1" customHeight="1">
      <c r="A5" s="6" t="s">
        <v>762</v>
      </c>
      <c r="B5" s="112" t="s">
        <v>763</v>
      </c>
      <c r="C5" s="112" t="s">
        <v>764</v>
      </c>
      <c r="D5" s="112" t="s">
        <v>765</v>
      </c>
      <c r="E5" s="135" t="s">
        <v>766</v>
      </c>
      <c r="F5" s="113" t="s">
        <v>767</v>
      </c>
      <c r="G5" s="7" t="s">
        <v>768</v>
      </c>
    </row>
    <row r="6" spans="1:7" ht="12" customHeight="1">
      <c r="A6" s="12" t="s">
        <v>671</v>
      </c>
      <c r="B6" s="110" t="s">
        <v>672</v>
      </c>
      <c r="C6" s="109"/>
      <c r="D6" s="109"/>
      <c r="E6" s="130"/>
      <c r="F6" s="109"/>
      <c r="G6" s="5"/>
    </row>
    <row r="7" spans="1:7" ht="13.7" customHeight="1">
      <c r="A7" s="5"/>
      <c r="B7" s="110" t="s">
        <v>673</v>
      </c>
      <c r="C7" s="110" t="s">
        <v>674</v>
      </c>
      <c r="D7" s="114" t="s">
        <v>675</v>
      </c>
      <c r="E7" s="141" t="s">
        <v>851</v>
      </c>
      <c r="F7" s="109"/>
      <c r="G7" s="5"/>
    </row>
    <row r="8" spans="1:7" ht="13.7" customHeight="1">
      <c r="A8" s="5"/>
      <c r="B8" s="110" t="s">
        <v>871</v>
      </c>
      <c r="C8" s="110" t="s">
        <v>678</v>
      </c>
      <c r="D8" s="114" t="s">
        <v>675</v>
      </c>
      <c r="E8" s="141" t="s">
        <v>854</v>
      </c>
      <c r="F8" s="109"/>
      <c r="G8" s="5"/>
    </row>
    <row r="9" spans="1:7" ht="13.9" customHeight="1">
      <c r="A9" s="5"/>
      <c r="B9" s="110" t="s">
        <v>751</v>
      </c>
      <c r="C9" s="110" t="s">
        <v>681</v>
      </c>
      <c r="D9" s="114" t="s">
        <v>675</v>
      </c>
      <c r="E9" s="141" t="s">
        <v>730</v>
      </c>
      <c r="F9" s="109"/>
      <c r="G9" s="5"/>
    </row>
    <row r="10" spans="1:7" ht="13.7" customHeight="1">
      <c r="A10" s="5"/>
      <c r="B10" s="110" t="s">
        <v>683</v>
      </c>
      <c r="C10" s="110" t="s">
        <v>684</v>
      </c>
      <c r="D10" s="114" t="s">
        <v>675</v>
      </c>
      <c r="E10" s="141" t="s">
        <v>783</v>
      </c>
      <c r="F10" s="109"/>
      <c r="G10" s="5"/>
    </row>
    <row r="11" spans="1:7" ht="12" customHeight="1">
      <c r="A11" s="5"/>
      <c r="B11" s="109"/>
      <c r="C11" s="109"/>
      <c r="D11" s="109"/>
      <c r="E11" s="141" t="s">
        <v>685</v>
      </c>
      <c r="F11" s="142"/>
      <c r="G11" s="5"/>
    </row>
    <row r="12" spans="1:7" ht="12" customHeight="1">
      <c r="A12" s="12" t="s">
        <v>686</v>
      </c>
      <c r="B12" s="110" t="s">
        <v>687</v>
      </c>
      <c r="C12" s="109"/>
      <c r="D12" s="109"/>
      <c r="E12" s="130"/>
      <c r="F12" s="109"/>
      <c r="G12" s="5"/>
    </row>
    <row r="13" spans="1:7" ht="13.7" customHeight="1">
      <c r="A13" s="5"/>
      <c r="B13" s="110" t="s">
        <v>1187</v>
      </c>
      <c r="C13" s="109"/>
      <c r="D13" s="114" t="s">
        <v>961</v>
      </c>
      <c r="E13" s="141" t="s">
        <v>737</v>
      </c>
      <c r="F13" s="109"/>
      <c r="G13" s="5"/>
    </row>
    <row r="14" spans="1:7" ht="13.9" customHeight="1">
      <c r="A14" s="5"/>
      <c r="B14" s="110" t="s">
        <v>1188</v>
      </c>
      <c r="C14" s="109"/>
      <c r="D14" s="114" t="s">
        <v>773</v>
      </c>
      <c r="E14" s="141" t="s">
        <v>779</v>
      </c>
      <c r="F14" s="109"/>
      <c r="G14" s="5"/>
    </row>
    <row r="15" spans="1:7" ht="12" customHeight="1">
      <c r="A15" s="5"/>
      <c r="B15" s="109"/>
      <c r="C15" s="109"/>
      <c r="D15" s="109"/>
      <c r="E15" s="141" t="s">
        <v>702</v>
      </c>
      <c r="F15" s="142"/>
      <c r="G15" s="5"/>
    </row>
    <row r="16" spans="1:7" ht="12" customHeight="1">
      <c r="A16" s="12" t="s">
        <v>703</v>
      </c>
      <c r="B16" s="110" t="s">
        <v>704</v>
      </c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30"/>
      <c r="F17" s="109"/>
      <c r="G17" s="5"/>
    </row>
    <row r="18" spans="1:7" ht="12" customHeight="1">
      <c r="A18" s="5"/>
      <c r="B18" s="109"/>
      <c r="C18" s="109"/>
      <c r="D18" s="109"/>
      <c r="E18" s="141" t="s">
        <v>705</v>
      </c>
      <c r="F18" s="142"/>
      <c r="G18" s="5"/>
    </row>
    <row r="19" spans="1:7" ht="12" customHeight="1">
      <c r="A19" s="5"/>
      <c r="B19" s="109"/>
      <c r="C19" s="109"/>
      <c r="D19" s="109"/>
      <c r="E19" s="130"/>
      <c r="F19" s="109"/>
      <c r="G19" s="5"/>
    </row>
    <row r="20" spans="1:7" ht="12" customHeight="1">
      <c r="A20" s="12" t="s">
        <v>706</v>
      </c>
      <c r="B20" s="141" t="s">
        <v>707</v>
      </c>
      <c r="C20" s="147"/>
      <c r="D20" s="147"/>
      <c r="E20" s="147"/>
      <c r="F20" s="142"/>
      <c r="G20" s="5"/>
    </row>
    <row r="21" spans="1:7" ht="12" customHeight="1">
      <c r="A21" s="12" t="s">
        <v>708</v>
      </c>
      <c r="B21" s="136" t="s">
        <v>876</v>
      </c>
      <c r="C21" s="137"/>
      <c r="D21" s="138"/>
      <c r="E21" s="141" t="s">
        <v>710</v>
      </c>
      <c r="F21" s="142"/>
      <c r="G21" s="5"/>
    </row>
    <row r="22" spans="1:7" ht="12" customHeight="1">
      <c r="A22" s="12" t="s">
        <v>711</v>
      </c>
      <c r="B22" s="141" t="s">
        <v>712</v>
      </c>
      <c r="C22" s="147"/>
      <c r="D22" s="147"/>
      <c r="E22" s="147"/>
      <c r="F22" s="14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5" t="s">
        <v>2259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135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130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41" t="s">
        <v>675</v>
      </c>
      <c r="E28" s="3" t="s">
        <v>889</v>
      </c>
      <c r="F28" s="5"/>
      <c r="G28" s="5"/>
    </row>
    <row r="29" spans="1:7" ht="13.9" customHeight="1">
      <c r="A29" s="5"/>
      <c r="B29" s="3" t="s">
        <v>871</v>
      </c>
      <c r="C29" s="3" t="s">
        <v>678</v>
      </c>
      <c r="D29" s="141" t="s">
        <v>675</v>
      </c>
      <c r="E29" s="3" t="s">
        <v>889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41" t="s">
        <v>675</v>
      </c>
      <c r="E30" s="3" t="s">
        <v>788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41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130"/>
      <c r="E32" s="1332" t="s">
        <v>685</v>
      </c>
      <c r="F32" s="1332"/>
      <c r="G32" s="5"/>
    </row>
    <row r="33" spans="1:7" ht="12" customHeight="1">
      <c r="A33" s="12" t="s">
        <v>686</v>
      </c>
      <c r="B33" s="3" t="s">
        <v>687</v>
      </c>
      <c r="C33" s="5"/>
      <c r="D33" s="130"/>
      <c r="E33" s="5"/>
      <c r="F33" s="5"/>
      <c r="G33" s="5"/>
    </row>
    <row r="34" spans="1:7" ht="13.7" customHeight="1">
      <c r="A34" s="5"/>
      <c r="B34" s="3" t="s">
        <v>1189</v>
      </c>
      <c r="C34" s="5"/>
      <c r="D34" s="141" t="s">
        <v>888</v>
      </c>
      <c r="E34" s="12">
        <v>12</v>
      </c>
      <c r="F34" s="5"/>
      <c r="G34" s="5"/>
    </row>
    <row r="35" spans="1:7" ht="13.7" customHeight="1">
      <c r="A35" s="5"/>
      <c r="B35" s="3" t="s">
        <v>1188</v>
      </c>
      <c r="C35" s="5"/>
      <c r="D35" s="141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130"/>
      <c r="E36" s="1332" t="s">
        <v>702</v>
      </c>
      <c r="F36" s="1332"/>
      <c r="G36" s="5"/>
    </row>
    <row r="37" spans="1:7" ht="12" customHeight="1">
      <c r="A37" s="12" t="s">
        <v>703</v>
      </c>
      <c r="B37" s="3" t="s">
        <v>704</v>
      </c>
      <c r="C37" s="5"/>
      <c r="D37" s="109"/>
      <c r="E37" s="5"/>
      <c r="F37" s="5"/>
      <c r="G37" s="5"/>
    </row>
    <row r="38" spans="1:7" ht="12" customHeight="1">
      <c r="A38" s="5"/>
      <c r="B38" s="5"/>
      <c r="C38" s="5"/>
      <c r="D38" s="109"/>
      <c r="E38" s="5"/>
      <c r="F38" s="5"/>
      <c r="G38" s="5"/>
    </row>
    <row r="39" spans="1:7" ht="12" customHeight="1">
      <c r="A39" s="5"/>
      <c r="B39" s="5"/>
      <c r="C39" s="5"/>
      <c r="D39" s="109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109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6.85546875" customWidth="1"/>
    <col min="4" max="4" width="11" customWidth="1"/>
    <col min="5" max="5" width="22.42578125" customWidth="1"/>
    <col min="6" max="6" width="14.28515625" customWidth="1"/>
    <col min="7" max="7" width="16.7109375" customWidth="1"/>
  </cols>
  <sheetData>
    <row r="1" spans="1:7">
      <c r="A1" s="64" t="s">
        <v>2260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4" t="s">
        <v>767</v>
      </c>
      <c r="G3" s="113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31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889</v>
      </c>
      <c r="F5" s="131"/>
      <c r="G5" s="109"/>
    </row>
    <row r="6" spans="1:7" ht="13.9" customHeight="1">
      <c r="A6" s="109"/>
      <c r="B6" s="110" t="s">
        <v>871</v>
      </c>
      <c r="C6" s="141" t="s">
        <v>678</v>
      </c>
      <c r="D6" s="141" t="s">
        <v>675</v>
      </c>
      <c r="E6" s="141" t="s">
        <v>889</v>
      </c>
      <c r="F6" s="131"/>
      <c r="G6" s="109"/>
    </row>
    <row r="7" spans="1:7" ht="13.7" customHeight="1">
      <c r="A7" s="109"/>
      <c r="B7" s="110" t="s">
        <v>751</v>
      </c>
      <c r="C7" s="141" t="s">
        <v>681</v>
      </c>
      <c r="D7" s="141" t="s">
        <v>675</v>
      </c>
      <c r="E7" s="141" t="s">
        <v>788</v>
      </c>
      <c r="F7" s="131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891</v>
      </c>
      <c r="F8" s="131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31"/>
      <c r="G10" s="109"/>
    </row>
    <row r="11" spans="1:7" ht="13.9" customHeight="1">
      <c r="A11" s="109"/>
      <c r="B11" s="110" t="s">
        <v>1189</v>
      </c>
      <c r="C11" s="130"/>
      <c r="D11" s="141" t="s">
        <v>888</v>
      </c>
      <c r="E11" s="141" t="s">
        <v>1190</v>
      </c>
      <c r="F11" s="131"/>
      <c r="G11" s="109"/>
    </row>
    <row r="12" spans="1:7" ht="13.7" customHeight="1">
      <c r="A12" s="109"/>
      <c r="B12" s="110" t="s">
        <v>1188</v>
      </c>
      <c r="C12" s="130"/>
      <c r="D12" s="141" t="s">
        <v>773</v>
      </c>
      <c r="E12" s="141" t="s">
        <v>801</v>
      </c>
      <c r="F12" s="131"/>
      <c r="G12" s="109"/>
    </row>
    <row r="13" spans="1:7" ht="12" customHeight="1">
      <c r="A13" s="109"/>
      <c r="B13" s="109"/>
      <c r="C13" s="130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0"/>
      <c r="D14" s="131"/>
      <c r="E14" s="130"/>
      <c r="F14" s="131"/>
      <c r="G14" s="109"/>
    </row>
    <row r="15" spans="1:7" ht="12" customHeight="1">
      <c r="A15" s="109"/>
      <c r="B15" s="109"/>
      <c r="C15" s="131"/>
      <c r="D15" s="131"/>
      <c r="E15" s="130"/>
      <c r="F15" s="131"/>
      <c r="G15" s="109"/>
    </row>
    <row r="16" spans="1:7" ht="12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31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114"/>
      <c r="B21" s="111"/>
      <c r="C21" s="111"/>
      <c r="D21" s="111"/>
      <c r="E21" s="111"/>
      <c r="F21" s="111"/>
      <c r="G21" s="109"/>
    </row>
    <row r="22" spans="1:7" ht="12" customHeight="1">
      <c r="A22" s="64" t="s">
        <v>2261</v>
      </c>
      <c r="B22" s="111"/>
      <c r="C22" s="111"/>
      <c r="D22" s="111"/>
      <c r="E22" s="111"/>
      <c r="F22" s="111"/>
      <c r="G22" s="109"/>
    </row>
    <row r="23" spans="1:7" ht="12" customHeight="1">
      <c r="A23" s="114"/>
      <c r="B23" s="111"/>
      <c r="C23" s="111"/>
      <c r="D23" s="111"/>
      <c r="E23" s="111"/>
      <c r="F23" s="111"/>
      <c r="G23" s="109"/>
    </row>
    <row r="24" spans="1:7" ht="34.9" customHeight="1">
      <c r="A24" s="112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14" t="s">
        <v>671</v>
      </c>
      <c r="B25" s="141" t="s">
        <v>672</v>
      </c>
      <c r="C25" s="130"/>
      <c r="D25" s="130"/>
      <c r="E25" s="130"/>
      <c r="F25" s="109"/>
      <c r="G25" s="109"/>
    </row>
    <row r="26" spans="1:7" ht="13.9" customHeight="1">
      <c r="A26" s="109"/>
      <c r="B26" s="141" t="s">
        <v>673</v>
      </c>
      <c r="C26" s="141" t="s">
        <v>674</v>
      </c>
      <c r="D26" s="141" t="s">
        <v>675</v>
      </c>
      <c r="E26" s="141" t="s">
        <v>741</v>
      </c>
      <c r="F26" s="109"/>
      <c r="G26" s="109"/>
    </row>
    <row r="27" spans="1:7" ht="13.7" customHeight="1">
      <c r="A27" s="109"/>
      <c r="B27" s="141" t="s">
        <v>871</v>
      </c>
      <c r="C27" s="141" t="s">
        <v>678</v>
      </c>
      <c r="D27" s="141" t="s">
        <v>675</v>
      </c>
      <c r="E27" s="141" t="s">
        <v>741</v>
      </c>
      <c r="F27" s="109"/>
      <c r="G27" s="109"/>
    </row>
    <row r="28" spans="1:7" ht="13.7" customHeight="1">
      <c r="A28" s="109"/>
      <c r="B28" s="141" t="s">
        <v>751</v>
      </c>
      <c r="C28" s="141" t="s">
        <v>681</v>
      </c>
      <c r="D28" s="141" t="s">
        <v>675</v>
      </c>
      <c r="E28" s="141" t="s">
        <v>779</v>
      </c>
      <c r="F28" s="109"/>
      <c r="G28" s="109"/>
    </row>
    <row r="29" spans="1:7" ht="13.9" customHeight="1">
      <c r="A29" s="109"/>
      <c r="B29" s="141" t="s">
        <v>683</v>
      </c>
      <c r="C29" s="141" t="s">
        <v>684</v>
      </c>
      <c r="D29" s="141" t="s">
        <v>675</v>
      </c>
      <c r="E29" s="141" t="s">
        <v>693</v>
      </c>
      <c r="F29" s="109"/>
      <c r="G29" s="109"/>
    </row>
    <row r="30" spans="1:7" ht="12" customHeight="1">
      <c r="A30" s="109"/>
      <c r="B30" s="130"/>
      <c r="C30" s="130"/>
      <c r="D30" s="130"/>
      <c r="E30" s="141" t="s">
        <v>685</v>
      </c>
      <c r="F30" s="142"/>
      <c r="G30" s="109"/>
    </row>
    <row r="31" spans="1:7" ht="12" customHeight="1">
      <c r="A31" s="114" t="s">
        <v>686</v>
      </c>
      <c r="B31" s="141" t="s">
        <v>687</v>
      </c>
      <c r="C31" s="130"/>
      <c r="D31" s="130"/>
      <c r="E31" s="130"/>
      <c r="F31" s="109"/>
      <c r="G31" s="109"/>
    </row>
    <row r="32" spans="1:7" ht="13.7" customHeight="1">
      <c r="A32" s="109"/>
      <c r="B32" s="141" t="s">
        <v>1189</v>
      </c>
      <c r="C32" s="130"/>
      <c r="D32" s="141" t="s">
        <v>888</v>
      </c>
      <c r="E32" s="141" t="s">
        <v>756</v>
      </c>
      <c r="F32" s="109"/>
      <c r="G32" s="109"/>
    </row>
    <row r="33" spans="1:7" ht="13.7" customHeight="1">
      <c r="A33" s="109"/>
      <c r="B33" s="141" t="s">
        <v>1188</v>
      </c>
      <c r="C33" s="130"/>
      <c r="D33" s="141" t="s">
        <v>773</v>
      </c>
      <c r="E33" s="141" t="s">
        <v>801</v>
      </c>
      <c r="F33" s="109"/>
      <c r="G33" s="109"/>
    </row>
    <row r="34" spans="1:7" ht="12" customHeight="1">
      <c r="A34" s="109"/>
      <c r="B34" s="130"/>
      <c r="C34" s="130"/>
      <c r="D34" s="130"/>
      <c r="E34" s="141" t="s">
        <v>702</v>
      </c>
      <c r="F34" s="142"/>
      <c r="G34" s="109"/>
    </row>
    <row r="35" spans="1:7" ht="12" customHeight="1">
      <c r="A35" s="114" t="s">
        <v>703</v>
      </c>
      <c r="B35" s="141" t="s">
        <v>704</v>
      </c>
      <c r="C35" s="130"/>
      <c r="D35" s="130"/>
      <c r="E35" s="130"/>
      <c r="F35" s="109"/>
      <c r="G35" s="109"/>
    </row>
    <row r="36" spans="1:7" ht="12" customHeight="1">
      <c r="A36" s="109"/>
      <c r="B36" s="130"/>
      <c r="C36" s="130"/>
      <c r="D36" s="130"/>
      <c r="E36" s="130"/>
      <c r="F36" s="109"/>
      <c r="G36" s="109"/>
    </row>
    <row r="37" spans="1:7" ht="12" customHeight="1">
      <c r="A37" s="109"/>
      <c r="B37" s="130"/>
      <c r="C37" s="130"/>
      <c r="D37" s="130"/>
      <c r="E37" s="141" t="s">
        <v>705</v>
      </c>
      <c r="F37" s="142"/>
      <c r="G37" s="109"/>
    </row>
    <row r="38" spans="1:7" ht="12" customHeight="1">
      <c r="A38" s="109"/>
      <c r="B38" s="130"/>
      <c r="C38" s="130"/>
      <c r="D38" s="130"/>
      <c r="E38" s="130"/>
      <c r="F38" s="109"/>
      <c r="G38" s="109"/>
    </row>
    <row r="39" spans="1:7" ht="12" customHeight="1">
      <c r="A39" s="114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14" t="s">
        <v>708</v>
      </c>
      <c r="B40" s="136" t="s">
        <v>876</v>
      </c>
      <c r="C40" s="137"/>
      <c r="D40" s="137"/>
      <c r="E40" s="141" t="s">
        <v>710</v>
      </c>
      <c r="F40" s="142"/>
      <c r="G40" s="109"/>
    </row>
    <row r="41" spans="1:7" ht="12.2" customHeight="1">
      <c r="A41" s="114" t="s">
        <v>711</v>
      </c>
      <c r="B41" s="141" t="s">
        <v>712</v>
      </c>
      <c r="C41" s="147"/>
      <c r="D41" s="147"/>
      <c r="E41" s="147"/>
      <c r="F41" s="142"/>
      <c r="G41" s="109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1"/>
  <dimension ref="A1:G41"/>
  <sheetViews>
    <sheetView topLeftCell="A13"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9.140625" customWidth="1"/>
    <col min="6" max="6" width="14.28515625" customWidth="1"/>
    <col min="7" max="7" width="16.7109375" customWidth="1"/>
  </cols>
  <sheetData>
    <row r="1" spans="1:7">
      <c r="A1" s="64" t="s">
        <v>2262</v>
      </c>
    </row>
    <row r="3" spans="1:7" ht="35.1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12" t="s">
        <v>766</v>
      </c>
      <c r="F3" s="113" t="s">
        <v>767</v>
      </c>
      <c r="G3" s="113" t="s">
        <v>768</v>
      </c>
    </row>
    <row r="4" spans="1:7" ht="12" customHeight="1">
      <c r="A4" s="12" t="s">
        <v>671</v>
      </c>
      <c r="B4" s="141" t="s">
        <v>672</v>
      </c>
      <c r="C4" s="130"/>
      <c r="D4" s="130"/>
      <c r="E4" s="109"/>
      <c r="F4" s="109"/>
      <c r="G4" s="109"/>
    </row>
    <row r="5" spans="1:7" ht="13.7" customHeight="1">
      <c r="A5" s="5"/>
      <c r="B5" s="141" t="s">
        <v>673</v>
      </c>
      <c r="C5" s="141" t="s">
        <v>674</v>
      </c>
      <c r="D5" s="141" t="s">
        <v>675</v>
      </c>
      <c r="E5" s="110" t="s">
        <v>741</v>
      </c>
      <c r="F5" s="109"/>
      <c r="G5" s="109"/>
    </row>
    <row r="6" spans="1:7" ht="13.9" customHeight="1">
      <c r="A6" s="5"/>
      <c r="B6" s="141" t="s">
        <v>871</v>
      </c>
      <c r="C6" s="141" t="s">
        <v>678</v>
      </c>
      <c r="D6" s="141" t="s">
        <v>675</v>
      </c>
      <c r="E6" s="110" t="s">
        <v>741</v>
      </c>
      <c r="F6" s="109"/>
      <c r="G6" s="109"/>
    </row>
    <row r="7" spans="1:7" ht="13.7" customHeight="1">
      <c r="A7" s="5"/>
      <c r="B7" s="141" t="s">
        <v>751</v>
      </c>
      <c r="C7" s="141" t="s">
        <v>681</v>
      </c>
      <c r="D7" s="141" t="s">
        <v>675</v>
      </c>
      <c r="E7" s="110" t="s">
        <v>779</v>
      </c>
      <c r="F7" s="109"/>
      <c r="G7" s="109"/>
    </row>
    <row r="8" spans="1:7" ht="13.7" customHeight="1">
      <c r="A8" s="5"/>
      <c r="B8" s="141" t="s">
        <v>683</v>
      </c>
      <c r="C8" s="141" t="s">
        <v>684</v>
      </c>
      <c r="D8" s="141" t="s">
        <v>675</v>
      </c>
      <c r="E8" s="110" t="s">
        <v>693</v>
      </c>
      <c r="F8" s="109"/>
      <c r="G8" s="109"/>
    </row>
    <row r="9" spans="1:7" ht="12" customHeight="1">
      <c r="A9" s="5"/>
      <c r="B9" s="130"/>
      <c r="C9" s="130"/>
      <c r="D9" s="130"/>
      <c r="E9" s="141" t="s">
        <v>685</v>
      </c>
      <c r="F9" s="142"/>
      <c r="G9" s="109"/>
    </row>
    <row r="10" spans="1:7" ht="12" customHeight="1">
      <c r="A10" s="12" t="s">
        <v>686</v>
      </c>
      <c r="B10" s="141" t="s">
        <v>687</v>
      </c>
      <c r="C10" s="130"/>
      <c r="D10" s="130"/>
      <c r="E10" s="109"/>
      <c r="F10" s="109"/>
      <c r="G10" s="109"/>
    </row>
    <row r="11" spans="1:7" ht="13.9" customHeight="1">
      <c r="A11" s="5"/>
      <c r="B11" s="141" t="s">
        <v>1191</v>
      </c>
      <c r="C11" s="130"/>
      <c r="D11" s="141" t="s">
        <v>888</v>
      </c>
      <c r="E11" s="110" t="s">
        <v>786</v>
      </c>
      <c r="F11" s="109"/>
      <c r="G11" s="109"/>
    </row>
    <row r="12" spans="1:7" ht="13.7" customHeight="1">
      <c r="A12" s="5"/>
      <c r="B12" s="141" t="s">
        <v>1188</v>
      </c>
      <c r="C12" s="130"/>
      <c r="D12" s="141" t="s">
        <v>773</v>
      </c>
      <c r="E12" s="110" t="s">
        <v>851</v>
      </c>
      <c r="F12" s="109"/>
      <c r="G12" s="109"/>
    </row>
    <row r="13" spans="1:7" ht="12" customHeight="1">
      <c r="A13" s="5"/>
      <c r="B13" s="130"/>
      <c r="C13" s="130"/>
      <c r="D13" s="130"/>
      <c r="E13" s="141" t="s">
        <v>702</v>
      </c>
      <c r="F13" s="142"/>
      <c r="G13" s="109"/>
    </row>
    <row r="14" spans="1:7" ht="12" customHeight="1">
      <c r="A14" s="12" t="s">
        <v>703</v>
      </c>
      <c r="B14" s="141" t="s">
        <v>704</v>
      </c>
      <c r="C14" s="130"/>
      <c r="D14" s="130"/>
      <c r="E14" s="109"/>
      <c r="F14" s="109"/>
      <c r="G14" s="109"/>
    </row>
    <row r="15" spans="1:7" ht="12" customHeight="1">
      <c r="A15" s="5"/>
      <c r="B15" s="130"/>
      <c r="C15" s="130"/>
      <c r="D15" s="130"/>
      <c r="E15" s="109"/>
      <c r="F15" s="109"/>
      <c r="G15" s="109"/>
    </row>
    <row r="16" spans="1:7" ht="12" customHeight="1">
      <c r="A16" s="5"/>
      <c r="B16" s="130"/>
      <c r="C16" s="130"/>
      <c r="D16" s="131"/>
      <c r="E16" s="141" t="s">
        <v>705</v>
      </c>
      <c r="F16" s="142"/>
      <c r="G16" s="109"/>
    </row>
    <row r="17" spans="1:7" ht="12" customHeight="1">
      <c r="A17" s="5"/>
      <c r="B17" s="130"/>
      <c r="C17" s="130"/>
      <c r="D17" s="131"/>
      <c r="E17" s="109"/>
      <c r="F17" s="109"/>
      <c r="G17" s="109"/>
    </row>
    <row r="18" spans="1:7" ht="12" customHeight="1">
      <c r="A18" s="12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2" t="s">
        <v>708</v>
      </c>
      <c r="B19" s="136" t="s">
        <v>876</v>
      </c>
      <c r="C19" s="137"/>
      <c r="D19" s="137"/>
      <c r="E19" s="141" t="s">
        <v>710</v>
      </c>
      <c r="F19" s="142"/>
      <c r="G19" s="109"/>
    </row>
    <row r="20" spans="1:7" ht="12" customHeight="1">
      <c r="A20" s="12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31"/>
      <c r="B21" s="111"/>
      <c r="C21" s="111"/>
      <c r="D21" s="111"/>
      <c r="E21" s="111"/>
      <c r="F21" s="111"/>
      <c r="G21" s="109"/>
    </row>
    <row r="22" spans="1:7" ht="12" customHeight="1">
      <c r="A22" s="64" t="s">
        <v>2263</v>
      </c>
      <c r="B22" s="111"/>
      <c r="C22" s="111"/>
      <c r="D22" s="111"/>
      <c r="E22" s="111"/>
      <c r="F22" s="111"/>
      <c r="G22" s="109"/>
    </row>
    <row r="23" spans="1:7" ht="12" customHeight="1">
      <c r="A23" s="31"/>
      <c r="B23" s="111"/>
      <c r="C23" s="111"/>
      <c r="D23" s="111"/>
      <c r="E23" s="111"/>
      <c r="F23" s="111"/>
      <c r="G23" s="109"/>
    </row>
    <row r="24" spans="1:7" ht="35.1" customHeight="1">
      <c r="A24" s="6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2" t="s">
        <v>671</v>
      </c>
      <c r="B25" s="110" t="s">
        <v>672</v>
      </c>
      <c r="C25" s="130"/>
      <c r="D25" s="130"/>
      <c r="E25" s="130"/>
      <c r="F25" s="109"/>
      <c r="G25" s="109"/>
    </row>
    <row r="26" spans="1:7" ht="17.100000000000001" customHeight="1">
      <c r="A26" s="5"/>
      <c r="B26" s="110" t="s">
        <v>673</v>
      </c>
      <c r="C26" s="141" t="s">
        <v>674</v>
      </c>
      <c r="D26" s="141" t="s">
        <v>675</v>
      </c>
      <c r="E26" s="141" t="s">
        <v>804</v>
      </c>
      <c r="F26" s="109"/>
      <c r="G26" s="109"/>
    </row>
    <row r="27" spans="1:7" ht="13.9" customHeight="1">
      <c r="A27" s="5"/>
      <c r="B27" s="110" t="s">
        <v>871</v>
      </c>
      <c r="C27" s="141" t="s">
        <v>678</v>
      </c>
      <c r="D27" s="141" t="s">
        <v>675</v>
      </c>
      <c r="E27" s="141" t="s">
        <v>804</v>
      </c>
      <c r="F27" s="109"/>
      <c r="G27" s="109"/>
    </row>
    <row r="28" spans="1:7" ht="15.75" customHeight="1">
      <c r="A28" s="5"/>
      <c r="B28" s="110" t="s">
        <v>751</v>
      </c>
      <c r="C28" s="141" t="s">
        <v>681</v>
      </c>
      <c r="D28" s="141" t="s">
        <v>675</v>
      </c>
      <c r="E28" s="141" t="s">
        <v>735</v>
      </c>
      <c r="F28" s="109"/>
      <c r="G28" s="109"/>
    </row>
    <row r="29" spans="1:7" ht="13.7" customHeight="1">
      <c r="A29" s="5"/>
      <c r="B29" s="110" t="s">
        <v>683</v>
      </c>
      <c r="C29" s="141" t="s">
        <v>684</v>
      </c>
      <c r="D29" s="141" t="s">
        <v>675</v>
      </c>
      <c r="E29" s="141" t="s">
        <v>805</v>
      </c>
      <c r="F29" s="109"/>
      <c r="G29" s="109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109"/>
    </row>
    <row r="31" spans="1:7" ht="12" customHeight="1">
      <c r="A31" s="12" t="s">
        <v>686</v>
      </c>
      <c r="B31" s="110" t="s">
        <v>687</v>
      </c>
      <c r="C31" s="130"/>
      <c r="D31" s="130"/>
      <c r="E31" s="130"/>
      <c r="F31" s="109"/>
      <c r="G31" s="109"/>
    </row>
    <row r="32" spans="1:7" ht="13.9" customHeight="1">
      <c r="A32" s="5"/>
      <c r="B32" s="110" t="s">
        <v>1192</v>
      </c>
      <c r="C32" s="130"/>
      <c r="D32" s="141" t="s">
        <v>883</v>
      </c>
      <c r="E32" s="141" t="s">
        <v>811</v>
      </c>
      <c r="F32" s="109"/>
      <c r="G32" s="109"/>
    </row>
    <row r="33" spans="1:7" ht="13.7" customHeight="1">
      <c r="A33" s="5"/>
      <c r="B33" s="110" t="s">
        <v>1188</v>
      </c>
      <c r="C33" s="131"/>
      <c r="D33" s="141" t="s">
        <v>773</v>
      </c>
      <c r="E33" s="141" t="s">
        <v>779</v>
      </c>
      <c r="F33" s="109"/>
      <c r="G33" s="109"/>
    </row>
    <row r="34" spans="1:7" ht="12" customHeight="1">
      <c r="A34" s="5"/>
      <c r="B34" s="109"/>
      <c r="C34" s="131"/>
      <c r="D34" s="130"/>
      <c r="E34" s="141" t="s">
        <v>702</v>
      </c>
      <c r="F34" s="142"/>
      <c r="G34" s="109"/>
    </row>
    <row r="35" spans="1:7" ht="12" customHeight="1">
      <c r="A35" s="12" t="s">
        <v>703</v>
      </c>
      <c r="B35" s="110" t="s">
        <v>704</v>
      </c>
      <c r="C35" s="131"/>
      <c r="D35" s="130"/>
      <c r="E35" s="130"/>
      <c r="F35" s="109"/>
      <c r="G35" s="109"/>
    </row>
    <row r="36" spans="1:7" ht="12" customHeight="1">
      <c r="A36" s="5"/>
      <c r="B36" s="109"/>
      <c r="C36" s="131"/>
      <c r="D36" s="130"/>
      <c r="E36" s="130"/>
      <c r="F36" s="109"/>
      <c r="G36" s="109"/>
    </row>
    <row r="37" spans="1:7" ht="12" customHeight="1">
      <c r="A37" s="5"/>
      <c r="B37" s="109"/>
      <c r="C37" s="131"/>
      <c r="D37" s="130"/>
      <c r="E37" s="141" t="s">
        <v>705</v>
      </c>
      <c r="F37" s="142"/>
      <c r="G37" s="109"/>
    </row>
    <row r="38" spans="1:7" ht="12" customHeight="1">
      <c r="A38" s="5"/>
      <c r="B38" s="109"/>
      <c r="C38" s="131"/>
      <c r="D38" s="130"/>
      <c r="E38" s="130"/>
      <c r="F38" s="109"/>
      <c r="G38" s="109"/>
    </row>
    <row r="39" spans="1:7" ht="12" customHeight="1">
      <c r="A39" s="12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2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12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2"/>
  <dimension ref="A1:G43"/>
  <sheetViews>
    <sheetView topLeftCell="A22" workbookViewId="0">
      <selection activeCell="F46" sqref="F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2264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5"/>
      <c r="E4" s="5"/>
      <c r="F4" s="5"/>
      <c r="G4" s="5"/>
    </row>
    <row r="5" spans="1:7" ht="13.7" customHeight="1">
      <c r="A5" s="5"/>
      <c r="B5" s="110" t="s">
        <v>673</v>
      </c>
      <c r="C5" s="110" t="s">
        <v>674</v>
      </c>
      <c r="D5" s="12" t="s">
        <v>675</v>
      </c>
      <c r="E5" s="3" t="s">
        <v>741</v>
      </c>
      <c r="F5" s="5"/>
      <c r="G5" s="5"/>
    </row>
    <row r="6" spans="1:7" ht="13.9" customHeight="1">
      <c r="A6" s="5"/>
      <c r="B6" s="110" t="s">
        <v>871</v>
      </c>
      <c r="C6" s="110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110" t="s">
        <v>751</v>
      </c>
      <c r="C7" s="110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110" t="s">
        <v>683</v>
      </c>
      <c r="C8" s="110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109"/>
      <c r="C9" s="109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110" t="s">
        <v>687</v>
      </c>
      <c r="C10" s="109"/>
      <c r="D10" s="5"/>
      <c r="E10" s="5"/>
      <c r="F10" s="5"/>
      <c r="G10" s="5"/>
    </row>
    <row r="11" spans="1:7" ht="13.9" customHeight="1">
      <c r="A11" s="5"/>
      <c r="B11" s="110" t="s">
        <v>1193</v>
      </c>
      <c r="C11" s="109"/>
      <c r="D11" s="3" t="s">
        <v>888</v>
      </c>
      <c r="E11" s="3" t="s">
        <v>1052</v>
      </c>
      <c r="F11" s="5"/>
      <c r="G11" s="5"/>
    </row>
    <row r="12" spans="1:7" ht="13.7" customHeight="1">
      <c r="A12" s="5"/>
      <c r="B12" s="110" t="s">
        <v>1194</v>
      </c>
      <c r="C12" s="109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109"/>
      <c r="C13" s="109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110" t="s">
        <v>704</v>
      </c>
      <c r="C14" s="109"/>
      <c r="D14" s="5"/>
      <c r="E14" s="5"/>
      <c r="F14" s="5"/>
      <c r="G14" s="5"/>
    </row>
    <row r="15" spans="1:7" ht="18" customHeight="1">
      <c r="A15" s="5"/>
      <c r="B15" s="109"/>
      <c r="C15" s="109"/>
      <c r="D15" s="5"/>
      <c r="E15" s="5"/>
      <c r="F15" s="5"/>
      <c r="G15" s="5"/>
    </row>
    <row r="16" spans="1:7" ht="18" customHeight="1">
      <c r="A16" s="5"/>
      <c r="B16" s="109"/>
      <c r="C16" s="109"/>
      <c r="D16" s="5"/>
      <c r="E16" s="1332" t="s">
        <v>705</v>
      </c>
      <c r="F16" s="1332"/>
      <c r="G16" s="5"/>
    </row>
    <row r="17" spans="1:7" ht="18" customHeight="1">
      <c r="A17" s="5"/>
      <c r="B17" s="109"/>
      <c r="C17" s="109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12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2265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135" t="s">
        <v>764</v>
      </c>
      <c r="D24" s="135" t="s">
        <v>765</v>
      </c>
      <c r="E24" s="112" t="s">
        <v>766</v>
      </c>
      <c r="F24" s="113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130"/>
      <c r="D25" s="130"/>
      <c r="E25" s="109"/>
      <c r="F25" s="109"/>
      <c r="G25" s="5"/>
    </row>
    <row r="26" spans="1:7" ht="13.9" customHeight="1">
      <c r="A26" s="5"/>
      <c r="B26" s="3" t="s">
        <v>673</v>
      </c>
      <c r="C26" s="141" t="s">
        <v>674</v>
      </c>
      <c r="D26" s="141" t="s">
        <v>675</v>
      </c>
      <c r="E26" s="110" t="s">
        <v>802</v>
      </c>
      <c r="F26" s="109"/>
      <c r="G26" s="5"/>
    </row>
    <row r="27" spans="1:7" ht="13.7" customHeight="1">
      <c r="A27" s="5"/>
      <c r="B27" s="3" t="s">
        <v>855</v>
      </c>
      <c r="C27" s="141" t="s">
        <v>678</v>
      </c>
      <c r="D27" s="141" t="s">
        <v>675</v>
      </c>
      <c r="E27" s="110" t="s">
        <v>802</v>
      </c>
      <c r="F27" s="109"/>
      <c r="G27" s="5"/>
    </row>
    <row r="28" spans="1:7" ht="13.7" customHeight="1">
      <c r="A28" s="5"/>
      <c r="B28" s="3" t="s">
        <v>751</v>
      </c>
      <c r="C28" s="141" t="s">
        <v>681</v>
      </c>
      <c r="D28" s="141" t="s">
        <v>675</v>
      </c>
      <c r="E28" s="110" t="s">
        <v>801</v>
      </c>
      <c r="F28" s="109"/>
      <c r="G28" s="5"/>
    </row>
    <row r="29" spans="1:7" ht="13.9" customHeight="1">
      <c r="A29" s="5"/>
      <c r="B29" s="3" t="s">
        <v>683</v>
      </c>
      <c r="C29" s="141" t="s">
        <v>684</v>
      </c>
      <c r="D29" s="141" t="s">
        <v>675</v>
      </c>
      <c r="E29" s="110" t="s">
        <v>794</v>
      </c>
      <c r="F29" s="109"/>
      <c r="G29" s="5"/>
    </row>
    <row r="30" spans="1:7" ht="12" customHeight="1">
      <c r="A30" s="5"/>
      <c r="B30" s="5"/>
      <c r="C30" s="130"/>
      <c r="D30" s="130"/>
      <c r="E30" s="141" t="s">
        <v>685</v>
      </c>
      <c r="F30" s="142"/>
      <c r="G30" s="5"/>
    </row>
    <row r="31" spans="1:7" ht="12" customHeight="1">
      <c r="A31" s="12" t="s">
        <v>686</v>
      </c>
      <c r="B31" s="3" t="s">
        <v>687</v>
      </c>
      <c r="C31" s="130"/>
      <c r="D31" s="130"/>
      <c r="E31" s="109"/>
      <c r="F31" s="109"/>
      <c r="G31" s="5"/>
    </row>
    <row r="32" spans="1:7" ht="13.7" customHeight="1">
      <c r="A32" s="5"/>
      <c r="B32" s="3" t="s">
        <v>1196</v>
      </c>
      <c r="C32" s="130"/>
      <c r="D32" s="141" t="s">
        <v>853</v>
      </c>
      <c r="E32" s="110" t="s">
        <v>893</v>
      </c>
      <c r="F32" s="109"/>
      <c r="G32" s="5"/>
    </row>
    <row r="33" spans="1:7" ht="13.7" customHeight="1">
      <c r="A33" s="5"/>
      <c r="B33" s="3" t="s">
        <v>1197</v>
      </c>
      <c r="C33" s="130"/>
      <c r="D33" s="141" t="s">
        <v>773</v>
      </c>
      <c r="E33" s="110" t="s">
        <v>740</v>
      </c>
      <c r="F33" s="109"/>
      <c r="G33" s="5"/>
    </row>
    <row r="34" spans="1:7" ht="13.9" customHeight="1">
      <c r="A34" s="5"/>
      <c r="B34" s="3" t="s">
        <v>1198</v>
      </c>
      <c r="C34" s="130"/>
      <c r="D34" s="141" t="s">
        <v>866</v>
      </c>
      <c r="E34" s="110" t="s">
        <v>797</v>
      </c>
      <c r="F34" s="109"/>
      <c r="G34" s="5"/>
    </row>
    <row r="35" spans="1:7" ht="13.7" customHeight="1">
      <c r="A35" s="5"/>
      <c r="B35" s="3" t="s">
        <v>1199</v>
      </c>
      <c r="C35" s="130"/>
      <c r="D35" s="141" t="s">
        <v>888</v>
      </c>
      <c r="E35" s="110" t="s">
        <v>756</v>
      </c>
      <c r="F35" s="109"/>
      <c r="G35" s="5"/>
    </row>
    <row r="36" spans="1:7" ht="12" customHeight="1">
      <c r="A36" s="5"/>
      <c r="B36" s="5"/>
      <c r="C36" s="131"/>
      <c r="D36" s="131"/>
      <c r="E36" s="141" t="s">
        <v>702</v>
      </c>
      <c r="F36" s="142"/>
      <c r="G36" s="5"/>
    </row>
    <row r="37" spans="1:7" ht="12" customHeight="1">
      <c r="A37" s="12" t="s">
        <v>703</v>
      </c>
      <c r="B37" s="3" t="s">
        <v>704</v>
      </c>
      <c r="C37" s="109"/>
      <c r="D37" s="109"/>
      <c r="E37" s="5"/>
      <c r="F37" s="5"/>
      <c r="G37" s="5"/>
    </row>
    <row r="38" spans="1:7" ht="12" customHeight="1">
      <c r="A38" s="5"/>
      <c r="B38" s="5"/>
      <c r="C38" s="109"/>
      <c r="D38" s="109"/>
      <c r="E38" s="5"/>
      <c r="F38" s="5"/>
      <c r="G38" s="5"/>
    </row>
    <row r="39" spans="1:7" ht="12" customHeight="1">
      <c r="A39" s="5"/>
      <c r="B39" s="5"/>
      <c r="C39" s="109"/>
      <c r="D39" s="109"/>
      <c r="E39" s="1332" t="s">
        <v>705</v>
      </c>
      <c r="F39" s="1332"/>
      <c r="G39" s="5"/>
    </row>
    <row r="40" spans="1:7" ht="12" customHeight="1">
      <c r="A40" s="5"/>
      <c r="B40" s="5"/>
      <c r="C40" s="109"/>
      <c r="D40" s="109"/>
      <c r="E40" s="5"/>
      <c r="F40" s="5"/>
      <c r="G40" s="5"/>
    </row>
    <row r="41" spans="1:7" ht="12" customHeight="1">
      <c r="A41" s="12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12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12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2">
    <mergeCell ref="E9:F9"/>
    <mergeCell ref="E13:F13"/>
    <mergeCell ref="E16:F16"/>
    <mergeCell ref="B18:F18"/>
    <mergeCell ref="B19:D19"/>
    <mergeCell ref="E19:F19"/>
    <mergeCell ref="B20:F20"/>
    <mergeCell ref="E39:F39"/>
    <mergeCell ref="B43:F43"/>
    <mergeCell ref="B41:F41"/>
    <mergeCell ref="B42:D42"/>
    <mergeCell ref="E42:F4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56"/>
  <sheetViews>
    <sheetView view="pageBreakPreview" zoomScale="60" workbookViewId="0">
      <pane ySplit="360" topLeftCell="A31" activePane="bottomLeft"/>
      <selection activeCell="I1" sqref="I1:I1048576"/>
      <selection pane="bottomLeft" activeCell="N10" sqref="N10"/>
    </sheetView>
  </sheetViews>
  <sheetFormatPr defaultRowHeight="15"/>
  <cols>
    <col min="1" max="1" width="5.42578125" style="1000" customWidth="1"/>
    <col min="2" max="2" width="49.7109375" customWidth="1"/>
    <col min="3" max="4" width="12.5703125" bestFit="1" customWidth="1"/>
    <col min="5" max="8" width="15.7109375" customWidth="1"/>
    <col min="9" max="9" width="15.7109375" style="795" customWidth="1"/>
    <col min="10" max="10" width="6.140625" customWidth="1"/>
  </cols>
  <sheetData>
    <row r="1" spans="1:10" s="105" customFormat="1">
      <c r="A1" s="1114" t="s">
        <v>4734</v>
      </c>
      <c r="B1" s="1114" t="s">
        <v>4735</v>
      </c>
      <c r="C1" s="1114"/>
      <c r="D1" s="1114"/>
      <c r="E1" s="1114" t="s">
        <v>4736</v>
      </c>
      <c r="F1" s="1114" t="s">
        <v>4737</v>
      </c>
      <c r="G1" s="1114" t="s">
        <v>4739</v>
      </c>
      <c r="H1" s="1114" t="s">
        <v>4738</v>
      </c>
      <c r="I1" s="1115" t="s">
        <v>4740</v>
      </c>
      <c r="J1" s="1114" t="s">
        <v>1006</v>
      </c>
    </row>
    <row r="2" spans="1:10" s="105" customFormat="1">
      <c r="A2" s="1114"/>
      <c r="B2" s="1114"/>
      <c r="C2" s="1114"/>
      <c r="D2" s="1114"/>
      <c r="E2" s="1114"/>
      <c r="F2" s="1114"/>
      <c r="G2" s="1114"/>
      <c r="H2" s="1114"/>
      <c r="I2" s="1115"/>
      <c r="J2" s="1114"/>
    </row>
    <row r="3" spans="1:10" s="1002" customFormat="1">
      <c r="A3" s="1116" t="s">
        <v>671</v>
      </c>
      <c r="B3" s="1117" t="s">
        <v>4786</v>
      </c>
      <c r="C3" s="1114"/>
      <c r="D3" s="1114"/>
      <c r="E3" s="1114"/>
      <c r="F3" s="1114"/>
      <c r="G3" s="1114"/>
      <c r="H3" s="1114"/>
      <c r="I3" s="1115"/>
      <c r="J3" s="1114"/>
    </row>
    <row r="4" spans="1:10" s="792" customFormat="1">
      <c r="A4" s="1116" t="s">
        <v>4765</v>
      </c>
      <c r="B4" s="1118" t="s">
        <v>4758</v>
      </c>
      <c r="C4" s="1118"/>
      <c r="D4" s="1118"/>
      <c r="E4" s="1118"/>
      <c r="F4" s="1118"/>
      <c r="G4" s="1118"/>
      <c r="H4" s="1118"/>
      <c r="I4" s="1119"/>
      <c r="J4" s="1118"/>
    </row>
    <row r="5" spans="1:10">
      <c r="A5" s="1114">
        <v>1</v>
      </c>
      <c r="B5" s="1120" t="s">
        <v>4767</v>
      </c>
      <c r="C5" s="1120"/>
      <c r="D5" s="1120"/>
      <c r="E5" s="1120"/>
      <c r="F5" s="1120"/>
      <c r="G5" s="1120"/>
      <c r="H5" s="1120"/>
      <c r="I5" s="1121">
        <v>1</v>
      </c>
      <c r="J5" s="1120" t="s">
        <v>3659</v>
      </c>
    </row>
    <row r="6" spans="1:10">
      <c r="A6" s="1114">
        <f>A5+1</f>
        <v>2</v>
      </c>
      <c r="B6" s="1120" t="s">
        <v>4778</v>
      </c>
      <c r="C6" s="1120"/>
      <c r="D6" s="1120"/>
      <c r="E6" s="1120"/>
      <c r="F6" s="1120"/>
      <c r="G6" s="1120"/>
      <c r="H6" s="1120"/>
      <c r="I6" s="1121"/>
      <c r="J6" s="1120"/>
    </row>
    <row r="7" spans="1:10">
      <c r="A7" s="1114">
        <f>A6+1</f>
        <v>3</v>
      </c>
      <c r="B7" s="1120" t="s">
        <v>4768</v>
      </c>
      <c r="C7" s="1120"/>
      <c r="D7" s="1120"/>
      <c r="E7" s="1120"/>
      <c r="F7" s="1120"/>
      <c r="G7" s="1120"/>
      <c r="H7" s="1120"/>
      <c r="I7" s="1121">
        <v>1</v>
      </c>
      <c r="J7" s="1120" t="s">
        <v>3659</v>
      </c>
    </row>
    <row r="8" spans="1:10">
      <c r="A8" s="1114"/>
      <c r="B8" s="1120"/>
      <c r="C8" s="1120"/>
      <c r="D8" s="1120"/>
      <c r="E8" s="1120"/>
      <c r="F8" s="1120"/>
      <c r="G8" s="1120"/>
      <c r="H8" s="1120"/>
      <c r="I8" s="1121"/>
      <c r="J8" s="1120"/>
    </row>
    <row r="9" spans="1:10" s="792" customFormat="1">
      <c r="A9" s="1116" t="s">
        <v>4766</v>
      </c>
      <c r="B9" s="1118" t="s">
        <v>4769</v>
      </c>
      <c r="C9" s="1118"/>
      <c r="D9" s="1118"/>
      <c r="E9" s="1118"/>
      <c r="F9" s="1118"/>
      <c r="G9" s="1118"/>
      <c r="H9" s="1118"/>
      <c r="I9" s="1119"/>
      <c r="J9" s="1118"/>
    </row>
    <row r="10" spans="1:10">
      <c r="A10" s="1114">
        <v>1</v>
      </c>
      <c r="B10" s="1120" t="s">
        <v>4774</v>
      </c>
      <c r="C10" s="1120"/>
      <c r="D10" s="1120"/>
      <c r="E10" s="1120">
        <v>17.149999999999999</v>
      </c>
      <c r="F10" s="1120">
        <v>12.15</v>
      </c>
      <c r="G10" s="1120"/>
      <c r="H10" s="1120">
        <v>2</v>
      </c>
      <c r="I10" s="1119">
        <f>E10*F10*H10</f>
        <v>416.745</v>
      </c>
      <c r="J10" s="1120" t="s">
        <v>2647</v>
      </c>
    </row>
    <row r="11" spans="1:10">
      <c r="A11" s="1114">
        <f>A10+1</f>
        <v>2</v>
      </c>
      <c r="B11" s="1120" t="s">
        <v>4783</v>
      </c>
      <c r="C11" s="1120"/>
      <c r="D11" s="1120"/>
      <c r="E11" s="1120">
        <v>2.85</v>
      </c>
      <c r="F11" s="1120">
        <v>2.5</v>
      </c>
      <c r="G11" s="1120"/>
      <c r="H11" s="1120">
        <v>1</v>
      </c>
      <c r="I11" s="1119">
        <f>E11*F11*H11</f>
        <v>7.125</v>
      </c>
      <c r="J11" s="1120" t="s">
        <v>2647</v>
      </c>
    </row>
    <row r="12" spans="1:10">
      <c r="A12" s="1114">
        <f t="shared" ref="A12:A13" si="0">A11+1</f>
        <v>3</v>
      </c>
      <c r="B12" s="1120" t="s">
        <v>4775</v>
      </c>
      <c r="C12" s="1120"/>
      <c r="D12" s="1120"/>
      <c r="E12" s="1120"/>
      <c r="F12" s="1120"/>
      <c r="G12" s="1120"/>
      <c r="H12" s="1120"/>
      <c r="I12" s="1119">
        <v>1</v>
      </c>
      <c r="J12" s="1120" t="s">
        <v>1423</v>
      </c>
    </row>
    <row r="13" spans="1:10">
      <c r="A13" s="1114">
        <f t="shared" si="0"/>
        <v>4</v>
      </c>
      <c r="B13" s="1120" t="s">
        <v>4785</v>
      </c>
      <c r="C13" s="1120"/>
      <c r="D13" s="1120"/>
      <c r="E13" s="1120"/>
      <c r="F13" s="1120"/>
      <c r="G13" s="1120"/>
      <c r="H13" s="1120"/>
      <c r="I13" s="1119"/>
      <c r="J13" s="1120" t="s">
        <v>1423</v>
      </c>
    </row>
    <row r="14" spans="1:10">
      <c r="A14" s="1114"/>
      <c r="B14" s="1120"/>
      <c r="C14" s="1120"/>
      <c r="D14" s="1120"/>
      <c r="E14" s="1120"/>
      <c r="F14" s="1120"/>
      <c r="G14" s="1120"/>
      <c r="H14" s="1120"/>
      <c r="I14" s="1119"/>
      <c r="J14" s="1120"/>
    </row>
    <row r="15" spans="1:10">
      <c r="A15" s="1116" t="s">
        <v>686</v>
      </c>
      <c r="B15" s="1118" t="s">
        <v>4787</v>
      </c>
      <c r="C15" s="1120"/>
      <c r="D15" s="1120"/>
      <c r="E15" s="1120"/>
      <c r="F15" s="1120"/>
      <c r="G15" s="1120"/>
      <c r="H15" s="1120"/>
      <c r="I15" s="1121"/>
      <c r="J15" s="1120"/>
    </row>
    <row r="16" spans="1:10" s="792" customFormat="1">
      <c r="A16" s="1116" t="s">
        <v>2097</v>
      </c>
      <c r="B16" s="1118" t="s">
        <v>4779</v>
      </c>
      <c r="C16" s="1118"/>
      <c r="D16" s="1118"/>
      <c r="E16" s="1118"/>
      <c r="F16" s="1118"/>
      <c r="G16" s="1118"/>
      <c r="H16" s="1118"/>
      <c r="I16" s="1119"/>
      <c r="J16" s="1118"/>
    </row>
    <row r="17" spans="1:10">
      <c r="A17" s="1114">
        <v>1</v>
      </c>
      <c r="B17" s="1120" t="s">
        <v>4788</v>
      </c>
      <c r="C17" s="1120"/>
      <c r="D17" s="1120"/>
      <c r="E17" s="1120">
        <f>1.27*1.27</f>
        <v>1.6129</v>
      </c>
      <c r="F17" s="1120">
        <f>0.7*0.7</f>
        <v>0.48999999999999994</v>
      </c>
      <c r="G17" s="1120">
        <v>1.1499999999999999</v>
      </c>
      <c r="H17" s="1120">
        <v>4</v>
      </c>
      <c r="I17" s="1119">
        <f>((E17+F17)/2)*G17*H17</f>
        <v>4.8366699999999998</v>
      </c>
      <c r="J17" s="1118" t="s">
        <v>2646</v>
      </c>
    </row>
    <row r="18" spans="1:10">
      <c r="A18" s="1114"/>
      <c r="B18" s="1120"/>
      <c r="C18" s="1120"/>
      <c r="D18" s="1120"/>
      <c r="E18" s="1120"/>
      <c r="F18" s="1120"/>
      <c r="G18" s="1120"/>
      <c r="H18" s="1120"/>
      <c r="I18" s="1121"/>
      <c r="J18" s="1120"/>
    </row>
    <row r="19" spans="1:10">
      <c r="A19" s="1114">
        <f>A17+1</f>
        <v>2</v>
      </c>
      <c r="B19" s="1120" t="s">
        <v>4789</v>
      </c>
      <c r="C19" s="1120"/>
      <c r="D19" s="1120"/>
      <c r="E19" s="1120">
        <f>1.27*1.27</f>
        <v>1.6129</v>
      </c>
      <c r="F19" s="1120">
        <f>0.7*0.7</f>
        <v>0.48999999999999994</v>
      </c>
      <c r="G19" s="1120">
        <v>1.1499999999999999</v>
      </c>
      <c r="H19" s="1120">
        <v>5</v>
      </c>
      <c r="I19" s="1119">
        <f>((E19+F19)/2)*G19*H19</f>
        <v>6.0458374999999993</v>
      </c>
      <c r="J19" s="1118" t="s">
        <v>2646</v>
      </c>
    </row>
    <row r="20" spans="1:10">
      <c r="A20" s="1114"/>
      <c r="B20" s="1120"/>
      <c r="C20" s="1120"/>
      <c r="D20" s="1120"/>
      <c r="E20" s="1120"/>
      <c r="F20" s="1120"/>
      <c r="G20" s="1120"/>
      <c r="H20" s="1120"/>
      <c r="I20" s="1121"/>
      <c r="J20" s="1120"/>
    </row>
    <row r="21" spans="1:10">
      <c r="A21" s="1114">
        <f>A19+1</f>
        <v>3</v>
      </c>
      <c r="B21" s="1120" t="s">
        <v>4790</v>
      </c>
      <c r="C21" s="1120"/>
      <c r="D21" s="1120"/>
      <c r="E21" s="1120">
        <f>1.18*1.18</f>
        <v>1.3923999999999999</v>
      </c>
      <c r="F21" s="1120">
        <f>0.7*0.7</f>
        <v>0.48999999999999994</v>
      </c>
      <c r="G21" s="1120">
        <v>1.1499999999999999</v>
      </c>
      <c r="H21" s="1120">
        <v>3</v>
      </c>
      <c r="I21" s="1119">
        <f>((E21+F21)/2)*G21*H21</f>
        <v>3.2471399999999999</v>
      </c>
      <c r="J21" s="1118" t="s">
        <v>2646</v>
      </c>
    </row>
    <row r="22" spans="1:10">
      <c r="A22" s="1114"/>
      <c r="B22" s="1120"/>
      <c r="C22" s="1120"/>
      <c r="D22" s="1120"/>
      <c r="E22" s="1120"/>
      <c r="F22" s="1120"/>
      <c r="G22" s="1120"/>
      <c r="H22" s="1120"/>
      <c r="I22" s="1121"/>
      <c r="J22" s="1120"/>
    </row>
    <row r="23" spans="1:10">
      <c r="A23" s="1114">
        <f>A21+1</f>
        <v>4</v>
      </c>
      <c r="B23" s="1120" t="s">
        <v>4791</v>
      </c>
      <c r="C23" s="1120"/>
      <c r="D23" s="1120"/>
      <c r="E23" s="1120">
        <f>1.18*1.18</f>
        <v>1.3923999999999999</v>
      </c>
      <c r="F23" s="1120">
        <f>0.7*0.7</f>
        <v>0.48999999999999994</v>
      </c>
      <c r="G23" s="1120">
        <v>1.1499999999999999</v>
      </c>
      <c r="H23" s="1120">
        <v>4</v>
      </c>
      <c r="I23" s="1119">
        <f>((E23+F23)/2)*G23*H23</f>
        <v>4.3295199999999996</v>
      </c>
      <c r="J23" s="1118" t="s">
        <v>2646</v>
      </c>
    </row>
    <row r="24" spans="1:10">
      <c r="A24" s="1114"/>
      <c r="B24" s="1120"/>
      <c r="C24" s="1120"/>
      <c r="D24" s="1120"/>
      <c r="E24" s="1120"/>
      <c r="F24" s="1120"/>
      <c r="G24" s="1120"/>
      <c r="H24" s="1120"/>
      <c r="I24" s="1121"/>
      <c r="J24" s="1120"/>
    </row>
    <row r="25" spans="1:10">
      <c r="A25" s="1114">
        <f>A23+1</f>
        <v>5</v>
      </c>
      <c r="B25" s="1120" t="s">
        <v>4792</v>
      </c>
      <c r="C25" s="1120"/>
      <c r="D25" s="1120"/>
      <c r="E25" s="1120">
        <f>3.3</f>
        <v>3.3</v>
      </c>
      <c r="F25" s="1120">
        <f>(0.61+0.5)/2</f>
        <v>0.55499999999999994</v>
      </c>
      <c r="G25" s="1120">
        <v>0.45</v>
      </c>
      <c r="H25" s="1120">
        <v>2</v>
      </c>
      <c r="I25" s="1121">
        <f>E25*F25*G25*H25</f>
        <v>1.6483499999999998</v>
      </c>
      <c r="J25" s="1120" t="s">
        <v>2646</v>
      </c>
    </row>
    <row r="26" spans="1:10">
      <c r="A26" s="1114"/>
      <c r="B26" s="1120"/>
      <c r="C26" s="1120"/>
      <c r="D26" s="1120"/>
      <c r="E26" s="1120">
        <v>2.8</v>
      </c>
      <c r="F26" s="1120">
        <f>(0.61+0.5)/2</f>
        <v>0.55499999999999994</v>
      </c>
      <c r="G26" s="1120">
        <v>0.45</v>
      </c>
      <c r="H26" s="1120">
        <v>1</v>
      </c>
      <c r="I26" s="1121">
        <f>E26*F26*G26*H26</f>
        <v>0.69929999999999992</v>
      </c>
      <c r="J26" s="1120" t="s">
        <v>2646</v>
      </c>
    </row>
    <row r="27" spans="1:10">
      <c r="A27" s="1114"/>
      <c r="B27" s="1120"/>
      <c r="C27" s="1120"/>
      <c r="D27" s="1120"/>
      <c r="E27" s="1120"/>
      <c r="F27" s="1120"/>
      <c r="G27" s="1120"/>
      <c r="H27" s="1120"/>
      <c r="I27" s="1119">
        <f>SUM(I25:I26)</f>
        <v>2.3476499999999998</v>
      </c>
      <c r="J27" s="1118" t="s">
        <v>2646</v>
      </c>
    </row>
    <row r="28" spans="1:10">
      <c r="A28" s="1114"/>
      <c r="B28" s="1120"/>
      <c r="C28" s="1120"/>
      <c r="D28" s="1120"/>
      <c r="E28" s="1120"/>
      <c r="F28" s="1120"/>
      <c r="G28" s="1120"/>
      <c r="H28" s="1120"/>
      <c r="I28" s="1121"/>
      <c r="J28" s="1120"/>
    </row>
    <row r="29" spans="1:10">
      <c r="A29" s="1114">
        <f>A25+1</f>
        <v>6</v>
      </c>
      <c r="B29" s="1120" t="s">
        <v>4793</v>
      </c>
      <c r="C29" s="1120"/>
      <c r="D29" s="1120"/>
      <c r="E29" s="1120">
        <v>2.8</v>
      </c>
      <c r="F29" s="1120">
        <f>(0.61+0.5)/2</f>
        <v>0.55499999999999994</v>
      </c>
      <c r="G29" s="1120">
        <v>0.45</v>
      </c>
      <c r="H29" s="1120">
        <v>5</v>
      </c>
      <c r="I29" s="1119">
        <f>E29*F29*G29*H29</f>
        <v>3.4964999999999997</v>
      </c>
      <c r="J29" s="1118" t="s">
        <v>2646</v>
      </c>
    </row>
    <row r="30" spans="1:10">
      <c r="A30" s="1114"/>
      <c r="B30" s="1120"/>
      <c r="C30" s="1120"/>
      <c r="D30" s="1120"/>
      <c r="E30" s="1120"/>
      <c r="F30" s="1120"/>
      <c r="G30" s="1120"/>
      <c r="H30" s="1120"/>
      <c r="I30" s="1121"/>
      <c r="J30" s="1120"/>
    </row>
    <row r="31" spans="1:10" s="792" customFormat="1">
      <c r="A31" s="1116" t="s">
        <v>2100</v>
      </c>
      <c r="B31" s="1118" t="s">
        <v>4800</v>
      </c>
      <c r="C31" s="1118"/>
      <c r="D31" s="1118"/>
      <c r="E31" s="1118"/>
      <c r="F31" s="1118"/>
      <c r="G31" s="1118"/>
      <c r="H31" s="1118"/>
      <c r="I31" s="1119"/>
      <c r="J31" s="1118"/>
    </row>
    <row r="32" spans="1:10">
      <c r="A32" s="1114">
        <v>1</v>
      </c>
      <c r="B32" s="1120" t="s">
        <v>4794</v>
      </c>
      <c r="C32" s="1120"/>
      <c r="D32" s="1120"/>
      <c r="E32" s="1120"/>
      <c r="F32" s="1120"/>
      <c r="G32" s="1120"/>
      <c r="H32" s="1120"/>
      <c r="I32" s="1119">
        <f>I17/3</f>
        <v>1.6122233333333333</v>
      </c>
      <c r="J32" s="1118" t="s">
        <v>2646</v>
      </c>
    </row>
    <row r="33" spans="1:10">
      <c r="A33" s="1114">
        <f>A32+1</f>
        <v>2</v>
      </c>
      <c r="B33" s="1120" t="s">
        <v>4795</v>
      </c>
      <c r="C33" s="1120"/>
      <c r="D33" s="1120"/>
      <c r="E33" s="1120"/>
      <c r="F33" s="1120"/>
      <c r="G33" s="1120"/>
      <c r="H33" s="1120"/>
      <c r="I33" s="1119">
        <f>I19/3</f>
        <v>2.0152791666666663</v>
      </c>
      <c r="J33" s="1118" t="s">
        <v>2646</v>
      </c>
    </row>
    <row r="34" spans="1:10">
      <c r="A34" s="1114">
        <f t="shared" ref="A34:A37" si="1">A33+1</f>
        <v>3</v>
      </c>
      <c r="B34" s="1120" t="s">
        <v>4796</v>
      </c>
      <c r="C34" s="1120"/>
      <c r="D34" s="1120"/>
      <c r="E34" s="1120"/>
      <c r="F34" s="1120"/>
      <c r="G34" s="1120"/>
      <c r="H34" s="1120"/>
      <c r="I34" s="1119">
        <f>I21/3</f>
        <v>1.0823799999999999</v>
      </c>
      <c r="J34" s="1118" t="s">
        <v>2646</v>
      </c>
    </row>
    <row r="35" spans="1:10">
      <c r="A35" s="1114">
        <f t="shared" si="1"/>
        <v>4</v>
      </c>
      <c r="B35" s="1120" t="s">
        <v>4797</v>
      </c>
      <c r="C35" s="1120"/>
      <c r="D35" s="1120"/>
      <c r="E35" s="1120"/>
      <c r="F35" s="1120"/>
      <c r="G35" s="1120"/>
      <c r="H35" s="1120"/>
      <c r="I35" s="1119">
        <f>I23/3</f>
        <v>1.4431733333333332</v>
      </c>
      <c r="J35" s="1118" t="s">
        <v>2646</v>
      </c>
    </row>
    <row r="36" spans="1:10">
      <c r="A36" s="1114">
        <f t="shared" si="1"/>
        <v>5</v>
      </c>
      <c r="B36" s="1120" t="s">
        <v>4798</v>
      </c>
      <c r="C36" s="1120"/>
      <c r="D36" s="1120"/>
      <c r="E36" s="1120"/>
      <c r="F36" s="1120"/>
      <c r="G36" s="1120"/>
      <c r="H36" s="1120"/>
      <c r="I36" s="1119">
        <f>I27/3</f>
        <v>0.78254999999999997</v>
      </c>
      <c r="J36" s="1118" t="s">
        <v>2646</v>
      </c>
    </row>
    <row r="37" spans="1:10">
      <c r="A37" s="1114">
        <f t="shared" si="1"/>
        <v>6</v>
      </c>
      <c r="B37" s="1120" t="s">
        <v>4799</v>
      </c>
      <c r="C37" s="1120"/>
      <c r="D37" s="1120"/>
      <c r="E37" s="1120"/>
      <c r="F37" s="1120"/>
      <c r="G37" s="1120"/>
      <c r="H37" s="1120"/>
      <c r="I37" s="1119">
        <f>I29/3</f>
        <v>1.1655</v>
      </c>
      <c r="J37" s="1118" t="s">
        <v>2646</v>
      </c>
    </row>
    <row r="38" spans="1:10">
      <c r="A38" s="1114"/>
      <c r="B38" s="1120"/>
      <c r="C38" s="1120"/>
      <c r="D38" s="1120"/>
      <c r="E38" s="1120"/>
      <c r="F38" s="1120"/>
      <c r="G38" s="1120"/>
      <c r="H38" s="1120"/>
      <c r="I38" s="1121"/>
      <c r="J38" s="1120"/>
    </row>
    <row r="39" spans="1:10">
      <c r="A39" s="1114">
        <f>A37+1</f>
        <v>7</v>
      </c>
      <c r="B39" s="1120" t="s">
        <v>4817</v>
      </c>
      <c r="C39" s="1120"/>
      <c r="D39" s="1120"/>
      <c r="E39" s="1120">
        <v>10</v>
      </c>
      <c r="F39" s="1120">
        <v>15</v>
      </c>
      <c r="G39" s="1120">
        <f>(0.5+0.38)/2</f>
        <v>0.44</v>
      </c>
      <c r="H39" s="1120">
        <v>1</v>
      </c>
      <c r="I39" s="1119">
        <f>(E39*F39*G39*H39)*0.5</f>
        <v>33</v>
      </c>
      <c r="J39" s="1118" t="s">
        <v>2646</v>
      </c>
    </row>
    <row r="40" spans="1:10">
      <c r="A40" s="1114"/>
      <c r="B40" s="1120"/>
      <c r="C40" s="1120"/>
      <c r="D40" s="1120"/>
      <c r="E40" s="1120"/>
      <c r="F40" s="1120"/>
      <c r="G40" s="1120"/>
      <c r="H40" s="1120"/>
      <c r="I40" s="1121"/>
      <c r="J40" s="1120"/>
    </row>
    <row r="41" spans="1:10">
      <c r="A41" s="1114"/>
      <c r="B41" s="1120"/>
      <c r="C41" s="1120"/>
      <c r="D41" s="1120"/>
      <c r="E41" s="1120"/>
      <c r="F41" s="1120"/>
      <c r="G41" s="1120"/>
      <c r="H41" s="1120"/>
      <c r="I41" s="1121"/>
      <c r="J41" s="1120"/>
    </row>
    <row r="42" spans="1:10">
      <c r="A42" s="1114" t="s">
        <v>2102</v>
      </c>
      <c r="B42" s="1120" t="s">
        <v>4810</v>
      </c>
      <c r="C42" s="1120"/>
      <c r="D42" s="1120"/>
      <c r="E42" s="1120"/>
      <c r="F42" s="1120"/>
      <c r="G42" s="1120"/>
      <c r="H42" s="1120"/>
      <c r="I42" s="1121"/>
      <c r="J42" s="1120"/>
    </row>
    <row r="43" spans="1:10">
      <c r="A43" s="1114">
        <v>1</v>
      </c>
      <c r="B43" s="1120" t="s">
        <v>4802</v>
      </c>
      <c r="C43" s="1120"/>
      <c r="D43" s="1120"/>
      <c r="E43" s="1120"/>
      <c r="F43" s="1120"/>
      <c r="G43" s="1120"/>
      <c r="H43" s="1120"/>
      <c r="I43" s="1121"/>
      <c r="J43" s="1120"/>
    </row>
    <row r="44" spans="1:10">
      <c r="A44" s="1114"/>
      <c r="B44" s="1122" t="s">
        <v>4806</v>
      </c>
      <c r="C44" s="1120"/>
      <c r="D44" s="1120"/>
      <c r="E44" s="1120">
        <v>0.7</v>
      </c>
      <c r="F44" s="1120">
        <v>0.7</v>
      </c>
      <c r="G44" s="1120">
        <v>0.1</v>
      </c>
      <c r="H44" s="1120">
        <v>4</v>
      </c>
      <c r="I44" s="1119">
        <f>E44*F44*G44*H44</f>
        <v>0.19599999999999998</v>
      </c>
      <c r="J44" s="1118" t="s">
        <v>2646</v>
      </c>
    </row>
    <row r="45" spans="1:10">
      <c r="A45" s="1114"/>
      <c r="B45" s="1122"/>
      <c r="C45" s="1120"/>
      <c r="D45" s="1120"/>
      <c r="E45" s="1120"/>
      <c r="F45" s="1120"/>
      <c r="G45" s="1120"/>
      <c r="H45" s="1120"/>
      <c r="I45" s="1121"/>
      <c r="J45" s="1120"/>
    </row>
    <row r="46" spans="1:10">
      <c r="A46" s="1114"/>
      <c r="B46" s="1122" t="s">
        <v>4803</v>
      </c>
      <c r="C46" s="1120"/>
      <c r="D46" s="1120"/>
      <c r="E46" s="1120">
        <v>0.7</v>
      </c>
      <c r="F46" s="1120">
        <v>0.7</v>
      </c>
      <c r="G46" s="1120">
        <v>0.2</v>
      </c>
      <c r="H46" s="1120">
        <v>4</v>
      </c>
      <c r="I46" s="1121">
        <f>E46*F46*G46*H46</f>
        <v>0.39199999999999996</v>
      </c>
      <c r="J46" s="1120" t="s">
        <v>2646</v>
      </c>
    </row>
    <row r="47" spans="1:10">
      <c r="A47" s="1114"/>
      <c r="B47" s="1122"/>
      <c r="C47" s="1120"/>
      <c r="D47" s="1120"/>
      <c r="E47" s="1120">
        <v>0.2</v>
      </c>
      <c r="F47" s="1120">
        <v>0.2</v>
      </c>
      <c r="G47" s="1120">
        <v>1.3</v>
      </c>
      <c r="H47" s="1120">
        <v>4</v>
      </c>
      <c r="I47" s="1121">
        <f>E47*F47*G47*H47</f>
        <v>0.20800000000000005</v>
      </c>
      <c r="J47" s="1120" t="s">
        <v>2646</v>
      </c>
    </row>
    <row r="48" spans="1:10">
      <c r="A48" s="1114"/>
      <c r="B48" s="1122"/>
      <c r="C48" s="1120"/>
      <c r="D48" s="1120"/>
      <c r="E48" s="1120"/>
      <c r="F48" s="1120"/>
      <c r="G48" s="1120"/>
      <c r="H48" s="1120"/>
      <c r="I48" s="1119">
        <f>SUM(I46:I47)</f>
        <v>0.6</v>
      </c>
      <c r="J48" s="1118" t="s">
        <v>2646</v>
      </c>
    </row>
    <row r="49" spans="1:10">
      <c r="A49" s="1114"/>
      <c r="B49" s="1122"/>
      <c r="C49" s="1120"/>
      <c r="D49" s="1120"/>
      <c r="E49" s="1120"/>
      <c r="F49" s="1120"/>
      <c r="G49" s="1120"/>
      <c r="H49" s="1120"/>
      <c r="I49" s="1121"/>
      <c r="J49" s="1120"/>
    </row>
    <row r="50" spans="1:10">
      <c r="A50" s="1114"/>
      <c r="B50" s="1122" t="s">
        <v>4804</v>
      </c>
      <c r="C50" s="1120"/>
      <c r="D50" s="1120" t="s">
        <v>4858</v>
      </c>
      <c r="E50" s="1120">
        <f>0.15+0.15+0.55+0.55+0.05</f>
        <v>1.4500000000000002</v>
      </c>
      <c r="F50" s="1120"/>
      <c r="G50" s="1120"/>
      <c r="H50" s="1120">
        <f>5*H44</f>
        <v>20</v>
      </c>
      <c r="I50" s="1121">
        <f>E50*H50</f>
        <v>29.000000000000004</v>
      </c>
      <c r="J50" s="1120" t="s">
        <v>2970</v>
      </c>
    </row>
    <row r="51" spans="1:10">
      <c r="A51" s="1114"/>
      <c r="B51" s="1122"/>
      <c r="C51" s="1120"/>
      <c r="D51" s="1120"/>
      <c r="E51" s="1120">
        <f>0.15+0.15+0.55+0.55+0.05</f>
        <v>1.4500000000000002</v>
      </c>
      <c r="F51" s="1120"/>
      <c r="G51" s="1120"/>
      <c r="H51" s="1120">
        <f>5*H44</f>
        <v>20</v>
      </c>
      <c r="I51" s="1121">
        <f>E51*H51</f>
        <v>29.000000000000004</v>
      </c>
      <c r="J51" s="1120" t="s">
        <v>2970</v>
      </c>
    </row>
    <row r="52" spans="1:10">
      <c r="A52" s="1114"/>
      <c r="B52" s="1122"/>
      <c r="C52" s="1120"/>
      <c r="D52" s="1120"/>
      <c r="E52" s="1120"/>
      <c r="F52" s="1120"/>
      <c r="G52" s="1120"/>
      <c r="H52" s="1120"/>
      <c r="I52" s="1121">
        <f>SUM(I50:I51)</f>
        <v>58.000000000000007</v>
      </c>
      <c r="J52" s="1120" t="s">
        <v>2970</v>
      </c>
    </row>
    <row r="53" spans="1:10">
      <c r="A53" s="1114"/>
      <c r="B53" s="1122"/>
      <c r="C53" s="1120"/>
      <c r="D53" s="1120"/>
      <c r="E53" s="1120"/>
      <c r="F53" s="1120"/>
      <c r="G53" s="1120" t="s">
        <v>4859</v>
      </c>
      <c r="H53" s="1123">
        <f>10.7/12</f>
        <v>0.89166666666666661</v>
      </c>
      <c r="I53" s="1123">
        <f>I52*H53</f>
        <v>51.716666666666669</v>
      </c>
      <c r="J53" s="1124" t="s">
        <v>773</v>
      </c>
    </row>
    <row r="54" spans="1:10" s="1023" customFormat="1">
      <c r="A54" s="1114"/>
      <c r="B54" s="1122"/>
      <c r="C54" s="1120"/>
      <c r="D54" s="1120"/>
      <c r="E54" s="1120"/>
      <c r="F54" s="1120"/>
      <c r="G54" s="1120"/>
      <c r="H54" s="1123"/>
      <c r="I54" s="1123"/>
      <c r="J54" s="1124"/>
    </row>
    <row r="55" spans="1:10">
      <c r="A55" s="1114"/>
      <c r="B55" s="1122"/>
      <c r="C55" s="1120"/>
      <c r="D55" s="1120" t="s">
        <v>4860</v>
      </c>
      <c r="E55" s="1120">
        <f>1.96+0.5</f>
        <v>2.46</v>
      </c>
      <c r="F55" s="1120"/>
      <c r="G55" s="1120"/>
      <c r="H55" s="1120">
        <f>4*H44</f>
        <v>16</v>
      </c>
      <c r="I55" s="1121">
        <f>E55*H55</f>
        <v>39.36</v>
      </c>
      <c r="J55" s="1120" t="s">
        <v>2970</v>
      </c>
    </row>
    <row r="56" spans="1:10">
      <c r="A56" s="1114"/>
      <c r="B56" s="1122"/>
      <c r="C56" s="1120"/>
      <c r="D56" s="1120"/>
      <c r="E56" s="1120"/>
      <c r="F56" s="1120"/>
      <c r="G56" s="1120" t="s">
        <v>4859</v>
      </c>
      <c r="H56" s="1123">
        <f>10.7/12</f>
        <v>0.89166666666666661</v>
      </c>
      <c r="I56" s="1123">
        <f>I55*H56</f>
        <v>35.095999999999997</v>
      </c>
      <c r="J56" s="1124" t="s">
        <v>773</v>
      </c>
    </row>
    <row r="57" spans="1:10">
      <c r="A57" s="1114"/>
      <c r="B57" s="1122"/>
      <c r="C57" s="1120"/>
      <c r="D57" s="1120"/>
      <c r="E57" s="1120"/>
      <c r="F57" s="1120"/>
      <c r="G57" s="1120"/>
      <c r="H57" s="1120"/>
      <c r="I57" s="1121"/>
      <c r="J57" s="1120"/>
    </row>
    <row r="58" spans="1:10">
      <c r="A58" s="1114"/>
      <c r="B58" s="1122"/>
      <c r="C58" s="1120"/>
      <c r="D58" s="1120"/>
      <c r="E58" s="1120"/>
      <c r="F58" s="1120"/>
      <c r="G58" s="1120" t="s">
        <v>4740</v>
      </c>
      <c r="H58" s="1120"/>
      <c r="I58" s="1119">
        <f>I56+I53</f>
        <v>86.812666666666672</v>
      </c>
      <c r="J58" s="1125" t="s">
        <v>773</v>
      </c>
    </row>
    <row r="59" spans="1:10" s="1023" customFormat="1">
      <c r="A59" s="1114"/>
      <c r="B59" s="1122"/>
      <c r="C59" s="1120"/>
      <c r="D59" s="1120"/>
      <c r="E59" s="1120"/>
      <c r="F59" s="1120"/>
      <c r="G59" s="1120"/>
      <c r="H59" s="1120"/>
      <c r="I59" s="1119"/>
      <c r="J59" s="1125"/>
    </row>
    <row r="60" spans="1:10">
      <c r="A60" s="1114"/>
      <c r="B60" s="1122" t="s">
        <v>4805</v>
      </c>
      <c r="C60" s="1120"/>
      <c r="D60" s="1120"/>
      <c r="E60" s="1120">
        <v>1</v>
      </c>
      <c r="F60" s="1120">
        <v>0.2</v>
      </c>
      <c r="G60" s="1120"/>
      <c r="H60" s="1120">
        <f>4*H44</f>
        <v>16</v>
      </c>
      <c r="I60" s="1119">
        <f>E60*F60*H60</f>
        <v>3.2</v>
      </c>
      <c r="J60" s="1118" t="s">
        <v>2647</v>
      </c>
    </row>
    <row r="61" spans="1:10" s="1023" customFormat="1">
      <c r="A61" s="1114"/>
      <c r="B61" s="1122"/>
      <c r="C61" s="1120"/>
      <c r="D61" s="1120"/>
      <c r="E61" s="1120"/>
      <c r="F61" s="1120"/>
      <c r="G61" s="1120"/>
      <c r="H61" s="1120"/>
      <c r="I61" s="1121"/>
      <c r="J61" s="1120"/>
    </row>
    <row r="62" spans="1:10">
      <c r="A62" s="1114">
        <f>A43+1</f>
        <v>2</v>
      </c>
      <c r="B62" s="1120" t="s">
        <v>4807</v>
      </c>
      <c r="C62" s="1120"/>
      <c r="D62" s="1120"/>
      <c r="E62" s="1120"/>
      <c r="F62" s="1120"/>
      <c r="G62" s="1120"/>
      <c r="H62" s="1120"/>
      <c r="I62" s="1121"/>
      <c r="J62" s="1120"/>
    </row>
    <row r="63" spans="1:10">
      <c r="A63" s="1114"/>
      <c r="B63" s="1122" t="s">
        <v>4806</v>
      </c>
      <c r="C63" s="1120"/>
      <c r="D63" s="1120"/>
      <c r="E63" s="1120">
        <v>0.7</v>
      </c>
      <c r="F63" s="1120">
        <v>0.7</v>
      </c>
      <c r="G63" s="1120">
        <v>0.1</v>
      </c>
      <c r="H63" s="1120">
        <v>5</v>
      </c>
      <c r="I63" s="1119">
        <f>E63*F63*G63*H63</f>
        <v>0.24499999999999997</v>
      </c>
      <c r="J63" s="1118" t="s">
        <v>2646</v>
      </c>
    </row>
    <row r="64" spans="1:10" s="1023" customFormat="1">
      <c r="A64" s="1114"/>
      <c r="B64" s="1122"/>
      <c r="C64" s="1120"/>
      <c r="D64" s="1120"/>
      <c r="E64" s="1120"/>
      <c r="F64" s="1120"/>
      <c r="G64" s="1120"/>
      <c r="H64" s="1120"/>
      <c r="I64" s="1121"/>
      <c r="J64" s="1120"/>
    </row>
    <row r="65" spans="1:10">
      <c r="A65" s="1114"/>
      <c r="B65" s="1122" t="s">
        <v>4803</v>
      </c>
      <c r="C65" s="1120"/>
      <c r="D65" s="1120"/>
      <c r="E65" s="1120">
        <v>0.7</v>
      </c>
      <c r="F65" s="1120">
        <v>0.7</v>
      </c>
      <c r="G65" s="1120">
        <v>0.2</v>
      </c>
      <c r="H65" s="1120">
        <f>H63</f>
        <v>5</v>
      </c>
      <c r="I65" s="1121">
        <f>E65*F65*G65*H65</f>
        <v>0.48999999999999994</v>
      </c>
      <c r="J65" s="1120" t="s">
        <v>2646</v>
      </c>
    </row>
    <row r="66" spans="1:10" s="1023" customFormat="1">
      <c r="A66" s="1114"/>
      <c r="B66" s="1122"/>
      <c r="C66" s="1120"/>
      <c r="D66" s="1120"/>
      <c r="E66" s="1120">
        <v>0.2</v>
      </c>
      <c r="F66" s="1120">
        <v>0.2</v>
      </c>
      <c r="G66" s="1120">
        <v>1.3</v>
      </c>
      <c r="H66" s="1120">
        <f>H63</f>
        <v>5</v>
      </c>
      <c r="I66" s="1121">
        <f>E66*F66*G66*H66</f>
        <v>0.26000000000000006</v>
      </c>
      <c r="J66" s="1120" t="s">
        <v>2646</v>
      </c>
    </row>
    <row r="67" spans="1:10" s="1023" customFormat="1">
      <c r="A67" s="1114"/>
      <c r="B67" s="1122"/>
      <c r="C67" s="1120"/>
      <c r="D67" s="1120"/>
      <c r="E67" s="1120"/>
      <c r="F67" s="1120"/>
      <c r="G67" s="1120"/>
      <c r="H67" s="1120"/>
      <c r="I67" s="1119">
        <f>SUM(I65:I66)</f>
        <v>0.75</v>
      </c>
      <c r="J67" s="1118" t="s">
        <v>2646</v>
      </c>
    </row>
    <row r="68" spans="1:10" s="1023" customFormat="1">
      <c r="A68" s="1114"/>
      <c r="B68" s="1122"/>
      <c r="C68" s="1120"/>
      <c r="D68" s="1120"/>
      <c r="E68" s="1120"/>
      <c r="F68" s="1120"/>
      <c r="G68" s="1120"/>
      <c r="H68" s="1120"/>
      <c r="I68" s="1121"/>
      <c r="J68" s="1120"/>
    </row>
    <row r="69" spans="1:10">
      <c r="A69" s="1114"/>
      <c r="B69" s="1122" t="s">
        <v>4804</v>
      </c>
      <c r="C69" s="1120"/>
      <c r="D69" s="1120" t="s">
        <v>4858</v>
      </c>
      <c r="E69" s="1120">
        <f>0.15+0.15+0.55+0.55+0.05</f>
        <v>1.4500000000000002</v>
      </c>
      <c r="F69" s="1120"/>
      <c r="G69" s="1120"/>
      <c r="H69" s="1120">
        <f>5*H63</f>
        <v>25</v>
      </c>
      <c r="I69" s="1121">
        <f>E69*H69</f>
        <v>36.250000000000007</v>
      </c>
      <c r="J69" s="1120" t="s">
        <v>2970</v>
      </c>
    </row>
    <row r="70" spans="1:10" s="1023" customFormat="1">
      <c r="A70" s="1114"/>
      <c r="B70" s="1122"/>
      <c r="C70" s="1120"/>
      <c r="D70" s="1120"/>
      <c r="E70" s="1120">
        <f>0.15+0.15+0.55+0.55+0.05</f>
        <v>1.4500000000000002</v>
      </c>
      <c r="F70" s="1120"/>
      <c r="G70" s="1120"/>
      <c r="H70" s="1120">
        <f>5*H63</f>
        <v>25</v>
      </c>
      <c r="I70" s="1121">
        <f>E70*H70</f>
        <v>36.250000000000007</v>
      </c>
      <c r="J70" s="1120" t="s">
        <v>2970</v>
      </c>
    </row>
    <row r="71" spans="1:10" s="1023" customFormat="1">
      <c r="A71" s="1114"/>
      <c r="B71" s="1122"/>
      <c r="C71" s="1120"/>
      <c r="D71" s="1120"/>
      <c r="E71" s="1120"/>
      <c r="F71" s="1120"/>
      <c r="G71" s="1120"/>
      <c r="H71" s="1120"/>
      <c r="I71" s="1121">
        <f>SUM(I69:I70)</f>
        <v>72.500000000000014</v>
      </c>
      <c r="J71" s="1120" t="s">
        <v>2970</v>
      </c>
    </row>
    <row r="72" spans="1:10" s="1023" customFormat="1">
      <c r="A72" s="1114"/>
      <c r="B72" s="1122"/>
      <c r="C72" s="1120"/>
      <c r="D72" s="1120"/>
      <c r="E72" s="1120"/>
      <c r="F72" s="1120"/>
      <c r="G72" s="1120" t="s">
        <v>4859</v>
      </c>
      <c r="H72" s="1123">
        <f>10.7/12</f>
        <v>0.89166666666666661</v>
      </c>
      <c r="I72" s="1123">
        <f>I71*H72</f>
        <v>64.645833333333343</v>
      </c>
      <c r="J72" s="1124" t="s">
        <v>773</v>
      </c>
    </row>
    <row r="73" spans="1:10" s="1023" customFormat="1">
      <c r="A73" s="1114"/>
      <c r="B73" s="1122"/>
      <c r="C73" s="1120"/>
      <c r="D73" s="1120"/>
      <c r="E73" s="1120"/>
      <c r="F73" s="1120"/>
      <c r="G73" s="1120"/>
      <c r="H73" s="1120"/>
      <c r="I73" s="1121"/>
      <c r="J73" s="1120"/>
    </row>
    <row r="74" spans="1:10" s="1023" customFormat="1">
      <c r="A74" s="1114"/>
      <c r="B74" s="1122"/>
      <c r="C74" s="1120"/>
      <c r="D74" s="1120" t="s">
        <v>4860</v>
      </c>
      <c r="E74" s="1120">
        <f>1.96+0.5</f>
        <v>2.46</v>
      </c>
      <c r="F74" s="1120"/>
      <c r="G74" s="1120"/>
      <c r="H74" s="1120">
        <f>4*H63</f>
        <v>20</v>
      </c>
      <c r="I74" s="1121">
        <f>E74*H74</f>
        <v>49.2</v>
      </c>
      <c r="J74" s="1120" t="s">
        <v>2970</v>
      </c>
    </row>
    <row r="75" spans="1:10" s="1023" customFormat="1">
      <c r="A75" s="1114"/>
      <c r="B75" s="1122"/>
      <c r="C75" s="1120"/>
      <c r="D75" s="1120"/>
      <c r="E75" s="1120"/>
      <c r="F75" s="1120"/>
      <c r="G75" s="1120" t="s">
        <v>4859</v>
      </c>
      <c r="H75" s="1123">
        <f>10.7/12</f>
        <v>0.89166666666666661</v>
      </c>
      <c r="I75" s="1123">
        <f>I74*H75</f>
        <v>43.87</v>
      </c>
      <c r="J75" s="1124" t="s">
        <v>773</v>
      </c>
    </row>
    <row r="76" spans="1:10" s="1023" customFormat="1">
      <c r="A76" s="1114"/>
      <c r="B76" s="1122"/>
      <c r="C76" s="1120"/>
      <c r="D76" s="1120"/>
      <c r="E76" s="1120"/>
      <c r="F76" s="1120"/>
      <c r="G76" s="1120"/>
      <c r="H76" s="1120"/>
      <c r="I76" s="1121"/>
      <c r="J76" s="1120"/>
    </row>
    <row r="77" spans="1:10" s="1023" customFormat="1">
      <c r="A77" s="1114"/>
      <c r="B77" s="1122"/>
      <c r="C77" s="1120"/>
      <c r="D77" s="1120"/>
      <c r="E77" s="1120"/>
      <c r="F77" s="1120"/>
      <c r="G77" s="1120" t="s">
        <v>4740</v>
      </c>
      <c r="H77" s="1120"/>
      <c r="I77" s="1119">
        <f>I75+I72</f>
        <v>108.51583333333335</v>
      </c>
      <c r="J77" s="1125" t="s">
        <v>773</v>
      </c>
    </row>
    <row r="78" spans="1:10" s="1023" customFormat="1">
      <c r="A78" s="1114"/>
      <c r="B78" s="1122"/>
      <c r="C78" s="1120"/>
      <c r="D78" s="1120"/>
      <c r="E78" s="1120"/>
      <c r="F78" s="1120"/>
      <c r="G78" s="1120"/>
      <c r="H78" s="1120"/>
      <c r="I78" s="1121"/>
      <c r="J78" s="1120"/>
    </row>
    <row r="79" spans="1:10">
      <c r="A79" s="1114"/>
      <c r="B79" s="1122" t="s">
        <v>4805</v>
      </c>
      <c r="C79" s="1120"/>
      <c r="D79" s="1120"/>
      <c r="E79" s="1120">
        <v>1</v>
      </c>
      <c r="F79" s="1120">
        <v>0.2</v>
      </c>
      <c r="G79" s="1120"/>
      <c r="H79" s="1120">
        <f>4*H63</f>
        <v>20</v>
      </c>
      <c r="I79" s="1119">
        <f>E79*F79*H79</f>
        <v>4</v>
      </c>
      <c r="J79" s="1118" t="s">
        <v>2647</v>
      </c>
    </row>
    <row r="80" spans="1:10" s="1023" customFormat="1">
      <c r="A80" s="1114"/>
      <c r="B80" s="1122"/>
      <c r="C80" s="1120"/>
      <c r="D80" s="1120"/>
      <c r="E80" s="1120"/>
      <c r="F80" s="1120"/>
      <c r="G80" s="1120"/>
      <c r="H80" s="1120"/>
      <c r="I80" s="1121"/>
      <c r="J80" s="1120"/>
    </row>
    <row r="81" spans="1:10">
      <c r="A81" s="1114">
        <f>A62+1</f>
        <v>3</v>
      </c>
      <c r="B81" s="1120" t="s">
        <v>4808</v>
      </c>
      <c r="C81" s="1120"/>
      <c r="D81" s="1120"/>
      <c r="E81" s="1120"/>
      <c r="F81" s="1120"/>
      <c r="G81" s="1120"/>
      <c r="H81" s="1120"/>
      <c r="I81" s="1121"/>
      <c r="J81" s="1120"/>
    </row>
    <row r="82" spans="1:10">
      <c r="A82" s="1114"/>
      <c r="B82" s="1122" t="s">
        <v>4806</v>
      </c>
      <c r="C82" s="1120"/>
      <c r="D82" s="1120"/>
      <c r="E82" s="1120">
        <v>0.7</v>
      </c>
      <c r="F82" s="1120">
        <v>0.7</v>
      </c>
      <c r="G82" s="1120">
        <v>0.1</v>
      </c>
      <c r="H82" s="1120">
        <f>H21</f>
        <v>3</v>
      </c>
      <c r="I82" s="1119">
        <f>E82*F82*G82*H82</f>
        <v>0.14699999999999999</v>
      </c>
      <c r="J82" s="1118" t="s">
        <v>2646</v>
      </c>
    </row>
    <row r="83" spans="1:10" s="1023" customFormat="1">
      <c r="A83" s="1114"/>
      <c r="B83" s="1122"/>
      <c r="C83" s="1120"/>
      <c r="D83" s="1120"/>
      <c r="E83" s="1120"/>
      <c r="F83" s="1120"/>
      <c r="G83" s="1120"/>
      <c r="H83" s="1120"/>
      <c r="I83" s="1121"/>
      <c r="J83" s="1120"/>
    </row>
    <row r="84" spans="1:10">
      <c r="A84" s="1114"/>
      <c r="B84" s="1122" t="s">
        <v>4803</v>
      </c>
      <c r="C84" s="1120"/>
      <c r="D84" s="1120"/>
      <c r="E84" s="1120">
        <v>0.7</v>
      </c>
      <c r="F84" s="1120">
        <v>0.7</v>
      </c>
      <c r="G84" s="1120">
        <v>0.2</v>
      </c>
      <c r="H84" s="1120">
        <f>H82</f>
        <v>3</v>
      </c>
      <c r="I84" s="1121">
        <f>E84*F84*G84*H84</f>
        <v>0.29399999999999998</v>
      </c>
      <c r="J84" s="1120" t="s">
        <v>2646</v>
      </c>
    </row>
    <row r="85" spans="1:10" s="1023" customFormat="1">
      <c r="A85" s="1114"/>
      <c r="B85" s="1122"/>
      <c r="C85" s="1120"/>
      <c r="D85" s="1120"/>
      <c r="E85" s="1120">
        <v>0.2</v>
      </c>
      <c r="F85" s="1120">
        <v>0.2</v>
      </c>
      <c r="G85" s="1120">
        <v>0.8</v>
      </c>
      <c r="H85" s="1120">
        <f>H82</f>
        <v>3</v>
      </c>
      <c r="I85" s="1121">
        <f>E85*F85*G85*H85</f>
        <v>9.600000000000003E-2</v>
      </c>
      <c r="J85" s="1120" t="s">
        <v>2646</v>
      </c>
    </row>
    <row r="86" spans="1:10" s="1023" customFormat="1">
      <c r="A86" s="1114"/>
      <c r="B86" s="1122"/>
      <c r="C86" s="1120"/>
      <c r="D86" s="1120"/>
      <c r="E86" s="1120"/>
      <c r="F86" s="1120"/>
      <c r="G86" s="1120"/>
      <c r="H86" s="1120"/>
      <c r="I86" s="1119">
        <f>SUM(I84:I85)</f>
        <v>0.39</v>
      </c>
      <c r="J86" s="1118" t="s">
        <v>2646</v>
      </c>
    </row>
    <row r="87" spans="1:10" s="1023" customFormat="1">
      <c r="A87" s="1114"/>
      <c r="B87" s="1122"/>
      <c r="C87" s="1120"/>
      <c r="D87" s="1120"/>
      <c r="E87" s="1120"/>
      <c r="F87" s="1120"/>
      <c r="G87" s="1120"/>
      <c r="H87" s="1120"/>
      <c r="I87" s="1121"/>
      <c r="J87" s="1120"/>
    </row>
    <row r="88" spans="1:10">
      <c r="A88" s="1114"/>
      <c r="B88" s="1122" t="s">
        <v>4804</v>
      </c>
      <c r="C88" s="1120"/>
      <c r="D88" s="1120" t="s">
        <v>4858</v>
      </c>
      <c r="E88" s="1120">
        <f>0.15+0.15+0.55+0.55+0.05</f>
        <v>1.4500000000000002</v>
      </c>
      <c r="F88" s="1120"/>
      <c r="G88" s="1120"/>
      <c r="H88" s="1120">
        <f>5*H82</f>
        <v>15</v>
      </c>
      <c r="I88" s="1121">
        <f>E88*H88</f>
        <v>21.750000000000004</v>
      </c>
      <c r="J88" s="1120" t="s">
        <v>2970</v>
      </c>
    </row>
    <row r="89" spans="1:10" s="1023" customFormat="1">
      <c r="A89" s="1114"/>
      <c r="B89" s="1122"/>
      <c r="C89" s="1120"/>
      <c r="D89" s="1120"/>
      <c r="E89" s="1120">
        <f>0.15+0.15+0.55+0.55+0.05</f>
        <v>1.4500000000000002</v>
      </c>
      <c r="F89" s="1120"/>
      <c r="G89" s="1120"/>
      <c r="H89" s="1120">
        <f>5*H82</f>
        <v>15</v>
      </c>
      <c r="I89" s="1121">
        <f>E89*H89</f>
        <v>21.750000000000004</v>
      </c>
      <c r="J89" s="1120" t="s">
        <v>2970</v>
      </c>
    </row>
    <row r="90" spans="1:10" s="1023" customFormat="1">
      <c r="A90" s="1114"/>
      <c r="B90" s="1122"/>
      <c r="C90" s="1120"/>
      <c r="D90" s="1120"/>
      <c r="E90" s="1120"/>
      <c r="F90" s="1120"/>
      <c r="G90" s="1120"/>
      <c r="H90" s="1120"/>
      <c r="I90" s="1121">
        <f>SUM(I88:I89)</f>
        <v>43.500000000000007</v>
      </c>
      <c r="J90" s="1120" t="s">
        <v>2970</v>
      </c>
    </row>
    <row r="91" spans="1:10" s="1023" customFormat="1">
      <c r="A91" s="1114"/>
      <c r="B91" s="1122"/>
      <c r="C91" s="1120"/>
      <c r="D91" s="1120"/>
      <c r="E91" s="1120"/>
      <c r="F91" s="1120"/>
      <c r="G91" s="1120" t="s">
        <v>4859</v>
      </c>
      <c r="H91" s="1123">
        <f>10.7/12</f>
        <v>0.89166666666666661</v>
      </c>
      <c r="I91" s="1123">
        <f>I90*H91</f>
        <v>38.787500000000001</v>
      </c>
      <c r="J91" s="1124" t="s">
        <v>773</v>
      </c>
    </row>
    <row r="92" spans="1:10" s="1023" customFormat="1">
      <c r="A92" s="1114"/>
      <c r="B92" s="1122"/>
      <c r="C92" s="1120"/>
      <c r="D92" s="1120"/>
      <c r="E92" s="1120"/>
      <c r="F92" s="1120"/>
      <c r="G92" s="1120"/>
      <c r="H92" s="1120"/>
      <c r="I92" s="1121"/>
      <c r="J92" s="1120"/>
    </row>
    <row r="93" spans="1:10" s="1023" customFormat="1">
      <c r="A93" s="1114"/>
      <c r="B93" s="1122"/>
      <c r="C93" s="1120"/>
      <c r="D93" s="1120" t="s">
        <v>4860</v>
      </c>
      <c r="E93" s="1120">
        <f>1.46+0.5</f>
        <v>1.96</v>
      </c>
      <c r="F93" s="1120"/>
      <c r="G93" s="1120"/>
      <c r="H93" s="1120">
        <f>4*H82</f>
        <v>12</v>
      </c>
      <c r="I93" s="1121">
        <f>E93*H93</f>
        <v>23.52</v>
      </c>
      <c r="J93" s="1120" t="s">
        <v>2970</v>
      </c>
    </row>
    <row r="94" spans="1:10" s="1023" customFormat="1">
      <c r="A94" s="1114"/>
      <c r="B94" s="1122"/>
      <c r="C94" s="1120"/>
      <c r="D94" s="1120"/>
      <c r="E94" s="1120"/>
      <c r="F94" s="1120"/>
      <c r="G94" s="1120" t="s">
        <v>4859</v>
      </c>
      <c r="H94" s="1123">
        <f>10.7/12</f>
        <v>0.89166666666666661</v>
      </c>
      <c r="I94" s="1123">
        <f>I93*H94</f>
        <v>20.971999999999998</v>
      </c>
      <c r="J94" s="1124" t="s">
        <v>773</v>
      </c>
    </row>
    <row r="95" spans="1:10" s="1023" customFormat="1">
      <c r="A95" s="1114"/>
      <c r="B95" s="1122"/>
      <c r="C95" s="1120"/>
      <c r="D95" s="1120"/>
      <c r="E95" s="1120"/>
      <c r="F95" s="1120"/>
      <c r="G95" s="1120"/>
      <c r="H95" s="1120"/>
      <c r="I95" s="1121"/>
      <c r="J95" s="1120"/>
    </row>
    <row r="96" spans="1:10" s="1023" customFormat="1">
      <c r="A96" s="1114"/>
      <c r="B96" s="1122"/>
      <c r="C96" s="1120"/>
      <c r="D96" s="1120"/>
      <c r="E96" s="1120"/>
      <c r="F96" s="1120"/>
      <c r="G96" s="1120" t="s">
        <v>4740</v>
      </c>
      <c r="H96" s="1120"/>
      <c r="I96" s="1119">
        <f>I94+I91</f>
        <v>59.759500000000003</v>
      </c>
      <c r="J96" s="1125" t="s">
        <v>773</v>
      </c>
    </row>
    <row r="97" spans="1:10" s="1023" customFormat="1">
      <c r="A97" s="1114"/>
      <c r="B97" s="1122"/>
      <c r="C97" s="1120"/>
      <c r="D97" s="1120"/>
      <c r="E97" s="1120"/>
      <c r="F97" s="1120"/>
      <c r="G97" s="1120"/>
      <c r="H97" s="1120"/>
      <c r="I97" s="1121"/>
      <c r="J97" s="1120"/>
    </row>
    <row r="98" spans="1:10">
      <c r="A98" s="1114"/>
      <c r="B98" s="1122" t="s">
        <v>4805</v>
      </c>
      <c r="C98" s="1120"/>
      <c r="D98" s="1120"/>
      <c r="E98" s="1120">
        <v>1</v>
      </c>
      <c r="F98" s="1120">
        <v>0.2</v>
      </c>
      <c r="G98" s="1120"/>
      <c r="H98" s="1120">
        <f>4*H82</f>
        <v>12</v>
      </c>
      <c r="I98" s="1119">
        <f>E98*F98*H98</f>
        <v>2.4000000000000004</v>
      </c>
      <c r="J98" s="1118" t="s">
        <v>2647</v>
      </c>
    </row>
    <row r="99" spans="1:10" s="1023" customFormat="1">
      <c r="A99" s="1114"/>
      <c r="B99" s="1122"/>
      <c r="C99" s="1120"/>
      <c r="D99" s="1120"/>
      <c r="E99" s="1120"/>
      <c r="F99" s="1120"/>
      <c r="G99" s="1120"/>
      <c r="H99" s="1120"/>
      <c r="I99" s="1121"/>
      <c r="J99" s="1120"/>
    </row>
    <row r="100" spans="1:10">
      <c r="A100" s="1114">
        <f>A81+1</f>
        <v>4</v>
      </c>
      <c r="B100" s="1120" t="s">
        <v>4809</v>
      </c>
      <c r="C100" s="1120"/>
      <c r="D100" s="1120"/>
      <c r="E100" s="1120"/>
      <c r="F100" s="1120"/>
      <c r="G100" s="1120"/>
      <c r="H100" s="1120"/>
      <c r="I100" s="1121"/>
      <c r="J100" s="1120"/>
    </row>
    <row r="101" spans="1:10">
      <c r="A101" s="1114"/>
      <c r="B101" s="1122" t="s">
        <v>4806</v>
      </c>
      <c r="C101" s="1120"/>
      <c r="D101" s="1120"/>
      <c r="E101" s="1120">
        <v>0.7</v>
      </c>
      <c r="F101" s="1120">
        <v>0.7</v>
      </c>
      <c r="G101" s="1120">
        <v>0.1</v>
      </c>
      <c r="H101" s="1120">
        <f>H23</f>
        <v>4</v>
      </c>
      <c r="I101" s="1119">
        <f>E101*F101*G101*H101</f>
        <v>0.19599999999999998</v>
      </c>
      <c r="J101" s="1118" t="s">
        <v>2646</v>
      </c>
    </row>
    <row r="102" spans="1:10" s="1023" customFormat="1">
      <c r="A102" s="1114"/>
      <c r="B102" s="1122"/>
      <c r="C102" s="1120"/>
      <c r="D102" s="1120"/>
      <c r="E102" s="1120"/>
      <c r="F102" s="1120"/>
      <c r="G102" s="1120"/>
      <c r="H102" s="1120"/>
      <c r="I102" s="1121"/>
      <c r="J102" s="1120"/>
    </row>
    <row r="103" spans="1:10">
      <c r="A103" s="1114"/>
      <c r="B103" s="1122" t="s">
        <v>4803</v>
      </c>
      <c r="C103" s="1120"/>
      <c r="D103" s="1120"/>
      <c r="E103" s="1120">
        <v>0.7</v>
      </c>
      <c r="F103" s="1120">
        <v>0.7</v>
      </c>
      <c r="G103" s="1120">
        <v>0.2</v>
      </c>
      <c r="H103" s="1120">
        <f>H101</f>
        <v>4</v>
      </c>
      <c r="I103" s="1121">
        <f>E103*F103*G103*H103</f>
        <v>0.39199999999999996</v>
      </c>
      <c r="J103" s="1120" t="s">
        <v>2646</v>
      </c>
    </row>
    <row r="104" spans="1:10" s="1023" customFormat="1">
      <c r="A104" s="1114"/>
      <c r="B104" s="1122"/>
      <c r="C104" s="1120"/>
      <c r="D104" s="1120"/>
      <c r="E104" s="1120">
        <v>0.2</v>
      </c>
      <c r="F104" s="1120">
        <v>0.2</v>
      </c>
      <c r="G104" s="1120">
        <v>0.8</v>
      </c>
      <c r="H104" s="1120">
        <f>H101</f>
        <v>4</v>
      </c>
      <c r="I104" s="1121">
        <f>E104*F104*G104*H104</f>
        <v>0.12800000000000003</v>
      </c>
      <c r="J104" s="1120" t="s">
        <v>2646</v>
      </c>
    </row>
    <row r="105" spans="1:10" s="1023" customFormat="1">
      <c r="A105" s="1114"/>
      <c r="B105" s="1122"/>
      <c r="C105" s="1120"/>
      <c r="D105" s="1120"/>
      <c r="E105" s="1120"/>
      <c r="F105" s="1120"/>
      <c r="G105" s="1120"/>
      <c r="H105" s="1120"/>
      <c r="I105" s="1119">
        <f>SUM(I103:I104)</f>
        <v>0.52</v>
      </c>
      <c r="J105" s="1118" t="s">
        <v>2646</v>
      </c>
    </row>
    <row r="106" spans="1:10" s="1025" customFormat="1">
      <c r="A106" s="1114"/>
      <c r="B106" s="1122"/>
      <c r="C106" s="1120"/>
      <c r="D106" s="1120"/>
      <c r="E106" s="1120"/>
      <c r="F106" s="1120"/>
      <c r="G106" s="1120"/>
      <c r="H106" s="1120"/>
      <c r="I106" s="1119"/>
      <c r="J106" s="1118"/>
    </row>
    <row r="107" spans="1:10">
      <c r="A107" s="1114"/>
      <c r="B107" s="1122" t="s">
        <v>4804</v>
      </c>
      <c r="C107" s="1120"/>
      <c r="D107" s="1120" t="s">
        <v>4858</v>
      </c>
      <c r="E107" s="1120">
        <f>0.15+0.15+0.55+0.55+0.05</f>
        <v>1.4500000000000002</v>
      </c>
      <c r="F107" s="1120"/>
      <c r="G107" s="1120"/>
      <c r="H107" s="1120">
        <f>5*H101</f>
        <v>20</v>
      </c>
      <c r="I107" s="1121">
        <f>E107*H107</f>
        <v>29.000000000000004</v>
      </c>
      <c r="J107" s="1120" t="s">
        <v>2970</v>
      </c>
    </row>
    <row r="108" spans="1:10" s="1023" customFormat="1">
      <c r="A108" s="1114"/>
      <c r="B108" s="1122"/>
      <c r="C108" s="1120"/>
      <c r="D108" s="1120"/>
      <c r="E108" s="1120">
        <f>0.15+0.15+0.55+0.55+0.05</f>
        <v>1.4500000000000002</v>
      </c>
      <c r="F108" s="1120"/>
      <c r="G108" s="1120"/>
      <c r="H108" s="1120">
        <f>5*H101</f>
        <v>20</v>
      </c>
      <c r="I108" s="1121">
        <f>E108*H108</f>
        <v>29.000000000000004</v>
      </c>
      <c r="J108" s="1120" t="s">
        <v>2970</v>
      </c>
    </row>
    <row r="109" spans="1:10" s="1023" customFormat="1">
      <c r="A109" s="1114"/>
      <c r="B109" s="1122"/>
      <c r="C109" s="1120"/>
      <c r="D109" s="1120"/>
      <c r="E109" s="1120"/>
      <c r="F109" s="1120"/>
      <c r="G109" s="1120"/>
      <c r="H109" s="1120"/>
      <c r="I109" s="1121">
        <f>SUM(I107:I108)</f>
        <v>58.000000000000007</v>
      </c>
      <c r="J109" s="1120" t="s">
        <v>2970</v>
      </c>
    </row>
    <row r="110" spans="1:10" s="1023" customFormat="1">
      <c r="A110" s="1114"/>
      <c r="B110" s="1122"/>
      <c r="C110" s="1120"/>
      <c r="D110" s="1120"/>
      <c r="E110" s="1120"/>
      <c r="F110" s="1120"/>
      <c r="G110" s="1120" t="s">
        <v>4859</v>
      </c>
      <c r="H110" s="1123">
        <f>10.7/12</f>
        <v>0.89166666666666661</v>
      </c>
      <c r="I110" s="1123">
        <f>I109*H110</f>
        <v>51.716666666666669</v>
      </c>
      <c r="J110" s="1124" t="s">
        <v>773</v>
      </c>
    </row>
    <row r="111" spans="1:10" s="1023" customFormat="1">
      <c r="A111" s="1114"/>
      <c r="B111" s="1122"/>
      <c r="C111" s="1120"/>
      <c r="D111" s="1120"/>
      <c r="E111" s="1120"/>
      <c r="F111" s="1120"/>
      <c r="G111" s="1120"/>
      <c r="H111" s="1120"/>
      <c r="I111" s="1121"/>
      <c r="J111" s="1120"/>
    </row>
    <row r="112" spans="1:10" s="1023" customFormat="1">
      <c r="A112" s="1114"/>
      <c r="B112" s="1122"/>
      <c r="C112" s="1120"/>
      <c r="D112" s="1120" t="s">
        <v>4860</v>
      </c>
      <c r="E112" s="1120">
        <f>1.46+0.5</f>
        <v>1.96</v>
      </c>
      <c r="F112" s="1120"/>
      <c r="G112" s="1120"/>
      <c r="H112" s="1120">
        <f>4*H101</f>
        <v>16</v>
      </c>
      <c r="I112" s="1121">
        <f>E112*H112</f>
        <v>31.36</v>
      </c>
      <c r="J112" s="1120" t="s">
        <v>2970</v>
      </c>
    </row>
    <row r="113" spans="1:10" s="1023" customFormat="1">
      <c r="A113" s="1114"/>
      <c r="B113" s="1122"/>
      <c r="C113" s="1120"/>
      <c r="D113" s="1120"/>
      <c r="E113" s="1120"/>
      <c r="F113" s="1120"/>
      <c r="G113" s="1120" t="s">
        <v>4859</v>
      </c>
      <c r="H113" s="1123">
        <f>10.7/12</f>
        <v>0.89166666666666661</v>
      </c>
      <c r="I113" s="1123">
        <f>I112*H113</f>
        <v>27.962666666666664</v>
      </c>
      <c r="J113" s="1124" t="s">
        <v>773</v>
      </c>
    </row>
    <row r="114" spans="1:10" s="1023" customFormat="1">
      <c r="A114" s="1114"/>
      <c r="B114" s="1122"/>
      <c r="C114" s="1120"/>
      <c r="D114" s="1120"/>
      <c r="E114" s="1120"/>
      <c r="F114" s="1120"/>
      <c r="G114" s="1120"/>
      <c r="H114" s="1120"/>
      <c r="I114" s="1121"/>
      <c r="J114" s="1120"/>
    </row>
    <row r="115" spans="1:10" s="1023" customFormat="1">
      <c r="A115" s="1114"/>
      <c r="B115" s="1122"/>
      <c r="C115" s="1120"/>
      <c r="D115" s="1120"/>
      <c r="E115" s="1120"/>
      <c r="F115" s="1120"/>
      <c r="G115" s="1120" t="s">
        <v>4740</v>
      </c>
      <c r="H115" s="1120"/>
      <c r="I115" s="1119">
        <f>I113+I110</f>
        <v>79.679333333333332</v>
      </c>
      <c r="J115" s="1125" t="s">
        <v>773</v>
      </c>
    </row>
    <row r="116" spans="1:10" s="1023" customFormat="1">
      <c r="A116" s="1114"/>
      <c r="B116" s="1122"/>
      <c r="C116" s="1120"/>
      <c r="D116" s="1120"/>
      <c r="E116" s="1120"/>
      <c r="F116" s="1120"/>
      <c r="G116" s="1120"/>
      <c r="H116" s="1120"/>
      <c r="I116" s="1121"/>
      <c r="J116" s="1120"/>
    </row>
    <row r="117" spans="1:10">
      <c r="A117" s="1114"/>
      <c r="B117" s="1122" t="s">
        <v>4805</v>
      </c>
      <c r="C117" s="1120"/>
      <c r="D117" s="1120"/>
      <c r="E117" s="1120">
        <v>1</v>
      </c>
      <c r="F117" s="1120">
        <v>0.2</v>
      </c>
      <c r="G117" s="1120"/>
      <c r="H117" s="1120">
        <f>4*H101</f>
        <v>16</v>
      </c>
      <c r="I117" s="1119">
        <f>E117*F117*H117</f>
        <v>3.2</v>
      </c>
      <c r="J117" s="1118" t="s">
        <v>2647</v>
      </c>
    </row>
    <row r="118" spans="1:10">
      <c r="A118" s="1114"/>
      <c r="B118" s="1120"/>
      <c r="C118" s="1120"/>
      <c r="D118" s="1120"/>
      <c r="E118" s="1120"/>
      <c r="F118" s="1120"/>
      <c r="G118" s="1120"/>
      <c r="H118" s="1120"/>
      <c r="I118" s="1121"/>
      <c r="J118" s="1120"/>
    </row>
    <row r="119" spans="1:10">
      <c r="A119" s="1114" t="s">
        <v>4777</v>
      </c>
      <c r="B119" s="1120" t="s">
        <v>4811</v>
      </c>
      <c r="C119" s="1120"/>
      <c r="D119" s="1120"/>
      <c r="E119" s="1120"/>
      <c r="F119" s="1120"/>
      <c r="G119" s="1120"/>
      <c r="H119" s="1120"/>
      <c r="I119" s="1121"/>
      <c r="J119" s="1120"/>
    </row>
    <row r="120" spans="1:10">
      <c r="A120" s="1114">
        <v>1</v>
      </c>
      <c r="B120" s="1122" t="s">
        <v>4813</v>
      </c>
      <c r="C120" s="1120"/>
      <c r="D120" s="1120"/>
      <c r="E120" s="1120"/>
      <c r="F120" s="1120"/>
      <c r="G120" s="1120"/>
      <c r="H120" s="1120"/>
      <c r="I120" s="1121"/>
      <c r="J120" s="1120"/>
    </row>
    <row r="121" spans="1:10">
      <c r="A121" s="1114"/>
      <c r="B121" s="1122" t="s">
        <v>4812</v>
      </c>
      <c r="C121" s="1120"/>
      <c r="D121" s="1120"/>
      <c r="E121" s="1120">
        <f>E25</f>
        <v>3.3</v>
      </c>
      <c r="F121" s="1120">
        <f>0.5</f>
        <v>0.5</v>
      </c>
      <c r="G121" s="1120">
        <v>0.1</v>
      </c>
      <c r="H121" s="1120">
        <v>2</v>
      </c>
      <c r="I121" s="1121">
        <f>E121*F121*G121*H121</f>
        <v>0.33</v>
      </c>
      <c r="J121" s="1120" t="s">
        <v>2646</v>
      </c>
    </row>
    <row r="122" spans="1:10" s="1023" customFormat="1">
      <c r="A122" s="1114"/>
      <c r="B122" s="1122"/>
      <c r="C122" s="1120"/>
      <c r="D122" s="1120"/>
      <c r="E122" s="1120">
        <f>E26</f>
        <v>2.8</v>
      </c>
      <c r="F122" s="1120">
        <f>0.5</f>
        <v>0.5</v>
      </c>
      <c r="G122" s="1120">
        <v>0.1</v>
      </c>
      <c r="H122" s="1120">
        <v>1</v>
      </c>
      <c r="I122" s="1121">
        <f>E122*F122*G122*H122</f>
        <v>0.13999999999999999</v>
      </c>
      <c r="J122" s="1120" t="s">
        <v>2646</v>
      </c>
    </row>
    <row r="123" spans="1:10" s="1023" customFormat="1">
      <c r="A123" s="1114"/>
      <c r="B123" s="1122"/>
      <c r="C123" s="1120"/>
      <c r="D123" s="1120"/>
      <c r="E123" s="1120"/>
      <c r="F123" s="1120"/>
      <c r="G123" s="1120"/>
      <c r="H123" s="1120"/>
      <c r="I123" s="1119">
        <f>SUM(I121:I122)</f>
        <v>0.47</v>
      </c>
      <c r="J123" s="1118" t="s">
        <v>2646</v>
      </c>
    </row>
    <row r="124" spans="1:10" s="1023" customFormat="1">
      <c r="A124" s="1114"/>
      <c r="B124" s="1122"/>
      <c r="C124" s="1120"/>
      <c r="D124" s="1120"/>
      <c r="E124" s="1120"/>
      <c r="F124" s="1120"/>
      <c r="G124" s="1120"/>
      <c r="H124" s="1120"/>
      <c r="I124" s="1121"/>
      <c r="J124" s="1120"/>
    </row>
    <row r="125" spans="1:10">
      <c r="A125" s="1114"/>
      <c r="B125" s="1122" t="s">
        <v>4814</v>
      </c>
      <c r="C125" s="1120"/>
      <c r="D125" s="1120"/>
      <c r="E125" s="1120">
        <f>E121</f>
        <v>3.3</v>
      </c>
      <c r="F125" s="1120">
        <f>(0.5+0.3)/2</f>
        <v>0.4</v>
      </c>
      <c r="G125" s="1120">
        <v>0.5</v>
      </c>
      <c r="H125" s="1120">
        <v>2</v>
      </c>
      <c r="I125" s="1121">
        <f>E125*F125*G125*H125</f>
        <v>1.32</v>
      </c>
      <c r="J125" s="1120" t="s">
        <v>2646</v>
      </c>
    </row>
    <row r="126" spans="1:10" s="1023" customFormat="1">
      <c r="A126" s="1114"/>
      <c r="B126" s="1122"/>
      <c r="C126" s="1120"/>
      <c r="D126" s="1120"/>
      <c r="E126" s="1120">
        <f>E122</f>
        <v>2.8</v>
      </c>
      <c r="F126" s="1120">
        <f>0.5</f>
        <v>0.5</v>
      </c>
      <c r="G126" s="1120">
        <v>0.5</v>
      </c>
      <c r="H126" s="1120">
        <v>1</v>
      </c>
      <c r="I126" s="1121">
        <f>E126*F126*G126*H126</f>
        <v>0.7</v>
      </c>
      <c r="J126" s="1120" t="s">
        <v>2646</v>
      </c>
    </row>
    <row r="127" spans="1:10" s="1023" customFormat="1">
      <c r="A127" s="1114"/>
      <c r="B127" s="1122"/>
      <c r="C127" s="1120"/>
      <c r="D127" s="1120"/>
      <c r="E127" s="1120"/>
      <c r="F127" s="1120"/>
      <c r="G127" s="1120"/>
      <c r="H127" s="1120"/>
      <c r="I127" s="1119">
        <f>SUM(I125:I126)</f>
        <v>2.02</v>
      </c>
      <c r="J127" s="1118" t="s">
        <v>2646</v>
      </c>
    </row>
    <row r="128" spans="1:10" s="1023" customFormat="1">
      <c r="A128" s="1114"/>
      <c r="B128" s="1122"/>
      <c r="C128" s="1120"/>
      <c r="D128" s="1120"/>
      <c r="E128" s="1120"/>
      <c r="F128" s="1120"/>
      <c r="G128" s="1120"/>
      <c r="H128" s="1120"/>
      <c r="I128" s="1121"/>
      <c r="J128" s="1120"/>
    </row>
    <row r="129" spans="1:10">
      <c r="A129" s="1114"/>
      <c r="B129" s="1122" t="s">
        <v>4815</v>
      </c>
      <c r="C129" s="1120"/>
      <c r="D129" s="1120"/>
      <c r="E129" s="1120">
        <f>E125</f>
        <v>3.3</v>
      </c>
      <c r="F129" s="1120">
        <f>0.1+0.54</f>
        <v>0.64</v>
      </c>
      <c r="G129" s="1120"/>
      <c r="H129" s="1120">
        <v>2</v>
      </c>
      <c r="I129" s="1121">
        <f>E129*F129*H129</f>
        <v>4.2240000000000002</v>
      </c>
      <c r="J129" s="1120" t="s">
        <v>2647</v>
      </c>
    </row>
    <row r="130" spans="1:10" s="1023" customFormat="1">
      <c r="A130" s="1114"/>
      <c r="B130" s="1122"/>
      <c r="C130" s="1120"/>
      <c r="D130" s="1120"/>
      <c r="E130" s="1120">
        <f>E126</f>
        <v>2.8</v>
      </c>
      <c r="F130" s="1120">
        <f>F129</f>
        <v>0.64</v>
      </c>
      <c r="G130" s="1120"/>
      <c r="H130" s="1120">
        <v>1</v>
      </c>
      <c r="I130" s="1121">
        <f>E130*F130*H130</f>
        <v>1.7919999999999998</v>
      </c>
      <c r="J130" s="1120" t="s">
        <v>2647</v>
      </c>
    </row>
    <row r="131" spans="1:10" s="1023" customFormat="1">
      <c r="A131" s="1114"/>
      <c r="B131" s="1122"/>
      <c r="C131" s="1120"/>
      <c r="D131" s="1120"/>
      <c r="E131" s="1120"/>
      <c r="F131" s="1120"/>
      <c r="G131" s="1120"/>
      <c r="H131" s="1120"/>
      <c r="I131" s="1119">
        <f>SUM(I129:I130)</f>
        <v>6.016</v>
      </c>
      <c r="J131" s="1118" t="s">
        <v>2647</v>
      </c>
    </row>
    <row r="132" spans="1:10" s="1023" customFormat="1">
      <c r="A132" s="1114"/>
      <c r="B132" s="1122"/>
      <c r="C132" s="1120"/>
      <c r="D132" s="1120"/>
      <c r="E132" s="1120"/>
      <c r="F132" s="1120"/>
      <c r="G132" s="1120"/>
      <c r="H132" s="1120"/>
      <c r="I132" s="1121"/>
      <c r="J132" s="1120"/>
    </row>
    <row r="133" spans="1:10">
      <c r="A133" s="1114">
        <v>2</v>
      </c>
      <c r="B133" s="1122" t="s">
        <v>4816</v>
      </c>
      <c r="C133" s="1120"/>
      <c r="D133" s="1120"/>
      <c r="E133" s="1120"/>
      <c r="F133" s="1120"/>
      <c r="G133" s="1120"/>
      <c r="H133" s="1120"/>
      <c r="I133" s="1121"/>
      <c r="J133" s="1120"/>
    </row>
    <row r="134" spans="1:10">
      <c r="A134" s="1114"/>
      <c r="B134" s="1122" t="s">
        <v>4812</v>
      </c>
      <c r="C134" s="1120"/>
      <c r="D134" s="1120"/>
      <c r="E134" s="1120">
        <f>E29</f>
        <v>2.8</v>
      </c>
      <c r="F134" s="1120">
        <f>0.5</f>
        <v>0.5</v>
      </c>
      <c r="G134" s="1120">
        <v>0.1</v>
      </c>
      <c r="H134" s="1120">
        <f>H29</f>
        <v>5</v>
      </c>
      <c r="I134" s="1121">
        <f>E134*F134*G134*H134</f>
        <v>0.7</v>
      </c>
      <c r="J134" s="1120" t="s">
        <v>2646</v>
      </c>
    </row>
    <row r="135" spans="1:10" s="1023" customFormat="1">
      <c r="A135" s="1114"/>
      <c r="B135" s="1122"/>
      <c r="C135" s="1120"/>
      <c r="D135" s="1120"/>
      <c r="E135" s="1120"/>
      <c r="F135" s="1120"/>
      <c r="G135" s="1120"/>
      <c r="H135" s="1120"/>
      <c r="I135" s="1119">
        <f>SUM(I134:I134)</f>
        <v>0.7</v>
      </c>
      <c r="J135" s="1118" t="s">
        <v>2646</v>
      </c>
    </row>
    <row r="136" spans="1:10" s="1023" customFormat="1">
      <c r="A136" s="1114"/>
      <c r="B136" s="1122"/>
      <c r="C136" s="1120"/>
      <c r="D136" s="1120"/>
      <c r="E136" s="1120"/>
      <c r="F136" s="1120"/>
      <c r="G136" s="1120"/>
      <c r="H136" s="1120"/>
      <c r="I136" s="1121"/>
      <c r="J136" s="1120"/>
    </row>
    <row r="137" spans="1:10">
      <c r="A137" s="1114"/>
      <c r="B137" s="1122" t="s">
        <v>4814</v>
      </c>
      <c r="C137" s="1120"/>
      <c r="D137" s="1120"/>
      <c r="E137" s="1120">
        <f>E134</f>
        <v>2.8</v>
      </c>
      <c r="F137" s="1120">
        <f>(0.5+0.3)/2</f>
        <v>0.4</v>
      </c>
      <c r="G137" s="1120">
        <v>0.5</v>
      </c>
      <c r="H137" s="1120">
        <f>H134</f>
        <v>5</v>
      </c>
      <c r="I137" s="1119">
        <f>E137*F137*G137*H137</f>
        <v>2.8</v>
      </c>
      <c r="J137" s="1118" t="s">
        <v>2646</v>
      </c>
    </row>
    <row r="138" spans="1:10" s="1023" customFormat="1">
      <c r="A138" s="1114"/>
      <c r="B138" s="1122"/>
      <c r="C138" s="1120"/>
      <c r="D138" s="1120"/>
      <c r="E138" s="1120"/>
      <c r="F138" s="1120"/>
      <c r="G138" s="1120"/>
      <c r="H138" s="1120"/>
      <c r="I138" s="1121"/>
      <c r="J138" s="1120"/>
    </row>
    <row r="139" spans="1:10">
      <c r="A139" s="1114"/>
      <c r="B139" s="1122" t="s">
        <v>4815</v>
      </c>
      <c r="C139" s="1120"/>
      <c r="D139" s="1120"/>
      <c r="E139" s="1120">
        <f>E137</f>
        <v>2.8</v>
      </c>
      <c r="F139" s="1120">
        <f>F129</f>
        <v>0.64</v>
      </c>
      <c r="G139" s="1120"/>
      <c r="H139" s="1120">
        <f>H137</f>
        <v>5</v>
      </c>
      <c r="I139" s="1119">
        <f>E139*F139*H139</f>
        <v>8.9599999999999991</v>
      </c>
      <c r="J139" s="1118" t="s">
        <v>2647</v>
      </c>
    </row>
    <row r="140" spans="1:10">
      <c r="A140" s="1114"/>
      <c r="B140" s="1120"/>
      <c r="C140" s="1120"/>
      <c r="D140" s="1120"/>
      <c r="E140" s="1120"/>
      <c r="F140" s="1120"/>
      <c r="G140" s="1120"/>
      <c r="H140" s="1120"/>
      <c r="I140" s="1121"/>
      <c r="J140" s="1120"/>
    </row>
    <row r="141" spans="1:10">
      <c r="A141" s="1114" t="s">
        <v>4776</v>
      </c>
      <c r="B141" s="1120" t="s">
        <v>4801</v>
      </c>
      <c r="C141" s="1120"/>
      <c r="D141" s="1120"/>
      <c r="E141" s="1120"/>
      <c r="F141" s="1120"/>
      <c r="G141" s="1120"/>
      <c r="H141" s="1120"/>
      <c r="I141" s="1121"/>
      <c r="J141" s="1120"/>
    </row>
    <row r="142" spans="1:10">
      <c r="A142" s="1114">
        <v>1</v>
      </c>
      <c r="B142" s="1120" t="s">
        <v>4818</v>
      </c>
      <c r="C142" s="1120"/>
      <c r="D142" s="1120"/>
      <c r="E142" s="1120"/>
      <c r="F142" s="1120"/>
      <c r="G142" s="1120"/>
      <c r="H142" s="1120"/>
      <c r="I142" s="1121"/>
      <c r="J142" s="1120"/>
    </row>
    <row r="143" spans="1:10">
      <c r="A143" s="1114"/>
      <c r="B143" s="1122" t="s">
        <v>4819</v>
      </c>
      <c r="C143" s="1120"/>
      <c r="D143" s="1120"/>
      <c r="E143" s="1120">
        <v>3.3</v>
      </c>
      <c r="F143" s="1120">
        <v>0.2</v>
      </c>
      <c r="G143" s="1120">
        <v>0.3</v>
      </c>
      <c r="H143" s="1120">
        <v>4</v>
      </c>
      <c r="I143" s="1121">
        <f>E143*F143*G143*H143</f>
        <v>0.79200000000000004</v>
      </c>
      <c r="J143" s="1120" t="s">
        <v>2646</v>
      </c>
    </row>
    <row r="144" spans="1:10" s="1023" customFormat="1">
      <c r="A144" s="1114"/>
      <c r="B144" s="1122"/>
      <c r="C144" s="1120"/>
      <c r="D144" s="1120"/>
      <c r="E144" s="1120">
        <v>2.8</v>
      </c>
      <c r="F144" s="1120">
        <v>0.2</v>
      </c>
      <c r="G144" s="1120">
        <v>0.3</v>
      </c>
      <c r="H144" s="1120">
        <v>14</v>
      </c>
      <c r="I144" s="1121">
        <f>E144*F144*G144*H144</f>
        <v>2.3519999999999999</v>
      </c>
      <c r="J144" s="1120" t="s">
        <v>2646</v>
      </c>
    </row>
    <row r="145" spans="1:12" s="1023" customFormat="1">
      <c r="A145" s="1114"/>
      <c r="B145" s="1122"/>
      <c r="C145" s="1120"/>
      <c r="D145" s="1120"/>
      <c r="E145" s="1120"/>
      <c r="F145" s="1120"/>
      <c r="G145" s="1120"/>
      <c r="H145" s="1120"/>
      <c r="I145" s="1119">
        <f>SUM(I143:I144)</f>
        <v>3.1440000000000001</v>
      </c>
      <c r="J145" s="1118" t="s">
        <v>2646</v>
      </c>
    </row>
    <row r="146" spans="1:12" s="1023" customFormat="1">
      <c r="A146" s="1114"/>
      <c r="B146" s="1122"/>
      <c r="C146" s="1120"/>
      <c r="D146" s="1120"/>
      <c r="E146" s="1120"/>
      <c r="F146" s="1120"/>
      <c r="G146" s="1120"/>
      <c r="H146" s="1120"/>
      <c r="I146" s="1121"/>
      <c r="J146" s="1120"/>
    </row>
    <row r="147" spans="1:12">
      <c r="A147" s="1114"/>
      <c r="B147" s="1122" t="s">
        <v>4820</v>
      </c>
      <c r="C147" s="1120"/>
      <c r="D147" s="1120" t="s">
        <v>4861</v>
      </c>
      <c r="E147" s="1120">
        <f>E143*4</f>
        <v>13.2</v>
      </c>
      <c r="F147" s="1120"/>
      <c r="G147" s="1120"/>
      <c r="H147" s="1123">
        <f>H143</f>
        <v>4</v>
      </c>
      <c r="I147" s="1123">
        <f>E147*H147</f>
        <v>52.8</v>
      </c>
      <c r="J147" s="1126" t="s">
        <v>2970</v>
      </c>
    </row>
    <row r="148" spans="1:12" s="1023" customFormat="1">
      <c r="A148" s="1114"/>
      <c r="B148" s="1122"/>
      <c r="C148" s="1120"/>
      <c r="D148" s="1120"/>
      <c r="E148" s="1120"/>
      <c r="F148" s="1120"/>
      <c r="G148" s="1120" t="s">
        <v>4859</v>
      </c>
      <c r="H148" s="1123">
        <f>10.7/12</f>
        <v>0.89166666666666661</v>
      </c>
      <c r="I148" s="1123">
        <f>I147*H148</f>
        <v>47.079999999999991</v>
      </c>
      <c r="J148" s="1124" t="s">
        <v>773</v>
      </c>
    </row>
    <row r="149" spans="1:12" s="1023" customFormat="1">
      <c r="A149" s="1114"/>
      <c r="B149" s="1122"/>
      <c r="C149" s="1120"/>
      <c r="D149" s="1120"/>
      <c r="E149" s="1120"/>
      <c r="F149" s="1120"/>
      <c r="G149" s="1120"/>
      <c r="H149" s="1120"/>
      <c r="I149" s="1121"/>
      <c r="J149" s="1120"/>
    </row>
    <row r="150" spans="1:12" s="1023" customFormat="1">
      <c r="A150" s="1114"/>
      <c r="B150" s="1122"/>
      <c r="C150" s="1120"/>
      <c r="D150" s="1120"/>
      <c r="E150" s="1120">
        <f>E144*4</f>
        <v>11.2</v>
      </c>
      <c r="F150" s="1120"/>
      <c r="G150" s="1120"/>
      <c r="H150" s="1123">
        <f>H144</f>
        <v>14</v>
      </c>
      <c r="I150" s="1123">
        <f>E150*H150</f>
        <v>156.79999999999998</v>
      </c>
      <c r="J150" s="1126" t="s">
        <v>2970</v>
      </c>
    </row>
    <row r="151" spans="1:12" s="1023" customFormat="1">
      <c r="A151" s="1114"/>
      <c r="B151" s="1122"/>
      <c r="C151" s="1120"/>
      <c r="D151" s="1120"/>
      <c r="E151" s="1120"/>
      <c r="F151" s="1120"/>
      <c r="G151" s="1120" t="s">
        <v>4859</v>
      </c>
      <c r="H151" s="1123">
        <f>10.7/12</f>
        <v>0.89166666666666661</v>
      </c>
      <c r="I151" s="1123">
        <f>I150*H151</f>
        <v>139.8133333333333</v>
      </c>
      <c r="J151" s="1124" t="s">
        <v>773</v>
      </c>
    </row>
    <row r="152" spans="1:12" s="1023" customFormat="1">
      <c r="A152" s="1114"/>
      <c r="B152" s="1122"/>
      <c r="C152" s="1120"/>
      <c r="D152" s="1120"/>
      <c r="E152" s="1120"/>
      <c r="F152" s="1120"/>
      <c r="G152" s="1120"/>
      <c r="H152" s="1120"/>
      <c r="I152" s="1121"/>
      <c r="J152" s="1120"/>
    </row>
    <row r="153" spans="1:12" s="1023" customFormat="1">
      <c r="A153" s="1114"/>
      <c r="B153" s="1122"/>
      <c r="C153" s="1120"/>
      <c r="D153" s="1120"/>
      <c r="E153" s="1120"/>
      <c r="F153" s="1120"/>
      <c r="G153" s="1120" t="s">
        <v>4740</v>
      </c>
      <c r="H153" s="1120"/>
      <c r="I153" s="1119">
        <f>I151+I148</f>
        <v>186.89333333333329</v>
      </c>
      <c r="J153" s="1125" t="s">
        <v>773</v>
      </c>
    </row>
    <row r="154" spans="1:12" s="1023" customFormat="1">
      <c r="A154" s="1114"/>
      <c r="B154" s="1122"/>
      <c r="C154" s="1120"/>
      <c r="D154" s="1120"/>
      <c r="E154" s="1120"/>
      <c r="F154" s="1120"/>
      <c r="G154" s="1120"/>
      <c r="H154" s="1120"/>
      <c r="I154" s="1121"/>
      <c r="J154" s="1120"/>
    </row>
    <row r="155" spans="1:12" s="1023" customFormat="1">
      <c r="A155" s="1114"/>
      <c r="B155" s="1122"/>
      <c r="C155" s="1120"/>
      <c r="D155" s="1120" t="s">
        <v>4862</v>
      </c>
      <c r="E155" s="1120">
        <f>0.17+0.17+0.25+0.25+0.05</f>
        <v>0.89000000000000012</v>
      </c>
      <c r="F155" s="1120"/>
      <c r="G155" s="1120"/>
      <c r="H155" s="1123">
        <f>(E143*H143)/0.2</f>
        <v>65.999999999999986</v>
      </c>
      <c r="I155" s="1123">
        <f>E155*H155</f>
        <v>58.739999999999995</v>
      </c>
      <c r="J155" s="1120" t="s">
        <v>2970</v>
      </c>
      <c r="L155" s="1023" t="s">
        <v>4865</v>
      </c>
    </row>
    <row r="156" spans="1:12" s="1023" customFormat="1">
      <c r="A156" s="1114"/>
      <c r="B156" s="1122"/>
      <c r="C156" s="1120"/>
      <c r="D156" s="1120"/>
      <c r="E156" s="1120"/>
      <c r="F156" s="1120"/>
      <c r="G156" s="1120" t="s">
        <v>4863</v>
      </c>
      <c r="H156" s="1123">
        <f>4.74/12</f>
        <v>0.39500000000000002</v>
      </c>
      <c r="I156" s="1123">
        <f>I155*H156</f>
        <v>23.202299999999997</v>
      </c>
      <c r="J156" s="1124" t="s">
        <v>773</v>
      </c>
    </row>
    <row r="157" spans="1:12" s="1023" customFormat="1">
      <c r="A157" s="1114"/>
      <c r="B157" s="1122"/>
      <c r="C157" s="1120"/>
      <c r="D157" s="1120"/>
      <c r="E157" s="1120"/>
      <c r="F157" s="1120"/>
      <c r="G157" s="1120"/>
      <c r="H157" s="1123"/>
      <c r="I157" s="1125"/>
      <c r="J157" s="1127"/>
    </row>
    <row r="158" spans="1:12" s="1023" customFormat="1">
      <c r="A158" s="1114"/>
      <c r="B158" s="1122"/>
      <c r="C158" s="1120"/>
      <c r="D158" s="1120"/>
      <c r="E158" s="1120">
        <f>0.17+0.17+0.25+0.25+0.05</f>
        <v>0.89000000000000012</v>
      </c>
      <c r="F158" s="1120"/>
      <c r="G158" s="1120"/>
      <c r="H158" s="1123">
        <f>(E144*H144)/0.2</f>
        <v>195.99999999999997</v>
      </c>
      <c r="I158" s="1123">
        <f>E158*H158</f>
        <v>174.44</v>
      </c>
      <c r="J158" s="1120" t="s">
        <v>2970</v>
      </c>
    </row>
    <row r="159" spans="1:12" s="1023" customFormat="1">
      <c r="A159" s="1114"/>
      <c r="B159" s="1122"/>
      <c r="C159" s="1120"/>
      <c r="D159" s="1120"/>
      <c r="E159" s="1120"/>
      <c r="F159" s="1120"/>
      <c r="G159" s="1120" t="s">
        <v>4863</v>
      </c>
      <c r="H159" s="1123">
        <f>4.74/12</f>
        <v>0.39500000000000002</v>
      </c>
      <c r="I159" s="1123">
        <f>I158*H159</f>
        <v>68.903800000000004</v>
      </c>
      <c r="J159" s="1124" t="s">
        <v>773</v>
      </c>
    </row>
    <row r="160" spans="1:12" s="1023" customFormat="1">
      <c r="A160" s="1114"/>
      <c r="B160" s="1122"/>
      <c r="C160" s="1120"/>
      <c r="D160" s="1120"/>
      <c r="E160" s="1120"/>
      <c r="F160" s="1120"/>
      <c r="G160" s="1120"/>
      <c r="H160" s="1120"/>
      <c r="I160" s="1121"/>
      <c r="J160" s="1120"/>
    </row>
    <row r="161" spans="1:10" s="1023" customFormat="1">
      <c r="A161" s="1114"/>
      <c r="B161" s="1122"/>
      <c r="C161" s="1120"/>
      <c r="D161" s="1120"/>
      <c r="E161" s="1120"/>
      <c r="F161" s="1120"/>
      <c r="G161" s="1120" t="s">
        <v>4740</v>
      </c>
      <c r="H161" s="1120"/>
      <c r="I161" s="1119">
        <f>I159+I156</f>
        <v>92.106099999999998</v>
      </c>
      <c r="J161" s="1125" t="s">
        <v>773</v>
      </c>
    </row>
    <row r="162" spans="1:10" s="1023" customFormat="1">
      <c r="A162" s="1114"/>
      <c r="B162" s="1122"/>
      <c r="C162" s="1120"/>
      <c r="D162" s="1120"/>
      <c r="E162" s="1120"/>
      <c r="F162" s="1120"/>
      <c r="G162" s="1120"/>
      <c r="H162" s="1120"/>
      <c r="I162" s="1121"/>
      <c r="J162" s="1120"/>
    </row>
    <row r="163" spans="1:10" s="1023" customFormat="1">
      <c r="A163" s="1114"/>
      <c r="B163" s="1122"/>
      <c r="C163" s="1120"/>
      <c r="D163" s="1120"/>
      <c r="E163" s="1120"/>
      <c r="F163" s="1118" t="s">
        <v>4864</v>
      </c>
      <c r="G163" s="1118"/>
      <c r="H163" s="1118"/>
      <c r="I163" s="1119">
        <f>I153+I161</f>
        <v>278.99943333333329</v>
      </c>
      <c r="J163" s="1118" t="s">
        <v>773</v>
      </c>
    </row>
    <row r="164" spans="1:10" s="1023" customFormat="1">
      <c r="A164" s="1114"/>
      <c r="B164" s="1122"/>
      <c r="C164" s="1120"/>
      <c r="D164" s="1120"/>
      <c r="E164" s="1120"/>
      <c r="F164" s="1120"/>
      <c r="G164" s="1120"/>
      <c r="H164" s="1120"/>
      <c r="I164" s="1121"/>
      <c r="J164" s="1120"/>
    </row>
    <row r="165" spans="1:10">
      <c r="A165" s="1114"/>
      <c r="B165" s="1122" t="s">
        <v>4821</v>
      </c>
      <c r="C165" s="1120"/>
      <c r="D165" s="1120"/>
      <c r="E165" s="1120">
        <v>3.3</v>
      </c>
      <c r="F165" s="1120">
        <f>0.2+0.2</f>
        <v>0.4</v>
      </c>
      <c r="G165" s="1120"/>
      <c r="H165" s="1120">
        <v>4</v>
      </c>
      <c r="I165" s="1121">
        <f>E165*F165*H165</f>
        <v>5.28</v>
      </c>
      <c r="J165" s="1120" t="s">
        <v>2647</v>
      </c>
    </row>
    <row r="166" spans="1:10" s="1023" customFormat="1">
      <c r="A166" s="1114"/>
      <c r="B166" s="1122"/>
      <c r="C166" s="1120"/>
      <c r="D166" s="1120"/>
      <c r="E166" s="1120">
        <v>2.8</v>
      </c>
      <c r="F166" s="1120">
        <f>0.2+0.2</f>
        <v>0.4</v>
      </c>
      <c r="G166" s="1120"/>
      <c r="H166" s="1120">
        <v>14</v>
      </c>
      <c r="I166" s="1121">
        <f>E166*F166*H166</f>
        <v>15.679999999999998</v>
      </c>
      <c r="J166" s="1120" t="s">
        <v>2647</v>
      </c>
    </row>
    <row r="167" spans="1:10" s="1023" customFormat="1">
      <c r="A167" s="1114"/>
      <c r="B167" s="1122"/>
      <c r="C167" s="1120"/>
      <c r="D167" s="1120"/>
      <c r="E167" s="1120"/>
      <c r="F167" s="1120"/>
      <c r="G167" s="1120"/>
      <c r="H167" s="1120"/>
      <c r="I167" s="1119">
        <f>SUM(I165:I166)</f>
        <v>20.959999999999997</v>
      </c>
      <c r="J167" s="1118" t="s">
        <v>2647</v>
      </c>
    </row>
    <row r="168" spans="1:10" s="1023" customFormat="1">
      <c r="A168" s="1114"/>
      <c r="B168" s="1122"/>
      <c r="C168" s="1120"/>
      <c r="D168" s="1120"/>
      <c r="E168" s="1120"/>
      <c r="F168" s="1120"/>
      <c r="G168" s="1120"/>
      <c r="H168" s="1120"/>
      <c r="I168" s="1121"/>
      <c r="J168" s="1120"/>
    </row>
    <row r="169" spans="1:10">
      <c r="A169" s="1114">
        <f>A142+1</f>
        <v>2</v>
      </c>
      <c r="B169" s="1120" t="s">
        <v>4822</v>
      </c>
      <c r="C169" s="1120"/>
      <c r="D169" s="1120"/>
      <c r="E169" s="1120"/>
      <c r="F169" s="1120"/>
      <c r="G169" s="1120"/>
      <c r="H169" s="1120"/>
      <c r="I169" s="1121"/>
      <c r="J169" s="1120"/>
    </row>
    <row r="170" spans="1:10">
      <c r="A170" s="1114"/>
      <c r="B170" s="1122" t="s">
        <v>4819</v>
      </c>
      <c r="C170" s="1120"/>
      <c r="D170" s="1120"/>
      <c r="E170" s="1120">
        <v>4.25</v>
      </c>
      <c r="F170" s="1120">
        <v>0.2</v>
      </c>
      <c r="G170" s="1120">
        <v>0.2</v>
      </c>
      <c r="H170" s="1120">
        <v>16</v>
      </c>
      <c r="I170" s="1119">
        <f>E170*F170*G170*H170</f>
        <v>2.7200000000000006</v>
      </c>
      <c r="J170" s="1118" t="s">
        <v>2646</v>
      </c>
    </row>
    <row r="171" spans="1:10" s="1023" customFormat="1">
      <c r="A171" s="1114"/>
      <c r="B171" s="1122"/>
      <c r="C171" s="1120"/>
      <c r="D171" s="1120"/>
      <c r="E171" s="1120"/>
      <c r="F171" s="1120"/>
      <c r="G171" s="1120"/>
      <c r="H171" s="1120"/>
      <c r="I171" s="1121"/>
      <c r="J171" s="1120"/>
    </row>
    <row r="172" spans="1:10">
      <c r="A172" s="1114"/>
      <c r="B172" s="1122" t="s">
        <v>4820</v>
      </c>
      <c r="C172" s="1120"/>
      <c r="D172" s="1120" t="s">
        <v>4861</v>
      </c>
      <c r="E172" s="1120">
        <f>E170*4</f>
        <v>17</v>
      </c>
      <c r="F172" s="1120"/>
      <c r="G172" s="1120"/>
      <c r="H172" s="1123">
        <f>H170</f>
        <v>16</v>
      </c>
      <c r="I172" s="1123">
        <f>E172*H172</f>
        <v>272</v>
      </c>
      <c r="J172" s="1126" t="s">
        <v>2970</v>
      </c>
    </row>
    <row r="173" spans="1:10" s="1023" customFormat="1">
      <c r="A173" s="1114"/>
      <c r="B173" s="1122"/>
      <c r="C173" s="1120"/>
      <c r="D173" s="1120"/>
      <c r="E173" s="1120"/>
      <c r="F173" s="1120"/>
      <c r="G173" s="1120" t="s">
        <v>4859</v>
      </c>
      <c r="H173" s="1123">
        <f>10.7/12</f>
        <v>0.89166666666666661</v>
      </c>
      <c r="I173" s="1123">
        <f>I172*H173</f>
        <v>242.5333333333333</v>
      </c>
      <c r="J173" s="1124" t="s">
        <v>773</v>
      </c>
    </row>
    <row r="174" spans="1:10" s="1023" customFormat="1">
      <c r="A174" s="1114"/>
      <c r="B174" s="1122"/>
      <c r="C174" s="1120"/>
      <c r="D174" s="1120"/>
      <c r="E174" s="1120"/>
      <c r="F174" s="1120"/>
      <c r="G174" s="1120"/>
      <c r="H174" s="1120"/>
      <c r="I174" s="1121"/>
      <c r="J174" s="1120"/>
    </row>
    <row r="175" spans="1:10" s="1023" customFormat="1">
      <c r="A175" s="1114"/>
      <c r="B175" s="1122"/>
      <c r="C175" s="1120"/>
      <c r="D175" s="1120" t="s">
        <v>4862</v>
      </c>
      <c r="E175" s="1120">
        <f>0.17+0.17+0.17+0.17+0.05</f>
        <v>0.73000000000000009</v>
      </c>
      <c r="F175" s="1120"/>
      <c r="G175" s="1120"/>
      <c r="H175" s="1123">
        <f>(E170*H172)/0.2</f>
        <v>340</v>
      </c>
      <c r="I175" s="1123">
        <f>E175*H175</f>
        <v>248.20000000000005</v>
      </c>
      <c r="J175" s="1120" t="s">
        <v>2970</v>
      </c>
    </row>
    <row r="176" spans="1:10" s="1023" customFormat="1">
      <c r="A176" s="1114"/>
      <c r="B176" s="1122"/>
      <c r="C176" s="1120"/>
      <c r="D176" s="1120"/>
      <c r="E176" s="1120"/>
      <c r="F176" s="1120"/>
      <c r="G176" s="1120" t="s">
        <v>4863</v>
      </c>
      <c r="H176" s="1123">
        <f>4.74/12</f>
        <v>0.39500000000000002</v>
      </c>
      <c r="I176" s="1123">
        <f>I175*H176</f>
        <v>98.039000000000016</v>
      </c>
      <c r="J176" s="1124" t="s">
        <v>773</v>
      </c>
    </row>
    <row r="177" spans="1:11" s="1023" customFormat="1">
      <c r="A177" s="1114"/>
      <c r="B177" s="1122"/>
      <c r="C177" s="1120"/>
      <c r="D177" s="1120"/>
      <c r="E177" s="1120"/>
      <c r="F177" s="1120"/>
      <c r="G177" s="1120"/>
      <c r="H177" s="1120"/>
      <c r="I177" s="1121"/>
      <c r="J177" s="1120"/>
    </row>
    <row r="178" spans="1:11" s="1023" customFormat="1">
      <c r="A178" s="1114"/>
      <c r="B178" s="1122"/>
      <c r="C178" s="1120"/>
      <c r="D178" s="1120"/>
      <c r="E178" s="1120"/>
      <c r="F178" s="1120"/>
      <c r="G178" s="1120" t="s">
        <v>4740</v>
      </c>
      <c r="H178" s="1120"/>
      <c r="I178" s="1119">
        <f>I176+I173</f>
        <v>340.57233333333329</v>
      </c>
      <c r="J178" s="1125" t="s">
        <v>773</v>
      </c>
    </row>
    <row r="179" spans="1:11" s="1023" customFormat="1">
      <c r="A179" s="1114"/>
      <c r="B179" s="1122"/>
      <c r="C179" s="1120"/>
      <c r="D179" s="1120"/>
      <c r="E179" s="1120"/>
      <c r="F179" s="1120"/>
      <c r="G179" s="1120"/>
      <c r="H179" s="1120"/>
      <c r="I179" s="1119"/>
      <c r="J179" s="1125"/>
      <c r="K179" s="1025"/>
    </row>
    <row r="180" spans="1:11">
      <c r="A180" s="1114"/>
      <c r="B180" s="1122" t="s">
        <v>4821</v>
      </c>
      <c r="C180" s="1120"/>
      <c r="D180" s="1120"/>
      <c r="E180" s="1120">
        <f>E170</f>
        <v>4.25</v>
      </c>
      <c r="F180" s="1120">
        <f>0.2+0.2+0.025+0.25</f>
        <v>0.67500000000000004</v>
      </c>
      <c r="G180" s="1120"/>
      <c r="H180" s="1123">
        <f>H172</f>
        <v>16</v>
      </c>
      <c r="I180" s="1119">
        <f>E180*F180*H180</f>
        <v>45.900000000000006</v>
      </c>
      <c r="J180" s="1118" t="s">
        <v>2647</v>
      </c>
    </row>
    <row r="181" spans="1:11" s="1023" customFormat="1">
      <c r="A181" s="1114"/>
      <c r="B181" s="1122"/>
      <c r="C181" s="1120"/>
      <c r="D181" s="1120"/>
      <c r="E181" s="1120"/>
      <c r="F181" s="1120"/>
      <c r="G181" s="1120"/>
      <c r="H181" s="1120"/>
      <c r="I181" s="1121"/>
      <c r="J181" s="1120"/>
    </row>
    <row r="182" spans="1:11">
      <c r="A182" s="1114">
        <f>A169+1</f>
        <v>3</v>
      </c>
      <c r="B182" s="1120" t="s">
        <v>4823</v>
      </c>
      <c r="C182" s="1120"/>
      <c r="D182" s="1120"/>
      <c r="E182" s="1120"/>
      <c r="F182" s="1120"/>
      <c r="G182" s="1120"/>
      <c r="H182" s="1120"/>
      <c r="I182" s="1121"/>
      <c r="J182" s="1120"/>
    </row>
    <row r="183" spans="1:11">
      <c r="A183" s="1114"/>
      <c r="B183" s="1122" t="s">
        <v>4819</v>
      </c>
      <c r="C183" s="1120"/>
      <c r="D183" s="1120"/>
      <c r="E183" s="1120">
        <v>3.3</v>
      </c>
      <c r="F183" s="1120">
        <v>0.15</v>
      </c>
      <c r="G183" s="1120">
        <v>0.15</v>
      </c>
      <c r="H183" s="1120">
        <v>4</v>
      </c>
      <c r="I183" s="1121">
        <f>E183*F183*G183*H183</f>
        <v>0.29699999999999993</v>
      </c>
      <c r="J183" s="1120" t="s">
        <v>2646</v>
      </c>
    </row>
    <row r="184" spans="1:11" s="1023" customFormat="1">
      <c r="A184" s="1114"/>
      <c r="B184" s="1122"/>
      <c r="C184" s="1120"/>
      <c r="D184" s="1120"/>
      <c r="E184" s="1120">
        <v>2.8</v>
      </c>
      <c r="F184" s="1120">
        <v>0.15</v>
      </c>
      <c r="G184" s="1120">
        <v>0.15</v>
      </c>
      <c r="H184" s="1120">
        <v>14</v>
      </c>
      <c r="I184" s="1121">
        <f>E184*F184*G184*H184</f>
        <v>0.88200000000000001</v>
      </c>
      <c r="J184" s="1120" t="s">
        <v>2646</v>
      </c>
    </row>
    <row r="185" spans="1:11" s="1023" customFormat="1">
      <c r="A185" s="1114"/>
      <c r="B185" s="1122"/>
      <c r="C185" s="1120"/>
      <c r="D185" s="1120"/>
      <c r="E185" s="1120"/>
      <c r="F185" s="1120"/>
      <c r="G185" s="1120"/>
      <c r="H185" s="1120"/>
      <c r="I185" s="1119">
        <f>SUM(I183:I184)</f>
        <v>1.1789999999999998</v>
      </c>
      <c r="J185" s="1118" t="s">
        <v>2646</v>
      </c>
    </row>
    <row r="186" spans="1:11" s="1023" customFormat="1">
      <c r="A186" s="1114"/>
      <c r="B186" s="1122"/>
      <c r="C186" s="1120"/>
      <c r="D186" s="1120"/>
      <c r="E186" s="1120"/>
      <c r="F186" s="1120"/>
      <c r="G186" s="1120"/>
      <c r="H186" s="1120"/>
      <c r="I186" s="1121"/>
      <c r="J186" s="1120"/>
    </row>
    <row r="187" spans="1:11">
      <c r="A187" s="1114"/>
      <c r="B187" s="1122" t="s">
        <v>4820</v>
      </c>
      <c r="C187" s="1120"/>
      <c r="D187" s="1120" t="s">
        <v>4861</v>
      </c>
      <c r="E187" s="1120">
        <f>E183*4</f>
        <v>13.2</v>
      </c>
      <c r="F187" s="1120"/>
      <c r="G187" s="1120"/>
      <c r="H187" s="1123">
        <f>H183</f>
        <v>4</v>
      </c>
      <c r="I187" s="1123">
        <f>E187*H187</f>
        <v>52.8</v>
      </c>
      <c r="J187" s="1126" t="s">
        <v>2970</v>
      </c>
    </row>
    <row r="188" spans="1:11" s="1023" customFormat="1">
      <c r="A188" s="1114"/>
      <c r="B188" s="1122"/>
      <c r="C188" s="1120"/>
      <c r="D188" s="1120"/>
      <c r="E188" s="1120"/>
      <c r="F188" s="1120"/>
      <c r="G188" s="1120" t="s">
        <v>4859</v>
      </c>
      <c r="H188" s="1123">
        <f>10.7/12</f>
        <v>0.89166666666666661</v>
      </c>
      <c r="I188" s="1123">
        <f>I187*H188</f>
        <v>47.079999999999991</v>
      </c>
      <c r="J188" s="1124" t="s">
        <v>773</v>
      </c>
    </row>
    <row r="189" spans="1:11" s="1023" customFormat="1">
      <c r="A189" s="1114"/>
      <c r="B189" s="1122"/>
      <c r="C189" s="1120"/>
      <c r="D189" s="1120"/>
      <c r="E189" s="1120"/>
      <c r="F189" s="1120"/>
      <c r="G189" s="1120"/>
      <c r="H189" s="1120"/>
      <c r="I189" s="1121"/>
      <c r="J189" s="1120"/>
    </row>
    <row r="190" spans="1:11" s="1023" customFormat="1">
      <c r="A190" s="1114"/>
      <c r="B190" s="1122"/>
      <c r="C190" s="1120"/>
      <c r="D190" s="1120"/>
      <c r="E190" s="1120">
        <f>E184*4</f>
        <v>11.2</v>
      </c>
      <c r="F190" s="1120"/>
      <c r="G190" s="1120"/>
      <c r="H190" s="1123">
        <f>H184</f>
        <v>14</v>
      </c>
      <c r="I190" s="1123">
        <f>E190*H190</f>
        <v>156.79999999999998</v>
      </c>
      <c r="J190" s="1126" t="s">
        <v>2970</v>
      </c>
    </row>
    <row r="191" spans="1:11" s="1023" customFormat="1">
      <c r="A191" s="1114"/>
      <c r="B191" s="1122"/>
      <c r="C191" s="1120"/>
      <c r="D191" s="1120"/>
      <c r="E191" s="1120"/>
      <c r="F191" s="1120"/>
      <c r="G191" s="1120" t="s">
        <v>4859</v>
      </c>
      <c r="H191" s="1123">
        <f>10.7/12</f>
        <v>0.89166666666666661</v>
      </c>
      <c r="I191" s="1123">
        <f>I190*H191</f>
        <v>139.8133333333333</v>
      </c>
      <c r="J191" s="1124" t="s">
        <v>773</v>
      </c>
    </row>
    <row r="192" spans="1:11" s="1023" customFormat="1">
      <c r="A192" s="1114"/>
      <c r="B192" s="1122"/>
      <c r="C192" s="1120"/>
      <c r="D192" s="1120"/>
      <c r="E192" s="1120"/>
      <c r="F192" s="1120"/>
      <c r="G192" s="1120"/>
      <c r="H192" s="1120"/>
      <c r="I192" s="1121"/>
      <c r="J192" s="1120"/>
    </row>
    <row r="193" spans="1:10" s="1023" customFormat="1">
      <c r="A193" s="1114"/>
      <c r="B193" s="1122"/>
      <c r="C193" s="1120"/>
      <c r="D193" s="1120"/>
      <c r="E193" s="1120"/>
      <c r="F193" s="1120"/>
      <c r="G193" s="1120" t="s">
        <v>4740</v>
      </c>
      <c r="H193" s="1120"/>
      <c r="I193" s="1119">
        <f>I191+I188</f>
        <v>186.89333333333329</v>
      </c>
      <c r="J193" s="1125" t="s">
        <v>773</v>
      </c>
    </row>
    <row r="194" spans="1:10" s="1023" customFormat="1">
      <c r="A194" s="1114"/>
      <c r="B194" s="1122"/>
      <c r="C194" s="1120"/>
      <c r="D194" s="1120"/>
      <c r="E194" s="1120"/>
      <c r="F194" s="1120"/>
      <c r="G194" s="1120"/>
      <c r="H194" s="1120"/>
      <c r="I194" s="1121"/>
      <c r="J194" s="1120"/>
    </row>
    <row r="195" spans="1:10" s="1023" customFormat="1">
      <c r="A195" s="1114"/>
      <c r="B195" s="1122"/>
      <c r="C195" s="1120"/>
      <c r="D195" s="1120" t="s">
        <v>4862</v>
      </c>
      <c r="E195" s="1120">
        <f>0.1+0.1+0.1+0.1+0.05</f>
        <v>0.45</v>
      </c>
      <c r="F195" s="1120"/>
      <c r="G195" s="1120"/>
      <c r="H195" s="1123">
        <f>(E183*H183)/0.2</f>
        <v>65.999999999999986</v>
      </c>
      <c r="I195" s="1123">
        <f>E195*H195</f>
        <v>29.699999999999996</v>
      </c>
      <c r="J195" s="1120" t="s">
        <v>2970</v>
      </c>
    </row>
    <row r="196" spans="1:10" s="1023" customFormat="1">
      <c r="A196" s="1114"/>
      <c r="B196" s="1122"/>
      <c r="C196" s="1120"/>
      <c r="D196" s="1120"/>
      <c r="E196" s="1120"/>
      <c r="F196" s="1120"/>
      <c r="G196" s="1120" t="s">
        <v>4863</v>
      </c>
      <c r="H196" s="1123">
        <f>4.74/12</f>
        <v>0.39500000000000002</v>
      </c>
      <c r="I196" s="1123">
        <f>I195*H196</f>
        <v>11.731499999999999</v>
      </c>
      <c r="J196" s="1124" t="s">
        <v>773</v>
      </c>
    </row>
    <row r="197" spans="1:10" s="1023" customFormat="1">
      <c r="A197" s="1114"/>
      <c r="B197" s="1122"/>
      <c r="C197" s="1120"/>
      <c r="D197" s="1120"/>
      <c r="E197" s="1120"/>
      <c r="F197" s="1120"/>
      <c r="G197" s="1120"/>
      <c r="H197" s="1123"/>
      <c r="I197" s="1125"/>
      <c r="J197" s="1127"/>
    </row>
    <row r="198" spans="1:10" s="1023" customFormat="1">
      <c r="A198" s="1114"/>
      <c r="B198" s="1122"/>
      <c r="C198" s="1120"/>
      <c r="D198" s="1120"/>
      <c r="E198" s="1120">
        <f>0.1+0.1+0.1+0.1+0.05</f>
        <v>0.45</v>
      </c>
      <c r="F198" s="1120"/>
      <c r="G198" s="1120"/>
      <c r="H198" s="1123">
        <f>(E184*H184)/0.2</f>
        <v>195.99999999999997</v>
      </c>
      <c r="I198" s="1123">
        <f>E198*H198</f>
        <v>88.199999999999989</v>
      </c>
      <c r="J198" s="1120" t="s">
        <v>2970</v>
      </c>
    </row>
    <row r="199" spans="1:10" s="1023" customFormat="1">
      <c r="A199" s="1114"/>
      <c r="B199" s="1122"/>
      <c r="C199" s="1120"/>
      <c r="D199" s="1120"/>
      <c r="E199" s="1120"/>
      <c r="F199" s="1120"/>
      <c r="G199" s="1120" t="s">
        <v>4863</v>
      </c>
      <c r="H199" s="1123">
        <f>4.74/12</f>
        <v>0.39500000000000002</v>
      </c>
      <c r="I199" s="1123">
        <f>I198*H199</f>
        <v>34.838999999999999</v>
      </c>
      <c r="J199" s="1124" t="s">
        <v>773</v>
      </c>
    </row>
    <row r="200" spans="1:10" s="1023" customFormat="1">
      <c r="A200" s="1114"/>
      <c r="B200" s="1122"/>
      <c r="C200" s="1120"/>
      <c r="D200" s="1120"/>
      <c r="E200" s="1120"/>
      <c r="F200" s="1120"/>
      <c r="G200" s="1120"/>
      <c r="H200" s="1120"/>
      <c r="I200" s="1121"/>
      <c r="J200" s="1120"/>
    </row>
    <row r="201" spans="1:10" s="1023" customFormat="1">
      <c r="A201" s="1114"/>
      <c r="B201" s="1122"/>
      <c r="C201" s="1120"/>
      <c r="D201" s="1120"/>
      <c r="E201" s="1120"/>
      <c r="F201" s="1120"/>
      <c r="G201" s="1120" t="s">
        <v>4740</v>
      </c>
      <c r="H201" s="1120"/>
      <c r="I201" s="1119">
        <f>I199+I196</f>
        <v>46.570499999999996</v>
      </c>
      <c r="J201" s="1125" t="s">
        <v>773</v>
      </c>
    </row>
    <row r="202" spans="1:10" s="1023" customFormat="1">
      <c r="A202" s="1114"/>
      <c r="B202" s="1122"/>
      <c r="C202" s="1120"/>
      <c r="D202" s="1120"/>
      <c r="E202" s="1120"/>
      <c r="F202" s="1120"/>
      <c r="G202" s="1120"/>
      <c r="H202" s="1120"/>
      <c r="I202" s="1121"/>
      <c r="J202" s="1120"/>
    </row>
    <row r="203" spans="1:10" s="1023" customFormat="1">
      <c r="A203" s="1114"/>
      <c r="B203" s="1122"/>
      <c r="C203" s="1120"/>
      <c r="D203" s="1120"/>
      <c r="E203" s="1120"/>
      <c r="F203" s="1118" t="s">
        <v>4864</v>
      </c>
      <c r="G203" s="1118"/>
      <c r="H203" s="1118"/>
      <c r="I203" s="1119">
        <f>I193+I201</f>
        <v>233.4638333333333</v>
      </c>
      <c r="J203" s="1118" t="s">
        <v>773</v>
      </c>
    </row>
    <row r="204" spans="1:10" s="1023" customFormat="1">
      <c r="A204" s="1114"/>
      <c r="B204" s="1122"/>
      <c r="C204" s="1120"/>
      <c r="D204" s="1120"/>
      <c r="E204" s="1120"/>
      <c r="F204" s="1120"/>
      <c r="G204" s="1120"/>
      <c r="H204" s="1120"/>
      <c r="I204" s="1121"/>
      <c r="J204" s="1120"/>
    </row>
    <row r="205" spans="1:10">
      <c r="A205" s="1114"/>
      <c r="B205" s="1122" t="s">
        <v>4821</v>
      </c>
      <c r="C205" s="1120"/>
      <c r="D205" s="1120"/>
      <c r="E205" s="1120">
        <v>3.3</v>
      </c>
      <c r="F205" s="1120">
        <f>0.15+0.15</f>
        <v>0.3</v>
      </c>
      <c r="G205" s="1120"/>
      <c r="H205" s="1120">
        <v>4</v>
      </c>
      <c r="I205" s="1121">
        <f>E205*F205*H205</f>
        <v>3.9599999999999995</v>
      </c>
      <c r="J205" s="1120" t="s">
        <v>2647</v>
      </c>
    </row>
    <row r="206" spans="1:10" s="1023" customFormat="1">
      <c r="A206" s="1114"/>
      <c r="B206" s="1122"/>
      <c r="C206" s="1120"/>
      <c r="D206" s="1120"/>
      <c r="E206" s="1120">
        <v>2.8</v>
      </c>
      <c r="F206" s="1120">
        <f>0.15+0.15</f>
        <v>0.3</v>
      </c>
      <c r="G206" s="1120"/>
      <c r="H206" s="1120">
        <v>14</v>
      </c>
      <c r="I206" s="1121">
        <f>E206*F206*H206</f>
        <v>11.76</v>
      </c>
      <c r="J206" s="1120" t="s">
        <v>2647</v>
      </c>
    </row>
    <row r="207" spans="1:10" s="1023" customFormat="1">
      <c r="A207" s="1114"/>
      <c r="B207" s="1122"/>
      <c r="C207" s="1120"/>
      <c r="D207" s="1120"/>
      <c r="E207" s="1120"/>
      <c r="F207" s="1120"/>
      <c r="G207" s="1120"/>
      <c r="H207" s="1120"/>
      <c r="I207" s="1119">
        <f>SUM(I205:I206)</f>
        <v>15.719999999999999</v>
      </c>
      <c r="J207" s="1118" t="s">
        <v>2647</v>
      </c>
    </row>
    <row r="208" spans="1:10" s="1023" customFormat="1">
      <c r="A208" s="1114"/>
      <c r="B208" s="1122"/>
      <c r="C208" s="1120"/>
      <c r="D208" s="1120"/>
      <c r="E208" s="1120"/>
      <c r="F208" s="1120"/>
      <c r="G208" s="1120"/>
      <c r="H208" s="1120"/>
      <c r="I208" s="1121"/>
      <c r="J208" s="1120"/>
    </row>
    <row r="209" spans="1:10">
      <c r="A209" s="1114">
        <f>A182+1</f>
        <v>4</v>
      </c>
      <c r="B209" s="1120" t="s">
        <v>4824</v>
      </c>
      <c r="C209" s="1120"/>
      <c r="D209" s="1120"/>
      <c r="E209" s="1120"/>
      <c r="F209" s="1120"/>
      <c r="G209" s="1120"/>
      <c r="H209" s="1120"/>
      <c r="I209" s="1121"/>
      <c r="J209" s="1120"/>
    </row>
    <row r="210" spans="1:10">
      <c r="A210" s="1114"/>
      <c r="B210" s="1122" t="s">
        <v>4819</v>
      </c>
      <c r="C210" s="1120"/>
      <c r="D210" s="1120" t="s">
        <v>4866</v>
      </c>
      <c r="E210" s="1120">
        <v>3.3</v>
      </c>
      <c r="F210" s="1120">
        <v>0.15</v>
      </c>
      <c r="G210" s="1120">
        <v>0.2</v>
      </c>
      <c r="H210" s="1120">
        <v>4</v>
      </c>
      <c r="I210" s="1121">
        <f t="shared" ref="I210:I215" si="2">E210*F210*G210*H210</f>
        <v>0.39599999999999996</v>
      </c>
      <c r="J210" s="1120" t="s">
        <v>2646</v>
      </c>
    </row>
    <row r="211" spans="1:10" s="1023" customFormat="1">
      <c r="A211" s="1114"/>
      <c r="B211" s="1122"/>
      <c r="C211" s="1120"/>
      <c r="D211" s="1120"/>
      <c r="E211" s="1120">
        <v>2.8</v>
      </c>
      <c r="F211" s="1120">
        <v>0.15</v>
      </c>
      <c r="G211" s="1120">
        <v>0.2</v>
      </c>
      <c r="H211" s="1120">
        <v>14</v>
      </c>
      <c r="I211" s="1121">
        <f t="shared" si="2"/>
        <v>1.1760000000000002</v>
      </c>
      <c r="J211" s="1120" t="s">
        <v>2646</v>
      </c>
    </row>
    <row r="212" spans="1:10" s="1023" customFormat="1">
      <c r="A212" s="1114"/>
      <c r="B212" s="1122"/>
      <c r="C212" s="1120"/>
      <c r="D212" s="1120" t="s">
        <v>4867</v>
      </c>
      <c r="E212" s="1120">
        <v>3.35</v>
      </c>
      <c r="F212" s="1120">
        <v>0.15</v>
      </c>
      <c r="G212" s="1120">
        <v>0.2</v>
      </c>
      <c r="H212" s="1120">
        <v>4</v>
      </c>
      <c r="I212" s="1121">
        <f t="shared" si="2"/>
        <v>0.40199999999999997</v>
      </c>
      <c r="J212" s="1120" t="s">
        <v>2646</v>
      </c>
    </row>
    <row r="213" spans="1:10" s="1023" customFormat="1">
      <c r="A213" s="1114"/>
      <c r="B213" s="1122"/>
      <c r="C213" s="1120"/>
      <c r="D213" s="1120"/>
      <c r="E213" s="1120">
        <v>3.85</v>
      </c>
      <c r="F213" s="1120">
        <v>0.15</v>
      </c>
      <c r="G213" s="1120">
        <v>0.2</v>
      </c>
      <c r="H213" s="1120">
        <v>4</v>
      </c>
      <c r="I213" s="1121">
        <f t="shared" si="2"/>
        <v>0.46200000000000002</v>
      </c>
      <c r="J213" s="1120" t="s">
        <v>2646</v>
      </c>
    </row>
    <row r="214" spans="1:10" s="1023" customFormat="1">
      <c r="A214" s="1114"/>
      <c r="B214" s="1122"/>
      <c r="C214" s="1120"/>
      <c r="D214" s="1120"/>
      <c r="E214" s="1120">
        <v>2.27</v>
      </c>
      <c r="F214" s="1120">
        <v>0.15</v>
      </c>
      <c r="G214" s="1120">
        <v>0.2</v>
      </c>
      <c r="H214" s="1120">
        <v>4</v>
      </c>
      <c r="I214" s="1121">
        <f t="shared" si="2"/>
        <v>0.27239999999999998</v>
      </c>
      <c r="J214" s="1120" t="s">
        <v>2646</v>
      </c>
    </row>
    <row r="215" spans="1:10" s="1023" customFormat="1">
      <c r="A215" s="1114"/>
      <c r="B215" s="1122"/>
      <c r="C215" s="1120"/>
      <c r="D215" s="1120"/>
      <c r="E215" s="1120">
        <v>4</v>
      </c>
      <c r="F215" s="1120">
        <v>0.15</v>
      </c>
      <c r="G215" s="1120">
        <v>0.2</v>
      </c>
      <c r="H215" s="1120">
        <v>2</v>
      </c>
      <c r="I215" s="1121">
        <f t="shared" si="2"/>
        <v>0.24</v>
      </c>
      <c r="J215" s="1120" t="s">
        <v>2646</v>
      </c>
    </row>
    <row r="216" spans="1:10" s="1023" customFormat="1">
      <c r="A216" s="1114"/>
      <c r="B216" s="1122"/>
      <c r="C216" s="1120"/>
      <c r="D216" s="1120"/>
      <c r="E216" s="1120"/>
      <c r="F216" s="1120"/>
      <c r="G216" s="1120"/>
      <c r="H216" s="1120"/>
      <c r="I216" s="1119">
        <f>SUM(I210:I215)</f>
        <v>2.9484000000000004</v>
      </c>
      <c r="J216" s="1118" t="s">
        <v>2646</v>
      </c>
    </row>
    <row r="217" spans="1:10" s="1023" customFormat="1">
      <c r="A217" s="1114"/>
      <c r="B217" s="1122"/>
      <c r="C217" s="1120"/>
      <c r="D217" s="1120"/>
      <c r="E217" s="1120"/>
      <c r="F217" s="1120"/>
      <c r="G217" s="1120"/>
      <c r="H217" s="1120"/>
      <c r="I217" s="1121"/>
      <c r="J217" s="1120"/>
    </row>
    <row r="218" spans="1:10">
      <c r="A218" s="1114"/>
      <c r="B218" s="1122" t="s">
        <v>4820</v>
      </c>
      <c r="C218" s="1120"/>
      <c r="D218" s="1120" t="s">
        <v>4861</v>
      </c>
      <c r="E218" s="1120">
        <f>E210*4</f>
        <v>13.2</v>
      </c>
      <c r="F218" s="1120"/>
      <c r="G218" s="1120"/>
      <c r="H218" s="1123">
        <f>H210</f>
        <v>4</v>
      </c>
      <c r="I218" s="1123">
        <f>E218*H218</f>
        <v>52.8</v>
      </c>
      <c r="J218" s="1126" t="s">
        <v>2970</v>
      </c>
    </row>
    <row r="219" spans="1:10" s="1023" customFormat="1">
      <c r="A219" s="1114"/>
      <c r="B219" s="1122"/>
      <c r="C219" s="1120"/>
      <c r="D219" s="1120"/>
      <c r="E219" s="1120"/>
      <c r="F219" s="1120"/>
      <c r="G219" s="1120" t="s">
        <v>4859</v>
      </c>
      <c r="H219" s="1123">
        <f>10.7/12</f>
        <v>0.89166666666666661</v>
      </c>
      <c r="I219" s="1123">
        <f>I218*H219</f>
        <v>47.079999999999991</v>
      </c>
      <c r="J219" s="1124" t="s">
        <v>773</v>
      </c>
    </row>
    <row r="220" spans="1:10" s="1023" customFormat="1">
      <c r="A220" s="1114"/>
      <c r="B220" s="1122"/>
      <c r="C220" s="1120"/>
      <c r="D220" s="1120"/>
      <c r="E220" s="1120"/>
      <c r="F220" s="1120"/>
      <c r="G220" s="1120"/>
      <c r="H220" s="1120"/>
      <c r="I220" s="1121"/>
      <c r="J220" s="1120"/>
    </row>
    <row r="221" spans="1:10" s="1023" customFormat="1">
      <c r="A221" s="1114"/>
      <c r="B221" s="1122"/>
      <c r="C221" s="1120"/>
      <c r="D221" s="1120"/>
      <c r="E221" s="1120">
        <f>E211*4</f>
        <v>11.2</v>
      </c>
      <c r="F221" s="1120"/>
      <c r="G221" s="1120"/>
      <c r="H221" s="1123">
        <f>H211</f>
        <v>14</v>
      </c>
      <c r="I221" s="1123">
        <f>E221*H221</f>
        <v>156.79999999999998</v>
      </c>
      <c r="J221" s="1126" t="s">
        <v>2970</v>
      </c>
    </row>
    <row r="222" spans="1:10" s="1023" customFormat="1">
      <c r="A222" s="1114"/>
      <c r="B222" s="1122"/>
      <c r="C222" s="1120"/>
      <c r="D222" s="1120"/>
      <c r="E222" s="1120"/>
      <c r="F222" s="1120"/>
      <c r="G222" s="1120" t="s">
        <v>4859</v>
      </c>
      <c r="H222" s="1123">
        <f>10.7/12</f>
        <v>0.89166666666666661</v>
      </c>
      <c r="I222" s="1123">
        <f>I221*H222</f>
        <v>139.8133333333333</v>
      </c>
      <c r="J222" s="1124" t="s">
        <v>773</v>
      </c>
    </row>
    <row r="223" spans="1:10" s="1023" customFormat="1">
      <c r="A223" s="1114"/>
      <c r="B223" s="1122"/>
      <c r="C223" s="1120"/>
      <c r="D223" s="1120"/>
      <c r="E223" s="1120"/>
      <c r="F223" s="1120"/>
      <c r="G223" s="1120"/>
      <c r="H223" s="1120"/>
      <c r="I223" s="1121"/>
      <c r="J223" s="1120"/>
    </row>
    <row r="224" spans="1:10" s="1023" customFormat="1">
      <c r="A224" s="1114"/>
      <c r="B224" s="1122"/>
      <c r="C224" s="1120"/>
      <c r="D224" s="1120"/>
      <c r="E224" s="1120">
        <f>E212*4</f>
        <v>13.4</v>
      </c>
      <c r="F224" s="1120"/>
      <c r="G224" s="1120"/>
      <c r="H224" s="1123">
        <f>H212</f>
        <v>4</v>
      </c>
      <c r="I224" s="1123">
        <f>E224*H224</f>
        <v>53.6</v>
      </c>
      <c r="J224" s="1126" t="s">
        <v>2970</v>
      </c>
    </row>
    <row r="225" spans="1:10" s="1023" customFormat="1">
      <c r="A225" s="1114"/>
      <c r="B225" s="1122"/>
      <c r="C225" s="1120"/>
      <c r="D225" s="1120"/>
      <c r="E225" s="1120"/>
      <c r="F225" s="1120"/>
      <c r="G225" s="1120" t="s">
        <v>4859</v>
      </c>
      <c r="H225" s="1123">
        <f>10.7/12</f>
        <v>0.89166666666666661</v>
      </c>
      <c r="I225" s="1123">
        <f>I224*H225</f>
        <v>47.793333333333329</v>
      </c>
      <c r="J225" s="1124" t="s">
        <v>773</v>
      </c>
    </row>
    <row r="226" spans="1:10" s="1023" customFormat="1">
      <c r="A226" s="1114"/>
      <c r="B226" s="1122"/>
      <c r="C226" s="1120"/>
      <c r="D226" s="1120"/>
      <c r="E226" s="1120"/>
      <c r="F226" s="1120"/>
      <c r="G226" s="1120"/>
      <c r="H226" s="1120"/>
      <c r="I226" s="1121"/>
      <c r="J226" s="1120"/>
    </row>
    <row r="227" spans="1:10" s="1023" customFormat="1">
      <c r="A227" s="1114"/>
      <c r="B227" s="1122"/>
      <c r="C227" s="1120"/>
      <c r="D227" s="1120"/>
      <c r="E227" s="1120">
        <f>E213*4</f>
        <v>15.4</v>
      </c>
      <c r="F227" s="1120"/>
      <c r="G227" s="1120"/>
      <c r="H227" s="1123">
        <f>H213</f>
        <v>4</v>
      </c>
      <c r="I227" s="1123">
        <f>E227*H227</f>
        <v>61.6</v>
      </c>
      <c r="J227" s="1126" t="s">
        <v>2970</v>
      </c>
    </row>
    <row r="228" spans="1:10" s="1023" customFormat="1">
      <c r="A228" s="1114"/>
      <c r="B228" s="1122"/>
      <c r="C228" s="1120"/>
      <c r="D228" s="1120"/>
      <c r="E228" s="1120"/>
      <c r="F228" s="1120"/>
      <c r="G228" s="1120" t="s">
        <v>4859</v>
      </c>
      <c r="H228" s="1123">
        <f>10.7/12</f>
        <v>0.89166666666666661</v>
      </c>
      <c r="I228" s="1123">
        <f>I227*H228</f>
        <v>54.926666666666662</v>
      </c>
      <c r="J228" s="1124" t="s">
        <v>773</v>
      </c>
    </row>
    <row r="229" spans="1:10" s="1023" customFormat="1">
      <c r="A229" s="1114"/>
      <c r="B229" s="1122"/>
      <c r="C229" s="1120"/>
      <c r="D229" s="1120"/>
      <c r="E229" s="1120"/>
      <c r="F229" s="1120"/>
      <c r="G229" s="1120"/>
      <c r="H229" s="1120"/>
      <c r="I229" s="1121"/>
      <c r="J229" s="1120"/>
    </row>
    <row r="230" spans="1:10" s="1023" customFormat="1">
      <c r="A230" s="1114"/>
      <c r="B230" s="1122"/>
      <c r="C230" s="1120"/>
      <c r="D230" s="1120"/>
      <c r="E230" s="1120">
        <f>E214*4</f>
        <v>9.08</v>
      </c>
      <c r="F230" s="1120"/>
      <c r="G230" s="1120"/>
      <c r="H230" s="1123">
        <f>H214</f>
        <v>4</v>
      </c>
      <c r="I230" s="1123">
        <f>E230*H230</f>
        <v>36.32</v>
      </c>
      <c r="J230" s="1126" t="s">
        <v>2970</v>
      </c>
    </row>
    <row r="231" spans="1:10" s="1023" customFormat="1">
      <c r="A231" s="1114"/>
      <c r="B231" s="1122"/>
      <c r="C231" s="1120"/>
      <c r="D231" s="1120"/>
      <c r="E231" s="1120"/>
      <c r="F231" s="1120"/>
      <c r="G231" s="1120" t="s">
        <v>4859</v>
      </c>
      <c r="H231" s="1123">
        <f>10.7/12</f>
        <v>0.89166666666666661</v>
      </c>
      <c r="I231" s="1123">
        <f>I230*H231</f>
        <v>32.385333333333328</v>
      </c>
      <c r="J231" s="1124" t="s">
        <v>773</v>
      </c>
    </row>
    <row r="232" spans="1:10" s="1023" customFormat="1">
      <c r="A232" s="1114"/>
      <c r="B232" s="1122"/>
      <c r="C232" s="1120"/>
      <c r="D232" s="1120"/>
      <c r="E232" s="1120"/>
      <c r="F232" s="1120"/>
      <c r="G232" s="1120"/>
      <c r="H232" s="1120"/>
      <c r="I232" s="1121"/>
      <c r="J232" s="1120"/>
    </row>
    <row r="233" spans="1:10" s="1023" customFormat="1">
      <c r="A233" s="1114"/>
      <c r="B233" s="1122"/>
      <c r="C233" s="1120"/>
      <c r="D233" s="1120"/>
      <c r="E233" s="1120">
        <f>E215*4</f>
        <v>16</v>
      </c>
      <c r="F233" s="1120"/>
      <c r="G233" s="1120"/>
      <c r="H233" s="1123">
        <f>H215</f>
        <v>2</v>
      </c>
      <c r="I233" s="1123">
        <f>E233*H233</f>
        <v>32</v>
      </c>
      <c r="J233" s="1126" t="s">
        <v>2970</v>
      </c>
    </row>
    <row r="234" spans="1:10" s="1023" customFormat="1">
      <c r="A234" s="1114"/>
      <c r="B234" s="1122"/>
      <c r="C234" s="1120"/>
      <c r="D234" s="1120"/>
      <c r="E234" s="1120"/>
      <c r="F234" s="1120"/>
      <c r="G234" s="1120" t="s">
        <v>4859</v>
      </c>
      <c r="H234" s="1123">
        <f>10.7/12</f>
        <v>0.89166666666666661</v>
      </c>
      <c r="I234" s="1123">
        <f>I233*H234</f>
        <v>28.533333333333331</v>
      </c>
      <c r="J234" s="1124" t="s">
        <v>773</v>
      </c>
    </row>
    <row r="235" spans="1:10" s="1023" customFormat="1">
      <c r="A235" s="1114"/>
      <c r="B235" s="1122"/>
      <c r="C235" s="1120"/>
      <c r="D235" s="1120"/>
      <c r="E235" s="1120"/>
      <c r="F235" s="1120"/>
      <c r="G235" s="1120"/>
      <c r="H235" s="1120"/>
      <c r="I235" s="1121"/>
      <c r="J235" s="1120"/>
    </row>
    <row r="236" spans="1:10" s="1023" customFormat="1">
      <c r="A236" s="1114"/>
      <c r="B236" s="1122"/>
      <c r="C236" s="1120"/>
      <c r="D236" s="1120"/>
      <c r="E236" s="1120"/>
      <c r="F236" s="1120"/>
      <c r="G236" s="1120" t="s">
        <v>4740</v>
      </c>
      <c r="H236" s="1120"/>
      <c r="I236" s="1119">
        <f>I234+I231+I228+I225+I222+I219</f>
        <v>350.53199999999993</v>
      </c>
      <c r="J236" s="1125" t="s">
        <v>773</v>
      </c>
    </row>
    <row r="237" spans="1:10" s="1023" customFormat="1">
      <c r="A237" s="1114"/>
      <c r="B237" s="1122"/>
      <c r="C237" s="1120"/>
      <c r="D237" s="1120"/>
      <c r="E237" s="1120"/>
      <c r="F237" s="1120"/>
      <c r="G237" s="1120"/>
      <c r="H237" s="1120"/>
      <c r="I237" s="1121"/>
      <c r="J237" s="1120"/>
    </row>
    <row r="238" spans="1:10" s="1023" customFormat="1">
      <c r="A238" s="1114"/>
      <c r="B238" s="1122"/>
      <c r="C238" s="1120"/>
      <c r="D238" s="1120" t="s">
        <v>4862</v>
      </c>
      <c r="E238" s="1120">
        <f>0.1+0.1+0.17+0.17+0.05</f>
        <v>0.59000000000000008</v>
      </c>
      <c r="F238" s="1120"/>
      <c r="G238" s="1120"/>
      <c r="H238" s="1123">
        <f>(E210*H210)/0.2</f>
        <v>65.999999999999986</v>
      </c>
      <c r="I238" s="1123">
        <f>E238*H238</f>
        <v>38.94</v>
      </c>
      <c r="J238" s="1120" t="s">
        <v>2970</v>
      </c>
    </row>
    <row r="239" spans="1:10" s="1023" customFormat="1">
      <c r="A239" s="1114"/>
      <c r="B239" s="1122"/>
      <c r="C239" s="1120"/>
      <c r="D239" s="1120"/>
      <c r="E239" s="1120"/>
      <c r="F239" s="1120"/>
      <c r="G239" s="1120" t="s">
        <v>4863</v>
      </c>
      <c r="H239" s="1123">
        <f>4.74/12</f>
        <v>0.39500000000000002</v>
      </c>
      <c r="I239" s="1123">
        <f>I238*H239</f>
        <v>15.3813</v>
      </c>
      <c r="J239" s="1124" t="s">
        <v>773</v>
      </c>
    </row>
    <row r="240" spans="1:10" s="1023" customFormat="1">
      <c r="A240" s="1114"/>
      <c r="B240" s="1122"/>
      <c r="C240" s="1120"/>
      <c r="D240" s="1120"/>
      <c r="E240" s="1120"/>
      <c r="F240" s="1120"/>
      <c r="G240" s="1120"/>
      <c r="H240" s="1120"/>
      <c r="I240" s="1121"/>
      <c r="J240" s="1120"/>
    </row>
    <row r="241" spans="1:10" s="1023" customFormat="1">
      <c r="A241" s="1114"/>
      <c r="B241" s="1122"/>
      <c r="C241" s="1120"/>
      <c r="D241" s="1120"/>
      <c r="E241" s="1120">
        <f>0.1+0.1+0.17+0.17+0.05</f>
        <v>0.59000000000000008</v>
      </c>
      <c r="F241" s="1120"/>
      <c r="G241" s="1120"/>
      <c r="H241" s="1123">
        <f>(E211*H211)/0.2</f>
        <v>195.99999999999997</v>
      </c>
      <c r="I241" s="1123">
        <f>E241*H241</f>
        <v>115.64</v>
      </c>
      <c r="J241" s="1120" t="s">
        <v>2970</v>
      </c>
    </row>
    <row r="242" spans="1:10" s="1023" customFormat="1">
      <c r="A242" s="1114"/>
      <c r="B242" s="1122"/>
      <c r="C242" s="1120"/>
      <c r="D242" s="1120"/>
      <c r="E242" s="1120"/>
      <c r="F242" s="1120"/>
      <c r="G242" s="1120" t="s">
        <v>4863</v>
      </c>
      <c r="H242" s="1123">
        <f>4.74/12</f>
        <v>0.39500000000000002</v>
      </c>
      <c r="I242" s="1123">
        <f>I241*H242</f>
        <v>45.677800000000005</v>
      </c>
      <c r="J242" s="1124" t="s">
        <v>773</v>
      </c>
    </row>
    <row r="243" spans="1:10" s="1023" customFormat="1">
      <c r="A243" s="1114"/>
      <c r="B243" s="1122"/>
      <c r="C243" s="1120"/>
      <c r="D243" s="1120"/>
      <c r="E243" s="1120"/>
      <c r="F243" s="1120"/>
      <c r="G243" s="1120"/>
      <c r="H243" s="1123"/>
      <c r="I243" s="1123"/>
      <c r="J243" s="1124"/>
    </row>
    <row r="244" spans="1:10" s="1023" customFormat="1">
      <c r="A244" s="1114"/>
      <c r="B244" s="1122"/>
      <c r="C244" s="1120"/>
      <c r="D244" s="1120"/>
      <c r="E244" s="1120">
        <f>0.1+0.1+0.17+0.17+0.05</f>
        <v>0.59000000000000008</v>
      </c>
      <c r="F244" s="1120"/>
      <c r="G244" s="1120"/>
      <c r="H244" s="1123">
        <f>(E212*H212)/0.2</f>
        <v>67</v>
      </c>
      <c r="I244" s="1123">
        <f>E244*H244</f>
        <v>39.530000000000008</v>
      </c>
      <c r="J244" s="1120" t="s">
        <v>2970</v>
      </c>
    </row>
    <row r="245" spans="1:10" s="1023" customFormat="1">
      <c r="A245" s="1114"/>
      <c r="B245" s="1122"/>
      <c r="C245" s="1120"/>
      <c r="D245" s="1120"/>
      <c r="E245" s="1120"/>
      <c r="F245" s="1120"/>
      <c r="G245" s="1120" t="s">
        <v>4863</v>
      </c>
      <c r="H245" s="1123">
        <f>4.74/12</f>
        <v>0.39500000000000002</v>
      </c>
      <c r="I245" s="1123">
        <f>I244*H245</f>
        <v>15.614350000000004</v>
      </c>
      <c r="J245" s="1124" t="s">
        <v>773</v>
      </c>
    </row>
    <row r="246" spans="1:10" s="1023" customFormat="1">
      <c r="A246" s="1114"/>
      <c r="B246" s="1122"/>
      <c r="C246" s="1120"/>
      <c r="D246" s="1120"/>
      <c r="E246" s="1120"/>
      <c r="F246" s="1120"/>
      <c r="G246" s="1120"/>
      <c r="H246" s="1123"/>
      <c r="I246" s="1123"/>
      <c r="J246" s="1124"/>
    </row>
    <row r="247" spans="1:10" s="1023" customFormat="1">
      <c r="A247" s="1114"/>
      <c r="B247" s="1122"/>
      <c r="C247" s="1120"/>
      <c r="D247" s="1120"/>
      <c r="E247" s="1120">
        <f>0.1+0.1+0.17+0.17+0.05</f>
        <v>0.59000000000000008</v>
      </c>
      <c r="F247" s="1120"/>
      <c r="G247" s="1120"/>
      <c r="H247" s="1123">
        <f>(E213*H213)/0.2</f>
        <v>77</v>
      </c>
      <c r="I247" s="1123">
        <f>E247*H247</f>
        <v>45.430000000000007</v>
      </c>
      <c r="J247" s="1120" t="s">
        <v>2970</v>
      </c>
    </row>
    <row r="248" spans="1:10" s="1023" customFormat="1">
      <c r="A248" s="1114"/>
      <c r="B248" s="1122"/>
      <c r="C248" s="1120"/>
      <c r="D248" s="1120"/>
      <c r="E248" s="1120"/>
      <c r="F248" s="1120"/>
      <c r="G248" s="1120" t="s">
        <v>4863</v>
      </c>
      <c r="H248" s="1123">
        <f>4.74/12</f>
        <v>0.39500000000000002</v>
      </c>
      <c r="I248" s="1123">
        <f>I247*H248</f>
        <v>17.944850000000002</v>
      </c>
      <c r="J248" s="1124" t="s">
        <v>773</v>
      </c>
    </row>
    <row r="249" spans="1:10" s="1023" customFormat="1">
      <c r="A249" s="1114"/>
      <c r="B249" s="1122"/>
      <c r="C249" s="1120"/>
      <c r="D249" s="1120"/>
      <c r="E249" s="1120"/>
      <c r="F249" s="1120"/>
      <c r="G249" s="1120"/>
      <c r="H249" s="1120"/>
      <c r="I249" s="1121"/>
      <c r="J249" s="1120"/>
    </row>
    <row r="250" spans="1:10" s="1023" customFormat="1">
      <c r="A250" s="1114"/>
      <c r="B250" s="1122"/>
      <c r="C250" s="1120"/>
      <c r="D250" s="1120"/>
      <c r="E250" s="1120">
        <f>0.1+0.1+0.17+0.17+0.05</f>
        <v>0.59000000000000008</v>
      </c>
      <c r="F250" s="1120"/>
      <c r="G250" s="1120"/>
      <c r="H250" s="1123">
        <f>(E214*H214)/0.2</f>
        <v>45.4</v>
      </c>
      <c r="I250" s="1123">
        <f>E250*H250</f>
        <v>26.786000000000001</v>
      </c>
      <c r="J250" s="1120" t="s">
        <v>2970</v>
      </c>
    </row>
    <row r="251" spans="1:10" s="1023" customFormat="1">
      <c r="A251" s="1114"/>
      <c r="B251" s="1122"/>
      <c r="C251" s="1120"/>
      <c r="D251" s="1120"/>
      <c r="E251" s="1120"/>
      <c r="F251" s="1120"/>
      <c r="G251" s="1120" t="s">
        <v>4863</v>
      </c>
      <c r="H251" s="1123">
        <f>4.74/12</f>
        <v>0.39500000000000002</v>
      </c>
      <c r="I251" s="1123">
        <f>I250*H251</f>
        <v>10.580470000000002</v>
      </c>
      <c r="J251" s="1124" t="s">
        <v>773</v>
      </c>
    </row>
    <row r="252" spans="1:10" s="1023" customFormat="1">
      <c r="A252" s="1114"/>
      <c r="B252" s="1122"/>
      <c r="C252" s="1120"/>
      <c r="D252" s="1120"/>
      <c r="E252" s="1120"/>
      <c r="F252" s="1120"/>
      <c r="G252" s="1120"/>
      <c r="H252" s="1120"/>
      <c r="I252" s="1121"/>
      <c r="J252" s="1120"/>
    </row>
    <row r="253" spans="1:10" s="1023" customFormat="1">
      <c r="A253" s="1114"/>
      <c r="B253" s="1122"/>
      <c r="C253" s="1120"/>
      <c r="D253" s="1120"/>
      <c r="E253" s="1120">
        <f>0.1+0.1+0.17+0.17+0.05</f>
        <v>0.59000000000000008</v>
      </c>
      <c r="F253" s="1120"/>
      <c r="G253" s="1120"/>
      <c r="H253" s="1123">
        <f>(E215*H215)/0.2</f>
        <v>40</v>
      </c>
      <c r="I253" s="1123">
        <f>E253*H253</f>
        <v>23.6</v>
      </c>
      <c r="J253" s="1120" t="s">
        <v>2970</v>
      </c>
    </row>
    <row r="254" spans="1:10" s="1023" customFormat="1">
      <c r="A254" s="1114"/>
      <c r="B254" s="1122"/>
      <c r="C254" s="1120"/>
      <c r="D254" s="1120"/>
      <c r="E254" s="1120"/>
      <c r="F254" s="1120"/>
      <c r="G254" s="1120" t="s">
        <v>4863</v>
      </c>
      <c r="H254" s="1123">
        <f>4.74/12</f>
        <v>0.39500000000000002</v>
      </c>
      <c r="I254" s="1123">
        <f>I253*H254</f>
        <v>9.322000000000001</v>
      </c>
      <c r="J254" s="1124" t="s">
        <v>773</v>
      </c>
    </row>
    <row r="255" spans="1:10" s="1023" customFormat="1">
      <c r="A255" s="1114"/>
      <c r="B255" s="1122"/>
      <c r="C255" s="1120"/>
      <c r="D255" s="1120"/>
      <c r="E255" s="1120"/>
      <c r="F255" s="1120"/>
      <c r="G255" s="1120"/>
      <c r="H255" s="1120"/>
      <c r="I255" s="1121"/>
      <c r="J255" s="1120"/>
    </row>
    <row r="256" spans="1:10" s="1023" customFormat="1">
      <c r="A256" s="1114"/>
      <c r="B256" s="1122"/>
      <c r="C256" s="1120"/>
      <c r="D256" s="1120"/>
      <c r="E256" s="1120"/>
      <c r="F256" s="1120"/>
      <c r="G256" s="1120" t="s">
        <v>4740</v>
      </c>
      <c r="H256" s="1120"/>
      <c r="I256" s="1119">
        <f>I254+I251+I248+I245+I242+I239</f>
        <v>114.52077000000001</v>
      </c>
      <c r="J256" s="1125" t="s">
        <v>773</v>
      </c>
    </row>
    <row r="257" spans="1:10" s="1023" customFormat="1">
      <c r="A257" s="1114"/>
      <c r="B257" s="1122"/>
      <c r="C257" s="1120"/>
      <c r="D257" s="1120"/>
      <c r="E257" s="1120"/>
      <c r="F257" s="1120"/>
      <c r="G257" s="1120"/>
      <c r="H257" s="1120"/>
      <c r="I257" s="1121"/>
      <c r="J257" s="1120"/>
    </row>
    <row r="258" spans="1:10" s="1023" customFormat="1">
      <c r="A258" s="1114"/>
      <c r="B258" s="1122"/>
      <c r="C258" s="1120"/>
      <c r="D258" s="1120"/>
      <c r="E258" s="1120"/>
      <c r="F258" s="1118" t="s">
        <v>4864</v>
      </c>
      <c r="G258" s="1118"/>
      <c r="H258" s="1118"/>
      <c r="I258" s="1119">
        <f>I236+I256</f>
        <v>465.05276999999995</v>
      </c>
      <c r="J258" s="1118" t="s">
        <v>773</v>
      </c>
    </row>
    <row r="259" spans="1:10" s="1023" customFormat="1">
      <c r="A259" s="1114"/>
      <c r="B259" s="1122"/>
      <c r="C259" s="1120"/>
      <c r="D259" s="1120"/>
      <c r="E259" s="1120"/>
      <c r="F259" s="1120"/>
      <c r="G259" s="1120"/>
      <c r="H259" s="1120"/>
      <c r="I259" s="1121"/>
      <c r="J259" s="1120"/>
    </row>
    <row r="260" spans="1:10">
      <c r="A260" s="1114"/>
      <c r="B260" s="1122" t="s">
        <v>4821</v>
      </c>
      <c r="C260" s="1120"/>
      <c r="D260" s="1120" t="s">
        <v>4866</v>
      </c>
      <c r="E260" s="1120">
        <v>3.3</v>
      </c>
      <c r="F260" s="1120">
        <f>0.15+0.2</f>
        <v>0.35</v>
      </c>
      <c r="G260" s="1120"/>
      <c r="H260" s="1120">
        <v>4</v>
      </c>
      <c r="I260" s="1121">
        <f>E260*F260*H260</f>
        <v>4.6199999999999992</v>
      </c>
      <c r="J260" s="1120" t="s">
        <v>2647</v>
      </c>
    </row>
    <row r="261" spans="1:10" s="1023" customFormat="1">
      <c r="A261" s="1114"/>
      <c r="B261" s="1122"/>
      <c r="C261" s="1120"/>
      <c r="D261" s="1120"/>
      <c r="E261" s="1120">
        <v>2.8</v>
      </c>
      <c r="F261" s="1120">
        <f t="shared" ref="F261:F265" si="3">0.15+0.2</f>
        <v>0.35</v>
      </c>
      <c r="G261" s="1120"/>
      <c r="H261" s="1120">
        <v>14</v>
      </c>
      <c r="I261" s="1121">
        <f t="shared" ref="I261:I265" si="4">E261*F261*H261</f>
        <v>13.719999999999999</v>
      </c>
      <c r="J261" s="1120" t="s">
        <v>2647</v>
      </c>
    </row>
    <row r="262" spans="1:10" s="1023" customFormat="1">
      <c r="A262" s="1114"/>
      <c r="B262" s="1122"/>
      <c r="C262" s="1120"/>
      <c r="D262" s="1120" t="s">
        <v>4867</v>
      </c>
      <c r="E262" s="1120">
        <v>3.35</v>
      </c>
      <c r="F262" s="1120">
        <f t="shared" si="3"/>
        <v>0.35</v>
      </c>
      <c r="G262" s="1120"/>
      <c r="H262" s="1120">
        <v>4</v>
      </c>
      <c r="I262" s="1121">
        <f t="shared" si="4"/>
        <v>4.6899999999999995</v>
      </c>
      <c r="J262" s="1120" t="s">
        <v>2647</v>
      </c>
    </row>
    <row r="263" spans="1:10" s="1023" customFormat="1">
      <c r="A263" s="1114"/>
      <c r="B263" s="1122"/>
      <c r="C263" s="1120"/>
      <c r="D263" s="1120"/>
      <c r="E263" s="1120">
        <v>3.85</v>
      </c>
      <c r="F263" s="1120">
        <f t="shared" si="3"/>
        <v>0.35</v>
      </c>
      <c r="G263" s="1120"/>
      <c r="H263" s="1120">
        <v>4</v>
      </c>
      <c r="I263" s="1121">
        <f t="shared" si="4"/>
        <v>5.39</v>
      </c>
      <c r="J263" s="1120" t="s">
        <v>2647</v>
      </c>
    </row>
    <row r="264" spans="1:10" s="1023" customFormat="1">
      <c r="A264" s="1114"/>
      <c r="B264" s="1122"/>
      <c r="C264" s="1120"/>
      <c r="D264" s="1120"/>
      <c r="E264" s="1120">
        <v>2.27</v>
      </c>
      <c r="F264" s="1120">
        <f t="shared" si="3"/>
        <v>0.35</v>
      </c>
      <c r="G264" s="1120"/>
      <c r="H264" s="1120">
        <v>4</v>
      </c>
      <c r="I264" s="1121">
        <f t="shared" si="4"/>
        <v>3.1779999999999999</v>
      </c>
      <c r="J264" s="1120" t="s">
        <v>2647</v>
      </c>
    </row>
    <row r="265" spans="1:10" s="1023" customFormat="1">
      <c r="A265" s="1114"/>
      <c r="B265" s="1122"/>
      <c r="C265" s="1120"/>
      <c r="D265" s="1120"/>
      <c r="E265" s="1120">
        <v>4</v>
      </c>
      <c r="F265" s="1120">
        <f t="shared" si="3"/>
        <v>0.35</v>
      </c>
      <c r="G265" s="1120"/>
      <c r="H265" s="1120">
        <v>2</v>
      </c>
      <c r="I265" s="1121">
        <f t="shared" si="4"/>
        <v>2.8</v>
      </c>
      <c r="J265" s="1120" t="s">
        <v>2647</v>
      </c>
    </row>
    <row r="266" spans="1:10" s="1023" customFormat="1">
      <c r="A266" s="1114"/>
      <c r="B266" s="1122"/>
      <c r="C266" s="1120"/>
      <c r="D266" s="1120"/>
      <c r="E266" s="1120"/>
      <c r="F266" s="1120"/>
      <c r="G266" s="1120"/>
      <c r="H266" s="1120"/>
      <c r="I266" s="1119">
        <f>SUM(I260:I265)</f>
        <v>34.397999999999996</v>
      </c>
      <c r="J266" s="1118" t="s">
        <v>2647</v>
      </c>
    </row>
    <row r="267" spans="1:10" s="1023" customFormat="1">
      <c r="A267" s="1114"/>
      <c r="B267" s="1122"/>
      <c r="C267" s="1120"/>
      <c r="D267" s="1120"/>
      <c r="E267" s="1120"/>
      <c r="F267" s="1120"/>
      <c r="G267" s="1120"/>
      <c r="H267" s="1120"/>
      <c r="I267" s="1121"/>
      <c r="J267" s="1120"/>
    </row>
    <row r="268" spans="1:10" s="1023" customFormat="1">
      <c r="A268" s="1114"/>
      <c r="B268" s="1122"/>
      <c r="C268" s="1120"/>
      <c r="D268" s="1120"/>
      <c r="E268" s="1120"/>
      <c r="F268" s="1120"/>
      <c r="G268" s="1120"/>
      <c r="H268" s="1120"/>
      <c r="I268" s="1121"/>
      <c r="J268" s="1120"/>
    </row>
    <row r="269" spans="1:10" s="1023" customFormat="1">
      <c r="A269" s="1114"/>
      <c r="B269" s="1122"/>
      <c r="C269" s="1120"/>
      <c r="D269" s="1120"/>
      <c r="E269" s="1120"/>
      <c r="F269" s="1120"/>
      <c r="G269" s="1120"/>
      <c r="H269" s="1120"/>
      <c r="I269" s="1121"/>
      <c r="J269" s="1120"/>
    </row>
    <row r="270" spans="1:10" s="1023" customFormat="1">
      <c r="A270" s="1114"/>
      <c r="B270" s="1122"/>
      <c r="C270" s="1120"/>
      <c r="D270" s="1120"/>
      <c r="E270" s="1120"/>
      <c r="F270" s="1120"/>
      <c r="G270" s="1120"/>
      <c r="H270" s="1120"/>
      <c r="I270" s="1121"/>
      <c r="J270" s="1120"/>
    </row>
    <row r="271" spans="1:10">
      <c r="A271" s="1114">
        <f>A209+1</f>
        <v>5</v>
      </c>
      <c r="B271" s="1120" t="s">
        <v>4825</v>
      </c>
      <c r="C271" s="1120"/>
      <c r="D271" s="1120"/>
      <c r="E271" s="1120"/>
      <c r="F271" s="1120"/>
      <c r="G271" s="1120"/>
      <c r="H271" s="1120"/>
      <c r="I271" s="1121"/>
      <c r="J271" s="1120"/>
    </row>
    <row r="272" spans="1:10">
      <c r="A272" s="1114"/>
      <c r="B272" s="1122" t="s">
        <v>4819</v>
      </c>
      <c r="C272" s="1120"/>
      <c r="D272" s="1120"/>
      <c r="E272" s="1120">
        <f>(15-0.2)</f>
        <v>14.8</v>
      </c>
      <c r="F272" s="1120">
        <f>(10-0.2)</f>
        <v>9.8000000000000007</v>
      </c>
      <c r="G272" s="1120">
        <v>0.12</v>
      </c>
      <c r="H272" s="1120">
        <v>1</v>
      </c>
      <c r="I272" s="1119">
        <f>E272*F272*G272*H272</f>
        <v>17.404800000000002</v>
      </c>
      <c r="J272" s="1118" t="s">
        <v>2646</v>
      </c>
    </row>
    <row r="273" spans="1:12" s="1023" customFormat="1">
      <c r="A273" s="1114"/>
      <c r="B273" s="1122" t="s">
        <v>4895</v>
      </c>
      <c r="C273" s="1120"/>
      <c r="D273" s="1120"/>
      <c r="E273" s="1120">
        <f>E272</f>
        <v>14.8</v>
      </c>
      <c r="F273" s="1120">
        <f>F272</f>
        <v>9.8000000000000007</v>
      </c>
      <c r="G273" s="1120"/>
      <c r="H273" s="1120"/>
      <c r="I273" s="1121">
        <f>E273*F273</f>
        <v>145.04000000000002</v>
      </c>
      <c r="J273" s="1120" t="s">
        <v>2647</v>
      </c>
    </row>
    <row r="274" spans="1:12">
      <c r="A274" s="1114"/>
      <c r="B274" s="1122" t="s">
        <v>4820</v>
      </c>
      <c r="C274" s="1120"/>
      <c r="D274" s="1120"/>
      <c r="E274" s="1120">
        <f>E272</f>
        <v>14.8</v>
      </c>
      <c r="F274" s="1120">
        <v>10</v>
      </c>
      <c r="G274" s="1120"/>
      <c r="H274" s="1120">
        <v>11.36</v>
      </c>
      <c r="I274" s="1121">
        <f>(E274*F274)/H274</f>
        <v>13.028169014084508</v>
      </c>
      <c r="J274" s="1120" t="s">
        <v>3106</v>
      </c>
    </row>
    <row r="275" spans="1:12" s="1023" customFormat="1">
      <c r="A275" s="1114"/>
      <c r="B275" s="1122"/>
      <c r="C275" s="1120"/>
      <c r="D275" s="1120"/>
      <c r="E275" s="1120"/>
      <c r="F275" s="1120"/>
      <c r="G275" s="1120" t="s">
        <v>4868</v>
      </c>
      <c r="H275" s="1123">
        <v>61.79</v>
      </c>
      <c r="I275" s="1123">
        <f>I274*H275</f>
        <v>805.01056338028172</v>
      </c>
      <c r="J275" s="1124" t="s">
        <v>773</v>
      </c>
      <c r="L275" s="998"/>
    </row>
    <row r="276" spans="1:12">
      <c r="A276" s="1114"/>
      <c r="B276" s="1120"/>
      <c r="C276" s="1120"/>
      <c r="D276" s="1120"/>
      <c r="E276" s="1120"/>
      <c r="F276" s="1120"/>
      <c r="G276" s="1120"/>
      <c r="H276" s="1120"/>
      <c r="I276" s="1121"/>
      <c r="J276" s="1120"/>
    </row>
    <row r="277" spans="1:12">
      <c r="A277" s="1114" t="s">
        <v>4831</v>
      </c>
      <c r="B277" s="1120" t="s">
        <v>4827</v>
      </c>
      <c r="C277" s="1120"/>
      <c r="D277" s="1120"/>
      <c r="E277" s="1120"/>
      <c r="F277" s="1120"/>
      <c r="G277" s="1120"/>
      <c r="H277" s="1120"/>
      <c r="I277" s="1121"/>
      <c r="J277" s="1120"/>
    </row>
    <row r="278" spans="1:12">
      <c r="A278" s="1114">
        <v>1</v>
      </c>
      <c r="B278" s="1120" t="s">
        <v>4826</v>
      </c>
      <c r="C278" s="1120"/>
      <c r="D278" s="1120"/>
      <c r="E278" s="1120">
        <v>3.35</v>
      </c>
      <c r="F278" s="1120">
        <v>0.55000000000000004</v>
      </c>
      <c r="G278" s="1120"/>
      <c r="H278" s="1120">
        <v>4</v>
      </c>
      <c r="I278" s="1121">
        <f t="shared" ref="I278:I281" si="5">E278*F278*H278</f>
        <v>7.370000000000001</v>
      </c>
      <c r="J278" s="1120" t="s">
        <v>2647</v>
      </c>
    </row>
    <row r="279" spans="1:12" s="1023" customFormat="1">
      <c r="A279" s="1114"/>
      <c r="B279" s="1120"/>
      <c r="C279" s="1120"/>
      <c r="D279" s="1120"/>
      <c r="E279" s="1120">
        <v>3.85</v>
      </c>
      <c r="F279" s="1120">
        <v>0.55000000000000004</v>
      </c>
      <c r="G279" s="1120"/>
      <c r="H279" s="1120">
        <v>4</v>
      </c>
      <c r="I279" s="1121">
        <f t="shared" si="5"/>
        <v>8.4700000000000006</v>
      </c>
      <c r="J279" s="1120" t="s">
        <v>2647</v>
      </c>
    </row>
    <row r="280" spans="1:12" s="1023" customFormat="1">
      <c r="A280" s="1114"/>
      <c r="B280" s="1120"/>
      <c r="C280" s="1120"/>
      <c r="D280" s="1120"/>
      <c r="E280" s="1120">
        <v>2.27</v>
      </c>
      <c r="F280" s="1120">
        <v>0.55000000000000004</v>
      </c>
      <c r="G280" s="1120"/>
      <c r="H280" s="1120">
        <v>4</v>
      </c>
      <c r="I280" s="1121">
        <f t="shared" si="5"/>
        <v>4.9940000000000007</v>
      </c>
      <c r="J280" s="1120" t="s">
        <v>2647</v>
      </c>
    </row>
    <row r="281" spans="1:12" s="1023" customFormat="1">
      <c r="A281" s="1114"/>
      <c r="B281" s="1120"/>
      <c r="C281" s="1120"/>
      <c r="D281" s="1120"/>
      <c r="E281" s="1120">
        <v>4</v>
      </c>
      <c r="F281" s="1120">
        <v>0.55000000000000004</v>
      </c>
      <c r="G281" s="1120"/>
      <c r="H281" s="1120">
        <v>2</v>
      </c>
      <c r="I281" s="1121">
        <f t="shared" si="5"/>
        <v>4.4000000000000004</v>
      </c>
      <c r="J281" s="1120" t="s">
        <v>2647</v>
      </c>
    </row>
    <row r="282" spans="1:12" s="1023" customFormat="1">
      <c r="A282" s="1114"/>
      <c r="B282" s="1120"/>
      <c r="C282" s="1120"/>
      <c r="D282" s="1120"/>
      <c r="E282" s="1120"/>
      <c r="F282" s="1120"/>
      <c r="G282" s="1120"/>
      <c r="H282" s="1120"/>
      <c r="I282" s="1119">
        <f>SUM(I278:I281)</f>
        <v>25.234000000000002</v>
      </c>
      <c r="J282" s="1118" t="s">
        <v>1264</v>
      </c>
    </row>
    <row r="283" spans="1:12" s="1023" customFormat="1">
      <c r="A283" s="1114"/>
      <c r="B283" s="1120"/>
      <c r="C283" s="1120"/>
      <c r="D283" s="1120"/>
      <c r="E283" s="1120"/>
      <c r="F283" s="1120"/>
      <c r="G283" s="1120"/>
      <c r="H283" s="1120"/>
      <c r="I283" s="1121"/>
      <c r="J283" s="1120"/>
    </row>
    <row r="284" spans="1:12">
      <c r="A284" s="1114">
        <f>A278+1</f>
        <v>2</v>
      </c>
      <c r="B284" s="1120" t="s">
        <v>4828</v>
      </c>
      <c r="C284" s="1120"/>
      <c r="D284" s="1120"/>
      <c r="E284" s="1120">
        <v>3.3</v>
      </c>
      <c r="F284" s="1120">
        <f>(4.25)-(0.2+0.15)</f>
        <v>3.9</v>
      </c>
      <c r="G284" s="1120"/>
      <c r="H284" s="1120">
        <v>4</v>
      </c>
      <c r="I284" s="1121">
        <f>E284*F284*H284</f>
        <v>51.48</v>
      </c>
      <c r="J284" s="1120" t="s">
        <v>2647</v>
      </c>
    </row>
    <row r="285" spans="1:12" s="1023" customFormat="1">
      <c r="A285" s="1114"/>
      <c r="B285" s="1120"/>
      <c r="C285" s="1120"/>
      <c r="D285" s="1120"/>
      <c r="E285" s="1120">
        <v>2.8</v>
      </c>
      <c r="F285" s="1120">
        <f>(4.25)-(0.2+0.15)</f>
        <v>3.9</v>
      </c>
      <c r="G285" s="1120"/>
      <c r="H285" s="1120">
        <v>14</v>
      </c>
      <c r="I285" s="1121">
        <f t="shared" ref="I285" si="6">E285*F285*H285</f>
        <v>152.88</v>
      </c>
      <c r="J285" s="1120" t="s">
        <v>2647</v>
      </c>
    </row>
    <row r="286" spans="1:12" s="1023" customFormat="1">
      <c r="A286" s="1114"/>
      <c r="B286" s="1120"/>
      <c r="C286" s="1120"/>
      <c r="D286" s="1120"/>
      <c r="E286" s="1120"/>
      <c r="F286" s="1120"/>
      <c r="G286" s="1120"/>
      <c r="H286" s="1120"/>
      <c r="I286" s="1119">
        <f>SUM(I284:I285)</f>
        <v>204.35999999999999</v>
      </c>
      <c r="J286" s="1118" t="s">
        <v>1264</v>
      </c>
    </row>
    <row r="287" spans="1:12" s="1023" customFormat="1">
      <c r="A287" s="1114"/>
      <c r="B287" s="1120"/>
      <c r="C287" s="1120"/>
      <c r="D287" s="1120"/>
      <c r="E287" s="1120"/>
      <c r="F287" s="1120"/>
      <c r="G287" s="1120"/>
      <c r="H287" s="1120"/>
      <c r="I287" s="1121"/>
      <c r="J287" s="1120"/>
    </row>
    <row r="288" spans="1:12" s="1023" customFormat="1">
      <c r="A288" s="1114"/>
      <c r="B288" s="1120"/>
      <c r="C288" s="1120" t="s">
        <v>4869</v>
      </c>
      <c r="D288" s="1120" t="s">
        <v>4870</v>
      </c>
      <c r="E288" s="1120">
        <v>2.15</v>
      </c>
      <c r="F288" s="1120">
        <v>0.6</v>
      </c>
      <c r="G288" s="1120"/>
      <c r="H288" s="1120">
        <v>11</v>
      </c>
      <c r="I288" s="1121">
        <f>E288*F288*H288</f>
        <v>14.189999999999998</v>
      </c>
      <c r="J288" s="1120" t="s">
        <v>2647</v>
      </c>
    </row>
    <row r="289" spans="1:10" s="1023" customFormat="1">
      <c r="A289" s="1114"/>
      <c r="B289" s="1120"/>
      <c r="C289" s="1120"/>
      <c r="D289" s="1120" t="s">
        <v>4872</v>
      </c>
      <c r="E289" s="1120">
        <v>2.85</v>
      </c>
      <c r="F289" s="1120">
        <v>2.5</v>
      </c>
      <c r="G289" s="1120"/>
      <c r="H289" s="1120">
        <v>1</v>
      </c>
      <c r="I289" s="1121">
        <f>E289*F289*H289</f>
        <v>7.125</v>
      </c>
      <c r="J289" s="1120" t="s">
        <v>2647</v>
      </c>
    </row>
    <row r="290" spans="1:10" s="1023" customFormat="1">
      <c r="A290" s="1114"/>
      <c r="B290" s="1120"/>
      <c r="C290" s="1120"/>
      <c r="D290" s="1120"/>
      <c r="E290" s="1120"/>
      <c r="F290" s="1120"/>
      <c r="G290" s="1120"/>
      <c r="H290" s="1120"/>
      <c r="I290" s="1119">
        <f>SUM(I288:I289)</f>
        <v>21.314999999999998</v>
      </c>
      <c r="J290" s="1118" t="s">
        <v>2647</v>
      </c>
    </row>
    <row r="291" spans="1:10" s="1023" customFormat="1">
      <c r="A291" s="1114"/>
      <c r="B291" s="1120"/>
      <c r="C291" s="1120"/>
      <c r="D291" s="1120"/>
      <c r="E291" s="1120"/>
      <c r="F291" s="1120"/>
      <c r="G291" s="1120"/>
      <c r="H291" s="1120"/>
      <c r="I291" s="1121"/>
      <c r="J291" s="1120"/>
    </row>
    <row r="292" spans="1:10" s="1023" customFormat="1">
      <c r="A292" s="1114"/>
      <c r="B292" s="1120"/>
      <c r="C292" s="1120"/>
      <c r="D292" s="1120"/>
      <c r="E292" s="1120"/>
      <c r="F292" s="1120"/>
      <c r="G292" s="1120"/>
      <c r="H292" s="1120" t="s">
        <v>4740</v>
      </c>
      <c r="I292" s="1119">
        <f>I286-I290</f>
        <v>183.04499999999999</v>
      </c>
      <c r="J292" s="1118" t="s">
        <v>2647</v>
      </c>
    </row>
    <row r="293" spans="1:10" s="1023" customFormat="1">
      <c r="A293" s="1114"/>
      <c r="B293" s="1120"/>
      <c r="C293" s="1120"/>
      <c r="D293" s="1120"/>
      <c r="E293" s="1120"/>
      <c r="F293" s="1120"/>
      <c r="G293" s="1120"/>
      <c r="H293" s="1120"/>
      <c r="I293" s="1121"/>
      <c r="J293" s="1120"/>
    </row>
    <row r="294" spans="1:10" s="1023" customFormat="1">
      <c r="A294" s="1114"/>
      <c r="B294" s="1120"/>
      <c r="C294" s="1120"/>
      <c r="D294" s="1120"/>
      <c r="E294" s="1120"/>
      <c r="F294" s="1120"/>
      <c r="G294" s="1120"/>
      <c r="H294" s="1120"/>
      <c r="I294" s="1121"/>
      <c r="J294" s="1120"/>
    </row>
    <row r="295" spans="1:10">
      <c r="A295" s="1114">
        <f>A284+1</f>
        <v>3</v>
      </c>
      <c r="B295" s="1120" t="s">
        <v>4829</v>
      </c>
      <c r="C295" s="1120"/>
      <c r="D295" s="1120"/>
      <c r="E295" s="1120"/>
      <c r="F295" s="1120"/>
      <c r="G295" s="1120"/>
      <c r="H295" s="1120">
        <v>2</v>
      </c>
      <c r="I295" s="1119">
        <f>H295*I282</f>
        <v>50.468000000000004</v>
      </c>
      <c r="J295" s="1118" t="s">
        <v>2647</v>
      </c>
    </row>
    <row r="296" spans="1:10">
      <c r="A296" s="1114">
        <f t="shared" ref="A296" si="7">A295+1</f>
        <v>4</v>
      </c>
      <c r="B296" s="1120" t="s">
        <v>4830</v>
      </c>
      <c r="C296" s="1120"/>
      <c r="D296" s="1120"/>
      <c r="E296" s="1120"/>
      <c r="F296" s="1120"/>
      <c r="G296" s="1120"/>
      <c r="H296" s="1120">
        <v>2</v>
      </c>
      <c r="I296" s="1119">
        <f>I292*H296</f>
        <v>366.09</v>
      </c>
      <c r="J296" s="1118" t="s">
        <v>2647</v>
      </c>
    </row>
    <row r="297" spans="1:10">
      <c r="A297" s="1114"/>
      <c r="B297" s="1120"/>
      <c r="C297" s="1120"/>
      <c r="D297" s="1120"/>
      <c r="E297" s="1120"/>
      <c r="F297" s="1120"/>
      <c r="G297" s="1120"/>
      <c r="H297" s="1120"/>
      <c r="I297" s="1121"/>
      <c r="J297" s="1120"/>
    </row>
    <row r="298" spans="1:10">
      <c r="A298" s="1114" t="s">
        <v>4832</v>
      </c>
      <c r="B298" s="1120" t="s">
        <v>4833</v>
      </c>
      <c r="C298" s="1120"/>
      <c r="D298" s="1120"/>
      <c r="E298" s="1120"/>
      <c r="F298" s="1120"/>
      <c r="G298" s="1120"/>
      <c r="H298" s="1120"/>
      <c r="I298" s="1121"/>
      <c r="J298" s="1120"/>
    </row>
    <row r="299" spans="1:10">
      <c r="A299" s="1114">
        <v>1</v>
      </c>
      <c r="B299" s="1120" t="s">
        <v>4835</v>
      </c>
      <c r="C299" s="1120"/>
      <c r="D299" s="1120"/>
      <c r="E299" s="1120"/>
      <c r="F299" s="1120"/>
      <c r="G299" s="1120"/>
      <c r="H299" s="1120"/>
      <c r="I299" s="1119">
        <v>1</v>
      </c>
      <c r="J299" s="1118" t="s">
        <v>2997</v>
      </c>
    </row>
    <row r="300" spans="1:10">
      <c r="A300" s="1114">
        <f t="shared" ref="A300" si="8">A299+1</f>
        <v>2</v>
      </c>
      <c r="B300" s="1120" t="s">
        <v>4834</v>
      </c>
      <c r="C300" s="1120"/>
      <c r="D300" s="1120"/>
      <c r="E300" s="1120"/>
      <c r="F300" s="1120"/>
      <c r="G300" s="1120"/>
      <c r="H300" s="1120"/>
      <c r="I300" s="1119">
        <v>11</v>
      </c>
      <c r="J300" s="1118" t="s">
        <v>2997</v>
      </c>
    </row>
    <row r="301" spans="1:10">
      <c r="A301" s="1114"/>
      <c r="B301" s="1120"/>
      <c r="C301" s="1120"/>
      <c r="D301" s="1120"/>
      <c r="E301" s="1120"/>
      <c r="F301" s="1120"/>
      <c r="G301" s="1120"/>
      <c r="H301" s="1120"/>
      <c r="I301" s="1121"/>
      <c r="J301" s="1120"/>
    </row>
    <row r="302" spans="1:10">
      <c r="A302" s="1114" t="s">
        <v>4836</v>
      </c>
      <c r="B302" s="1120" t="s">
        <v>4837</v>
      </c>
      <c r="C302" s="1120"/>
      <c r="D302" s="1120"/>
      <c r="E302" s="1120"/>
      <c r="F302" s="1120"/>
      <c r="G302" s="1120"/>
      <c r="H302" s="1120"/>
      <c r="I302" s="1121"/>
      <c r="J302" s="1120"/>
    </row>
    <row r="303" spans="1:10">
      <c r="A303" s="1114">
        <v>1</v>
      </c>
      <c r="B303" s="1120" t="s">
        <v>4838</v>
      </c>
      <c r="C303" s="1120"/>
      <c r="D303" s="1120" t="s">
        <v>4873</v>
      </c>
      <c r="E303" s="1120">
        <v>15.18</v>
      </c>
      <c r="F303" s="1120">
        <v>6.46</v>
      </c>
      <c r="G303" s="1120"/>
      <c r="H303" s="1120">
        <v>2</v>
      </c>
      <c r="I303" s="1121">
        <f>E303*F303*H303</f>
        <v>196.12559999999999</v>
      </c>
      <c r="J303" s="1120" t="s">
        <v>2647</v>
      </c>
    </row>
    <row r="304" spans="1:10" s="1023" customFormat="1">
      <c r="A304" s="1114"/>
      <c r="B304" s="1120"/>
      <c r="C304" s="1120"/>
      <c r="D304" s="1120" t="s">
        <v>4873</v>
      </c>
      <c r="E304" s="1120">
        <v>12.15</v>
      </c>
      <c r="F304" s="1120">
        <v>17.149999999999999</v>
      </c>
      <c r="G304" s="1120"/>
      <c r="H304" s="1120">
        <v>2</v>
      </c>
      <c r="I304" s="1121">
        <f>E304*F304*H304</f>
        <v>416.745</v>
      </c>
      <c r="J304" s="1120" t="s">
        <v>2647</v>
      </c>
    </row>
    <row r="305" spans="1:10" s="1023" customFormat="1">
      <c r="A305" s="1114"/>
      <c r="B305" s="1120"/>
      <c r="C305" s="1120"/>
      <c r="D305" s="1120"/>
      <c r="E305" s="1120"/>
      <c r="F305" s="1120"/>
      <c r="G305" s="1120"/>
      <c r="H305" s="1120"/>
      <c r="I305" s="1119">
        <f>SUM(I303:I304)</f>
        <v>612.87059999999997</v>
      </c>
      <c r="J305" s="1118" t="s">
        <v>2647</v>
      </c>
    </row>
    <row r="306" spans="1:10" s="1023" customFormat="1">
      <c r="A306" s="1114"/>
      <c r="B306" s="1120"/>
      <c r="C306" s="1120"/>
      <c r="D306" s="1120"/>
      <c r="E306" s="1120"/>
      <c r="F306" s="1120"/>
      <c r="G306" s="1120"/>
      <c r="H306" s="1120"/>
      <c r="I306" s="1121"/>
      <c r="J306" s="1120"/>
    </row>
    <row r="307" spans="1:10">
      <c r="A307" s="1114">
        <f>A303+1</f>
        <v>2</v>
      </c>
      <c r="B307" s="1120" t="s">
        <v>4839</v>
      </c>
      <c r="C307" s="1120"/>
      <c r="D307" s="1120"/>
      <c r="E307" s="1120"/>
      <c r="F307" s="1120"/>
      <c r="G307" s="1120"/>
      <c r="H307" s="1120"/>
      <c r="I307" s="1119">
        <f>I305</f>
        <v>612.87059999999997</v>
      </c>
      <c r="J307" s="1118" t="s">
        <v>2647</v>
      </c>
    </row>
    <row r="308" spans="1:10" s="1023" customFormat="1">
      <c r="A308" s="1114"/>
      <c r="B308" s="1120"/>
      <c r="C308" s="1120"/>
      <c r="D308" s="1120"/>
      <c r="E308" s="1120"/>
      <c r="F308" s="1120"/>
      <c r="G308" s="1120"/>
      <c r="H308" s="1120"/>
      <c r="I308" s="1121"/>
      <c r="J308" s="1120"/>
    </row>
    <row r="309" spans="1:10" s="1023" customFormat="1">
      <c r="A309" s="1114"/>
      <c r="B309" s="1120"/>
      <c r="C309" s="1120"/>
      <c r="D309" s="1120"/>
      <c r="E309" s="1120"/>
      <c r="F309" s="1120"/>
      <c r="G309" s="1120"/>
      <c r="H309" s="1120"/>
      <c r="I309" s="1121"/>
      <c r="J309" s="1120"/>
    </row>
    <row r="310" spans="1:10" s="1023" customFormat="1">
      <c r="A310" s="1114"/>
      <c r="B310" s="1120"/>
      <c r="C310" s="1120"/>
      <c r="D310" s="1120"/>
      <c r="E310" s="1120"/>
      <c r="F310" s="1120"/>
      <c r="G310" s="1120"/>
      <c r="H310" s="1120"/>
      <c r="I310" s="1121"/>
      <c r="J310" s="1120"/>
    </row>
    <row r="311" spans="1:10">
      <c r="A311" s="1114">
        <f>A307+1</f>
        <v>3</v>
      </c>
      <c r="B311" s="1120" t="s">
        <v>4840</v>
      </c>
      <c r="C311" s="1120"/>
      <c r="D311" s="1120"/>
      <c r="E311" s="1120">
        <f>F303*1.3</f>
        <v>8.3979999999999997</v>
      </c>
      <c r="F311" s="1120"/>
      <c r="G311" s="1120"/>
      <c r="H311" s="1120">
        <v>2</v>
      </c>
      <c r="I311" s="1119">
        <f>E311*H311</f>
        <v>16.795999999999999</v>
      </c>
      <c r="J311" s="1118" t="s">
        <v>2970</v>
      </c>
    </row>
    <row r="312" spans="1:10" s="1023" customFormat="1">
      <c r="A312" s="1114"/>
      <c r="B312" s="1120"/>
      <c r="C312" s="1120"/>
      <c r="D312" s="1120"/>
      <c r="E312" s="1120"/>
      <c r="F312" s="1120"/>
      <c r="G312" s="1120"/>
      <c r="H312" s="1120"/>
      <c r="I312" s="1121"/>
      <c r="J312" s="1120"/>
    </row>
    <row r="313" spans="1:10">
      <c r="A313" s="1114">
        <f>A311+1</f>
        <v>4</v>
      </c>
      <c r="B313" s="1120" t="s">
        <v>4841</v>
      </c>
      <c r="C313" s="1120"/>
      <c r="D313" s="1120"/>
      <c r="E313" s="1120">
        <v>15.17</v>
      </c>
      <c r="F313" s="1120"/>
      <c r="G313" s="1120"/>
      <c r="H313" s="1120">
        <v>1</v>
      </c>
      <c r="I313" s="1121">
        <f>E313*H313</f>
        <v>15.17</v>
      </c>
      <c r="J313" s="1120" t="s">
        <v>2970</v>
      </c>
    </row>
    <row r="314" spans="1:10">
      <c r="A314" s="1114"/>
      <c r="B314" s="1120"/>
      <c r="C314" s="1120"/>
      <c r="D314" s="1120"/>
      <c r="E314" s="1120">
        <v>15.17</v>
      </c>
      <c r="F314" s="1120"/>
      <c r="G314" s="1120"/>
      <c r="H314" s="1120">
        <v>1</v>
      </c>
      <c r="I314" s="1121">
        <f>E314*H314</f>
        <v>15.17</v>
      </c>
      <c r="J314" s="1120" t="s">
        <v>2970</v>
      </c>
    </row>
    <row r="315" spans="1:10" s="1023" customFormat="1">
      <c r="A315" s="1114"/>
      <c r="B315" s="1120"/>
      <c r="C315" s="1120"/>
      <c r="D315" s="1120"/>
      <c r="E315" s="1120">
        <f>E311</f>
        <v>8.3979999999999997</v>
      </c>
      <c r="F315" s="1120"/>
      <c r="G315" s="1120"/>
      <c r="H315" s="1120">
        <v>2</v>
      </c>
      <c r="I315" s="1121">
        <f>E315*H315</f>
        <v>16.795999999999999</v>
      </c>
      <c r="J315" s="1120" t="s">
        <v>2970</v>
      </c>
    </row>
    <row r="316" spans="1:10" s="1023" customFormat="1">
      <c r="A316" s="1114"/>
      <c r="B316" s="1120"/>
      <c r="C316" s="1120"/>
      <c r="D316" s="1120"/>
      <c r="E316" s="1120">
        <f>E315</f>
        <v>8.3979999999999997</v>
      </c>
      <c r="F316" s="1120"/>
      <c r="G316" s="1120"/>
      <c r="H316" s="1120">
        <v>4</v>
      </c>
      <c r="I316" s="1121">
        <f>E316*H316</f>
        <v>33.591999999999999</v>
      </c>
      <c r="J316" s="1120" t="s">
        <v>2970</v>
      </c>
    </row>
    <row r="317" spans="1:10" s="1023" customFormat="1">
      <c r="A317" s="1114"/>
      <c r="B317" s="1120"/>
      <c r="C317" s="1120"/>
      <c r="D317" s="1120"/>
      <c r="E317" s="1120"/>
      <c r="F317" s="1120"/>
      <c r="G317" s="1120"/>
      <c r="H317" s="1120"/>
      <c r="I317" s="1119">
        <f>SUM(I313:I316)</f>
        <v>80.727999999999994</v>
      </c>
      <c r="J317" s="1118" t="s">
        <v>2970</v>
      </c>
    </row>
    <row r="318" spans="1:10" s="1023" customFormat="1">
      <c r="A318" s="1114"/>
      <c r="B318" s="1120"/>
      <c r="C318" s="1120"/>
      <c r="D318" s="1120"/>
      <c r="E318" s="1120"/>
      <c r="F318" s="1120"/>
      <c r="G318" s="1120"/>
      <c r="H318" s="1120"/>
      <c r="I318" s="1121"/>
      <c r="J318" s="1120"/>
    </row>
    <row r="319" spans="1:10">
      <c r="A319" s="1114" t="s">
        <v>4842</v>
      </c>
      <c r="B319" s="1120" t="s">
        <v>4843</v>
      </c>
      <c r="C319" s="1120"/>
      <c r="D319" s="1120"/>
      <c r="E319" s="1120"/>
      <c r="F319" s="1120"/>
      <c r="G319" s="1120"/>
      <c r="H319" s="1120"/>
      <c r="I319" s="1121"/>
      <c r="J319" s="1120"/>
    </row>
    <row r="320" spans="1:10">
      <c r="A320" s="1114">
        <v>1</v>
      </c>
      <c r="B320" s="1120" t="s">
        <v>4844</v>
      </c>
      <c r="C320" s="1120"/>
      <c r="D320" s="1120"/>
      <c r="E320" s="1120">
        <v>10</v>
      </c>
      <c r="F320" s="1120">
        <v>3.35</v>
      </c>
      <c r="G320" s="1120"/>
      <c r="H320" s="1120">
        <v>2</v>
      </c>
      <c r="I320" s="1121">
        <f>E320*F320*H320</f>
        <v>67</v>
      </c>
      <c r="J320" s="1120" t="s">
        <v>2647</v>
      </c>
    </row>
    <row r="321" spans="1:10" s="1023" customFormat="1">
      <c r="A321" s="1114"/>
      <c r="B321" s="1120"/>
      <c r="C321" s="1120"/>
      <c r="D321" s="1120"/>
      <c r="E321" s="1120">
        <v>15</v>
      </c>
      <c r="F321" s="1120">
        <v>3.35</v>
      </c>
      <c r="G321" s="1120"/>
      <c r="H321" s="1120">
        <v>2</v>
      </c>
      <c r="I321" s="1121">
        <f>E321*F321*H321</f>
        <v>100.5</v>
      </c>
      <c r="J321" s="1120" t="s">
        <v>2647</v>
      </c>
    </row>
    <row r="322" spans="1:10" s="1023" customFormat="1">
      <c r="A322" s="1114"/>
      <c r="B322" s="1120"/>
      <c r="C322" s="1120"/>
      <c r="D322" s="1120"/>
      <c r="E322" s="1120"/>
      <c r="F322" s="1120"/>
      <c r="G322" s="1120"/>
      <c r="H322" s="1120"/>
      <c r="I322" s="1121">
        <f t="shared" ref="I322" si="9">SUM(I320:I321)</f>
        <v>167.5</v>
      </c>
      <c r="J322" s="1128" t="s">
        <v>2647</v>
      </c>
    </row>
    <row r="323" spans="1:10" s="1023" customFormat="1">
      <c r="A323" s="1114"/>
      <c r="B323" s="1120"/>
      <c r="C323" s="1120"/>
      <c r="D323" s="1120"/>
      <c r="E323" s="1120"/>
      <c r="F323" s="1120"/>
      <c r="G323" s="1120"/>
      <c r="H323" s="1120"/>
      <c r="I323" s="1121"/>
      <c r="J323" s="1120"/>
    </row>
    <row r="324" spans="1:10" s="1023" customFormat="1">
      <c r="A324" s="1114"/>
      <c r="B324" s="1120"/>
      <c r="C324" s="1120" t="s">
        <v>4869</v>
      </c>
      <c r="D324" s="1120" t="s">
        <v>4870</v>
      </c>
      <c r="E324" s="1120">
        <v>2.15</v>
      </c>
      <c r="F324" s="1120">
        <v>0.6</v>
      </c>
      <c r="G324" s="1120"/>
      <c r="H324" s="1120">
        <v>4</v>
      </c>
      <c r="I324" s="1121">
        <f>E324*F324*H324</f>
        <v>5.1599999999999993</v>
      </c>
      <c r="J324" s="1120" t="s">
        <v>2647</v>
      </c>
    </row>
    <row r="325" spans="1:10" s="1023" customFormat="1">
      <c r="A325" s="1114"/>
      <c r="B325" s="1120"/>
      <c r="C325" s="1120"/>
      <c r="D325" s="1120" t="s">
        <v>4874</v>
      </c>
      <c r="E325" s="1120">
        <v>3.2</v>
      </c>
      <c r="F325" s="1120">
        <v>0.6</v>
      </c>
      <c r="G325" s="1120"/>
      <c r="H325" s="1120">
        <v>4</v>
      </c>
      <c r="I325" s="1121">
        <f>E325*F325*H325</f>
        <v>7.68</v>
      </c>
      <c r="J325" s="1120" t="s">
        <v>2647</v>
      </c>
    </row>
    <row r="326" spans="1:10" s="1023" customFormat="1">
      <c r="A326" s="1114"/>
      <c r="B326" s="1120"/>
      <c r="C326" s="1120"/>
      <c r="D326" s="1120"/>
      <c r="E326" s="1120"/>
      <c r="F326" s="1120"/>
      <c r="G326" s="1120"/>
      <c r="H326" s="1120"/>
      <c r="I326" s="1121">
        <f>SUM(I324:I325)</f>
        <v>12.84</v>
      </c>
      <c r="J326" s="1128" t="s">
        <v>2647</v>
      </c>
    </row>
    <row r="327" spans="1:10" s="1023" customFormat="1">
      <c r="A327" s="1114"/>
      <c r="B327" s="1120"/>
      <c r="C327" s="1120"/>
      <c r="D327" s="1120"/>
      <c r="E327" s="1120"/>
      <c r="F327" s="1120"/>
      <c r="G327" s="1120"/>
      <c r="H327" s="1120"/>
      <c r="I327" s="1121"/>
      <c r="J327" s="1120"/>
    </row>
    <row r="328" spans="1:10" s="1023" customFormat="1">
      <c r="A328" s="1114"/>
      <c r="B328" s="1120"/>
      <c r="C328" s="1120"/>
      <c r="D328" s="1120"/>
      <c r="E328" s="1120"/>
      <c r="F328" s="1120"/>
      <c r="G328" s="1120"/>
      <c r="H328" s="1120" t="s">
        <v>4740</v>
      </c>
      <c r="I328" s="1119">
        <f>(I322-I326)*2</f>
        <v>309.32</v>
      </c>
      <c r="J328" s="1118" t="s">
        <v>2647</v>
      </c>
    </row>
    <row r="329" spans="1:10" s="1023" customFormat="1">
      <c r="A329" s="1114"/>
      <c r="B329" s="1120"/>
      <c r="C329" s="1120"/>
      <c r="D329" s="1120"/>
      <c r="E329" s="1120"/>
      <c r="F329" s="1120"/>
      <c r="G329" s="1120"/>
      <c r="H329" s="1120"/>
      <c r="I329" s="1121"/>
      <c r="J329" s="1120"/>
    </row>
    <row r="330" spans="1:10" s="1023" customFormat="1">
      <c r="A330" s="1114"/>
      <c r="B330" s="1120"/>
      <c r="C330" s="1120"/>
      <c r="D330" s="1120"/>
      <c r="E330" s="1120"/>
      <c r="F330" s="1120"/>
      <c r="G330" s="1120"/>
      <c r="H330" s="1120"/>
      <c r="I330" s="1121"/>
      <c r="J330" s="1120"/>
    </row>
    <row r="331" spans="1:10">
      <c r="A331" s="1114">
        <f>A320+1</f>
        <v>2</v>
      </c>
      <c r="B331" s="1120" t="s">
        <v>4845</v>
      </c>
      <c r="C331" s="1120"/>
      <c r="D331" s="1120"/>
      <c r="E331" s="1120"/>
      <c r="F331" s="1120"/>
      <c r="G331" s="1120"/>
      <c r="H331" s="1120"/>
      <c r="I331" s="1119">
        <f>I295+I296</f>
        <v>416.55799999999999</v>
      </c>
      <c r="J331" s="1118" t="s">
        <v>2647</v>
      </c>
    </row>
    <row r="332" spans="1:10" s="1023" customFormat="1">
      <c r="A332" s="1114"/>
      <c r="B332" s="1120"/>
      <c r="C332" s="1120"/>
      <c r="D332" s="1120"/>
      <c r="E332" s="1120"/>
      <c r="F332" s="1120"/>
      <c r="G332" s="1120"/>
      <c r="H332" s="1120"/>
      <c r="I332" s="1121"/>
      <c r="J332" s="1120"/>
    </row>
    <row r="333" spans="1:10">
      <c r="A333" s="1114">
        <f>A331+1</f>
        <v>3</v>
      </c>
      <c r="B333" s="1120" t="s">
        <v>4846</v>
      </c>
      <c r="C333" s="1120"/>
      <c r="D333" s="1120" t="s">
        <v>4870</v>
      </c>
      <c r="E333" s="1120">
        <v>2.15</v>
      </c>
      <c r="F333" s="1120">
        <f>0.05+0.15+0.05</f>
        <v>0.25</v>
      </c>
      <c r="G333" s="1120"/>
      <c r="H333" s="1120">
        <v>2</v>
      </c>
      <c r="I333" s="1121">
        <f>E333*F333*H333</f>
        <v>1.075</v>
      </c>
      <c r="J333" s="1120" t="s">
        <v>2647</v>
      </c>
    </row>
    <row r="334" spans="1:10" s="1023" customFormat="1">
      <c r="A334" s="1114"/>
      <c r="B334" s="1120"/>
      <c r="C334" s="1120"/>
      <c r="D334" s="1120"/>
      <c r="E334" s="1120">
        <v>0.6</v>
      </c>
      <c r="F334" s="1120">
        <f>0.05+0.15+0.05</f>
        <v>0.25</v>
      </c>
      <c r="G334" s="1120"/>
      <c r="H334" s="1120">
        <v>2</v>
      </c>
      <c r="I334" s="1121">
        <f>E334*F334*H334</f>
        <v>0.3</v>
      </c>
      <c r="J334" s="1120" t="s">
        <v>2647</v>
      </c>
    </row>
    <row r="335" spans="1:10" s="1023" customFormat="1">
      <c r="A335" s="1114"/>
      <c r="B335" s="1120"/>
      <c r="C335" s="1120"/>
      <c r="D335" s="1120"/>
      <c r="E335" s="1120">
        <v>0.6</v>
      </c>
      <c r="F335" s="1120">
        <f>0.05+0.15+0.05+0.15</f>
        <v>0.4</v>
      </c>
      <c r="G335" s="1120"/>
      <c r="H335" s="1120">
        <v>1</v>
      </c>
      <c r="I335" s="1121">
        <f>E335*F335*H335</f>
        <v>0.24</v>
      </c>
      <c r="J335" s="1120" t="s">
        <v>2647</v>
      </c>
    </row>
    <row r="336" spans="1:10" s="1023" customFormat="1">
      <c r="A336" s="1114"/>
      <c r="B336" s="1120"/>
      <c r="C336" s="1120"/>
      <c r="D336" s="1120"/>
      <c r="E336" s="1120"/>
      <c r="F336" s="1120"/>
      <c r="G336" s="1120"/>
      <c r="H336" s="1120"/>
      <c r="I336" s="1121">
        <f>SUM(I333:I335)</f>
        <v>1.615</v>
      </c>
      <c r="J336" s="1120" t="s">
        <v>2647</v>
      </c>
    </row>
    <row r="337" spans="1:10" s="1023" customFormat="1">
      <c r="A337" s="1114"/>
      <c r="B337" s="1120"/>
      <c r="C337" s="1120"/>
      <c r="D337" s="1120"/>
      <c r="E337" s="1120"/>
      <c r="F337" s="1120"/>
      <c r="G337" s="1120"/>
      <c r="H337" s="1120"/>
      <c r="I337" s="1121"/>
      <c r="J337" s="1120"/>
    </row>
    <row r="338" spans="1:10" s="1023" customFormat="1">
      <c r="A338" s="1114"/>
      <c r="B338" s="1120"/>
      <c r="C338" s="1120"/>
      <c r="D338" s="1120"/>
      <c r="E338" s="1120"/>
      <c r="F338" s="1120"/>
      <c r="G338" s="1120"/>
      <c r="H338" s="1120">
        <v>15</v>
      </c>
      <c r="I338" s="1119">
        <f>I336*H338</f>
        <v>24.225000000000001</v>
      </c>
      <c r="J338" s="1118" t="s">
        <v>2647</v>
      </c>
    </row>
    <row r="339" spans="1:10" s="1023" customFormat="1">
      <c r="A339" s="1114"/>
      <c r="B339" s="1120"/>
      <c r="C339" s="1120"/>
      <c r="D339" s="1120"/>
      <c r="E339" s="1120"/>
      <c r="F339" s="1120"/>
      <c r="G339" s="1120"/>
      <c r="H339" s="1120"/>
      <c r="I339" s="1121"/>
      <c r="J339" s="1120"/>
    </row>
    <row r="340" spans="1:10" s="1023" customFormat="1">
      <c r="A340" s="1114"/>
      <c r="B340" s="1120"/>
      <c r="C340" s="1120"/>
      <c r="D340" s="1120"/>
      <c r="E340" s="1120"/>
      <c r="F340" s="1120"/>
      <c r="G340" s="1120"/>
      <c r="H340" s="1120"/>
      <c r="I340" s="1121"/>
      <c r="J340" s="1120"/>
    </row>
    <row r="341" spans="1:10">
      <c r="A341" s="1114">
        <f>A333+1</f>
        <v>4</v>
      </c>
      <c r="B341" s="1120" t="s">
        <v>4847</v>
      </c>
      <c r="C341" s="1120"/>
      <c r="D341" s="1120" t="s">
        <v>4871</v>
      </c>
      <c r="E341" s="1120">
        <v>3.2</v>
      </c>
      <c r="F341" s="1120">
        <f>0.05+0.15+0.05</f>
        <v>0.25</v>
      </c>
      <c r="G341" s="1120"/>
      <c r="H341" s="1120">
        <v>2</v>
      </c>
      <c r="I341" s="1121">
        <f>E341*F341*H341</f>
        <v>1.6</v>
      </c>
      <c r="J341" s="1120" t="s">
        <v>2647</v>
      </c>
    </row>
    <row r="342" spans="1:10" s="1023" customFormat="1">
      <c r="A342" s="1114"/>
      <c r="B342" s="1120"/>
      <c r="C342" s="1120"/>
      <c r="D342" s="1120"/>
      <c r="E342" s="1120">
        <v>0.6</v>
      </c>
      <c r="F342" s="1120">
        <f>0.05+0.15+0.05</f>
        <v>0.25</v>
      </c>
      <c r="G342" s="1120"/>
      <c r="H342" s="1120">
        <v>2</v>
      </c>
      <c r="I342" s="1121">
        <f>E342*F342*H342</f>
        <v>0.3</v>
      </c>
      <c r="J342" s="1120" t="s">
        <v>2647</v>
      </c>
    </row>
    <row r="343" spans="1:10" s="1023" customFormat="1">
      <c r="A343" s="1114"/>
      <c r="B343" s="1120"/>
      <c r="C343" s="1120"/>
      <c r="D343" s="1120"/>
      <c r="E343" s="1120">
        <v>0.6</v>
      </c>
      <c r="F343" s="1120">
        <f>0.05+0.15+0.05+0.15</f>
        <v>0.4</v>
      </c>
      <c r="G343" s="1120"/>
      <c r="H343" s="1120">
        <v>2</v>
      </c>
      <c r="I343" s="1121">
        <f>E343*F343*H343</f>
        <v>0.48</v>
      </c>
      <c r="J343" s="1120" t="s">
        <v>2647</v>
      </c>
    </row>
    <row r="344" spans="1:10" s="1023" customFormat="1">
      <c r="A344" s="1114"/>
      <c r="B344" s="1120"/>
      <c r="C344" s="1120"/>
      <c r="D344" s="1120"/>
      <c r="E344" s="1120"/>
      <c r="F344" s="1120"/>
      <c r="G344" s="1120"/>
      <c r="H344" s="1120"/>
      <c r="I344" s="1121">
        <f>SUM(I341:I343)</f>
        <v>2.38</v>
      </c>
      <c r="J344" s="1120" t="s">
        <v>2647</v>
      </c>
    </row>
    <row r="345" spans="1:10" s="1023" customFormat="1">
      <c r="A345" s="1114"/>
      <c r="B345" s="1120"/>
      <c r="C345" s="1120"/>
      <c r="D345" s="1120"/>
      <c r="E345" s="1120"/>
      <c r="F345" s="1120"/>
      <c r="G345" s="1120"/>
      <c r="H345" s="1120"/>
      <c r="I345" s="1121"/>
      <c r="J345" s="1120"/>
    </row>
    <row r="346" spans="1:10" s="1023" customFormat="1">
      <c r="A346" s="1114"/>
      <c r="B346" s="1120"/>
      <c r="C346" s="1120"/>
      <c r="D346" s="1120"/>
      <c r="E346" s="1120"/>
      <c r="F346" s="1120"/>
      <c r="G346" s="1120"/>
      <c r="H346" s="1120">
        <v>4</v>
      </c>
      <c r="I346" s="1119">
        <f>I344*H346</f>
        <v>9.52</v>
      </c>
      <c r="J346" s="1118" t="s">
        <v>2647</v>
      </c>
    </row>
    <row r="347" spans="1:10">
      <c r="A347" s="1114"/>
      <c r="B347" s="1120"/>
      <c r="C347" s="1120"/>
      <c r="D347" s="1120"/>
      <c r="E347" s="1120"/>
      <c r="F347" s="1120"/>
      <c r="G347" s="1120"/>
      <c r="H347" s="1120"/>
      <c r="I347" s="1121"/>
      <c r="J347" s="1120"/>
    </row>
    <row r="348" spans="1:10">
      <c r="A348" s="1114" t="s">
        <v>4848</v>
      </c>
      <c r="B348" s="1120" t="s">
        <v>4849</v>
      </c>
      <c r="C348" s="1120"/>
      <c r="D348" s="1120"/>
      <c r="E348" s="1120"/>
      <c r="F348" s="1120"/>
      <c r="G348" s="1120"/>
      <c r="H348" s="1120"/>
      <c r="I348" s="1121"/>
      <c r="J348" s="1120"/>
    </row>
    <row r="349" spans="1:10">
      <c r="A349" s="1114">
        <v>1</v>
      </c>
      <c r="B349" s="1120" t="s">
        <v>4850</v>
      </c>
      <c r="C349" s="1120"/>
      <c r="D349" s="1120"/>
      <c r="E349" s="1120"/>
      <c r="F349" s="1120"/>
      <c r="G349" s="1120"/>
      <c r="H349" s="1120"/>
      <c r="I349" s="1121">
        <v>22</v>
      </c>
      <c r="J349" s="1120" t="s">
        <v>4875</v>
      </c>
    </row>
    <row r="350" spans="1:10">
      <c r="A350" s="1114">
        <f t="shared" ref="A350:A353" si="10">A349+1</f>
        <v>2</v>
      </c>
      <c r="B350" s="1120" t="s">
        <v>4851</v>
      </c>
      <c r="C350" s="1120"/>
      <c r="D350" s="1120"/>
      <c r="E350" s="1120"/>
      <c r="F350" s="1120"/>
      <c r="G350" s="1120"/>
      <c r="H350" s="1120"/>
      <c r="I350" s="1121">
        <v>16</v>
      </c>
      <c r="J350" s="1120" t="s">
        <v>1423</v>
      </c>
    </row>
    <row r="351" spans="1:10">
      <c r="A351" s="1114">
        <f t="shared" si="10"/>
        <v>3</v>
      </c>
      <c r="B351" s="1120" t="s">
        <v>4852</v>
      </c>
      <c r="C351" s="1120"/>
      <c r="D351" s="1120"/>
      <c r="E351" s="1120"/>
      <c r="F351" s="1120"/>
      <c r="G351" s="1120"/>
      <c r="H351" s="1120"/>
      <c r="I351" s="1121">
        <v>1</v>
      </c>
      <c r="J351" s="1120" t="s">
        <v>1423</v>
      </c>
    </row>
    <row r="352" spans="1:10">
      <c r="A352" s="1114">
        <f t="shared" si="10"/>
        <v>4</v>
      </c>
      <c r="B352" s="1120" t="s">
        <v>4853</v>
      </c>
      <c r="C352" s="1120"/>
      <c r="D352" s="1120"/>
      <c r="E352" s="1120"/>
      <c r="F352" s="1120"/>
      <c r="G352" s="1120"/>
      <c r="H352" s="1120"/>
      <c r="I352" s="1121">
        <v>1</v>
      </c>
      <c r="J352" s="1120" t="s">
        <v>1423</v>
      </c>
    </row>
    <row r="353" spans="1:10">
      <c r="A353" s="1114">
        <f t="shared" si="10"/>
        <v>5</v>
      </c>
      <c r="B353" s="1120" t="s">
        <v>4854</v>
      </c>
      <c r="C353" s="1120"/>
      <c r="D353" s="1120"/>
      <c r="E353" s="1120"/>
      <c r="F353" s="1120"/>
      <c r="G353" s="1120"/>
      <c r="H353" s="1120"/>
      <c r="I353" s="1121">
        <v>1</v>
      </c>
      <c r="J353" s="1120" t="s">
        <v>1423</v>
      </c>
    </row>
    <row r="354" spans="1:10">
      <c r="A354" s="1114"/>
      <c r="B354" s="1120"/>
      <c r="C354" s="1120"/>
      <c r="D354" s="1120"/>
      <c r="E354" s="1120"/>
      <c r="F354" s="1120"/>
      <c r="G354" s="1120"/>
      <c r="H354" s="1120"/>
      <c r="I354" s="1121"/>
      <c r="J354" s="1120"/>
    </row>
    <row r="355" spans="1:10">
      <c r="A355" s="1114" t="s">
        <v>4855</v>
      </c>
      <c r="B355" s="1120" t="s">
        <v>4856</v>
      </c>
      <c r="C355" s="1120"/>
      <c r="D355" s="1120"/>
      <c r="E355" s="1120"/>
      <c r="F355" s="1120"/>
      <c r="G355" s="1120"/>
      <c r="H355" s="1120"/>
      <c r="I355" s="1121"/>
      <c r="J355" s="1120"/>
    </row>
    <row r="356" spans="1:10">
      <c r="A356" s="1114">
        <v>1</v>
      </c>
      <c r="B356" s="1120" t="s">
        <v>4857</v>
      </c>
      <c r="C356" s="1120"/>
      <c r="D356" s="1120"/>
      <c r="E356" s="1120"/>
      <c r="F356" s="1120"/>
      <c r="G356" s="1120"/>
      <c r="H356" s="1120"/>
      <c r="I356" s="1121">
        <v>1</v>
      </c>
      <c r="J356" s="1120" t="s">
        <v>3659</v>
      </c>
    </row>
  </sheetData>
  <pageMargins left="0.7" right="0.7" top="0.75" bottom="0.75" header="0.3" footer="0.3"/>
  <pageSetup scale="55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3"/>
  <dimension ref="A1:G2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12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86" t="s">
        <v>711</v>
      </c>
      <c r="B20" s="1332" t="s">
        <v>712</v>
      </c>
      <c r="C20" s="1332"/>
      <c r="D20" s="1332"/>
      <c r="E20" s="1332"/>
      <c r="F20" s="1332"/>
      <c r="G20" s="33"/>
    </row>
    <row r="21" spans="1:7" ht="12" customHeight="1">
      <c r="A21" s="74"/>
      <c r="B21" s="53"/>
      <c r="C21" s="53"/>
      <c r="D21" s="53"/>
      <c r="E21" s="53"/>
      <c r="F21" s="53"/>
      <c r="G21" s="51"/>
    </row>
    <row r="22" spans="1:7" ht="12" customHeight="1">
      <c r="A22" s="85" t="s">
        <v>2267</v>
      </c>
      <c r="B22" s="53"/>
      <c r="C22" s="53"/>
      <c r="D22" s="53"/>
      <c r="E22" s="53"/>
      <c r="F22" s="53"/>
      <c r="G22" s="51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4">
    <tabColor rgb="FFFF0000"/>
  </sheetPr>
  <dimension ref="A1:G21"/>
  <sheetViews>
    <sheetView workbookViewId="0">
      <selection activeCell="C27" sqref="C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2268</v>
      </c>
    </row>
    <row r="3" spans="1:7">
      <c r="A3" t="s">
        <v>2269</v>
      </c>
    </row>
    <row r="5" spans="1:7" ht="35.1" customHeight="1">
      <c r="A5" s="46" t="s">
        <v>762</v>
      </c>
      <c r="B5" s="46" t="s">
        <v>763</v>
      </c>
      <c r="C5" s="46" t="s">
        <v>764</v>
      </c>
      <c r="D5" s="46" t="s">
        <v>765</v>
      </c>
      <c r="E5" s="46" t="s">
        <v>766</v>
      </c>
      <c r="F5" s="46" t="s">
        <v>767</v>
      </c>
      <c r="G5" s="46" t="s">
        <v>768</v>
      </c>
    </row>
    <row r="6" spans="1:7" ht="12" customHeight="1">
      <c r="A6" s="53" t="s">
        <v>671</v>
      </c>
      <c r="B6" s="53" t="s">
        <v>672</v>
      </c>
      <c r="C6" s="51"/>
      <c r="D6" s="51"/>
      <c r="E6" s="51"/>
      <c r="F6" s="51"/>
      <c r="G6" s="51"/>
    </row>
    <row r="7" spans="1:7" ht="13.7" customHeight="1">
      <c r="A7" s="51"/>
      <c r="B7" s="53" t="s">
        <v>673</v>
      </c>
      <c r="C7" s="53" t="s">
        <v>674</v>
      </c>
      <c r="D7" s="53" t="s">
        <v>675</v>
      </c>
      <c r="E7" s="74" t="s">
        <v>752</v>
      </c>
      <c r="F7" s="51"/>
      <c r="G7" s="51"/>
    </row>
    <row r="8" spans="1:7" ht="13.7" customHeight="1">
      <c r="A8" s="51"/>
      <c r="B8" s="53" t="s">
        <v>677</v>
      </c>
      <c r="C8" s="53" t="s">
        <v>681</v>
      </c>
      <c r="D8" s="53" t="s">
        <v>675</v>
      </c>
      <c r="E8" s="53" t="s">
        <v>817</v>
      </c>
      <c r="F8" s="51"/>
      <c r="G8" s="51"/>
    </row>
    <row r="9" spans="1:7" ht="13.9" customHeight="1">
      <c r="A9" s="51"/>
      <c r="B9" s="53" t="s">
        <v>751</v>
      </c>
      <c r="C9" s="53" t="s">
        <v>1202</v>
      </c>
      <c r="D9" s="53" t="s">
        <v>675</v>
      </c>
      <c r="E9" s="53" t="s">
        <v>1203</v>
      </c>
      <c r="F9" s="51"/>
      <c r="G9" s="51"/>
    </row>
    <row r="10" spans="1:7" ht="13.7" customHeight="1">
      <c r="A10" s="51"/>
      <c r="B10" s="53" t="s">
        <v>683</v>
      </c>
      <c r="C10" s="53" t="s">
        <v>1204</v>
      </c>
      <c r="D10" s="53" t="s">
        <v>675</v>
      </c>
      <c r="E10" s="53" t="s">
        <v>868</v>
      </c>
      <c r="F10" s="51"/>
      <c r="G10" s="51"/>
    </row>
    <row r="11" spans="1:7" ht="12" customHeight="1">
      <c r="A11" s="51"/>
      <c r="B11" s="51"/>
      <c r="C11" s="51"/>
      <c r="D11" s="51"/>
      <c r="E11" s="1337" t="s">
        <v>685</v>
      </c>
      <c r="F11" s="1337"/>
      <c r="G11" s="51"/>
    </row>
    <row r="12" spans="1:7" ht="12" customHeight="1">
      <c r="A12" s="53" t="s">
        <v>686</v>
      </c>
      <c r="B12" s="53" t="s">
        <v>687</v>
      </c>
      <c r="C12" s="51"/>
      <c r="D12" s="51"/>
      <c r="E12" s="51"/>
      <c r="F12" s="51"/>
      <c r="G12" s="51"/>
    </row>
    <row r="13" spans="1:7" ht="13.9" customHeight="1">
      <c r="A13" s="51"/>
      <c r="B13" s="53" t="s">
        <v>1205</v>
      </c>
      <c r="C13" s="51"/>
      <c r="D13" s="53" t="s">
        <v>743</v>
      </c>
      <c r="E13" s="53" t="s">
        <v>1206</v>
      </c>
      <c r="F13" s="51"/>
      <c r="G13" s="51"/>
    </row>
    <row r="14" spans="1:7" ht="12" customHeight="1">
      <c r="A14" s="51"/>
      <c r="B14" s="51"/>
      <c r="C14" s="51"/>
      <c r="D14" s="51"/>
      <c r="E14" s="1337" t="s">
        <v>702</v>
      </c>
      <c r="F14" s="1337"/>
      <c r="G14" s="51"/>
    </row>
    <row r="15" spans="1:7" ht="12" customHeight="1">
      <c r="A15" s="53" t="s">
        <v>703</v>
      </c>
      <c r="B15" s="53" t="s">
        <v>704</v>
      </c>
      <c r="C15" s="51"/>
      <c r="D15" s="51"/>
      <c r="E15" s="51"/>
      <c r="F15" s="51"/>
      <c r="G15" s="51"/>
    </row>
    <row r="16" spans="1:7" ht="12" customHeight="1">
      <c r="A16" s="51"/>
      <c r="B16" s="51"/>
      <c r="C16" s="51"/>
      <c r="D16" s="51"/>
      <c r="E16" s="51"/>
      <c r="F16" s="51"/>
      <c r="G16" s="51"/>
    </row>
    <row r="17" spans="1:7" ht="12" customHeight="1">
      <c r="A17" s="51"/>
      <c r="B17" s="51"/>
      <c r="C17" s="51"/>
      <c r="D17" s="51"/>
      <c r="E17" s="1337" t="s">
        <v>705</v>
      </c>
      <c r="F17" s="1337"/>
      <c r="G17" s="51"/>
    </row>
    <row r="18" spans="1:7" ht="11.85" customHeight="1">
      <c r="A18" s="51"/>
      <c r="B18" s="51"/>
      <c r="C18" s="51"/>
      <c r="D18" s="51"/>
      <c r="E18" s="51"/>
      <c r="F18" s="51"/>
      <c r="G18" s="51"/>
    </row>
    <row r="19" spans="1:7" ht="12" customHeight="1">
      <c r="A19" s="53" t="s">
        <v>706</v>
      </c>
      <c r="B19" s="1337" t="s">
        <v>707</v>
      </c>
      <c r="C19" s="1337"/>
      <c r="D19" s="1337"/>
      <c r="E19" s="1337"/>
      <c r="F19" s="1337"/>
      <c r="G19" s="51"/>
    </row>
    <row r="20" spans="1:7" ht="12" customHeight="1">
      <c r="A20" s="53" t="s">
        <v>708</v>
      </c>
      <c r="B20" s="1338" t="s">
        <v>876</v>
      </c>
      <c r="C20" s="1338"/>
      <c r="D20" s="1338"/>
      <c r="E20" s="1337" t="s">
        <v>710</v>
      </c>
      <c r="F20" s="1337"/>
      <c r="G20" s="51"/>
    </row>
    <row r="21" spans="1:7" ht="12.2" customHeight="1">
      <c r="A21" s="53" t="s">
        <v>711</v>
      </c>
      <c r="B21" s="1337" t="s">
        <v>712</v>
      </c>
      <c r="C21" s="1337"/>
      <c r="D21" s="1337"/>
      <c r="E21" s="1337"/>
      <c r="F21" s="1337"/>
      <c r="G21" s="51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1332" t="s">
        <v>702</v>
      </c>
      <c r="F12" s="1332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2" t="s">
        <v>705</v>
      </c>
      <c r="F15" s="1332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2" t="s">
        <v>707</v>
      </c>
      <c r="C17" s="1332"/>
      <c r="D17" s="1332"/>
      <c r="E17" s="1332"/>
      <c r="F17" s="1332"/>
      <c r="G17" s="5"/>
    </row>
    <row r="18" spans="1:7" ht="12" customHeight="1">
      <c r="A18" s="3" t="s">
        <v>708</v>
      </c>
      <c r="B18" s="1329" t="s">
        <v>876</v>
      </c>
      <c r="C18" s="1329"/>
      <c r="D18" s="1329"/>
      <c r="E18" s="1330" t="s">
        <v>710</v>
      </c>
      <c r="F18" s="1330"/>
      <c r="G18" s="5"/>
    </row>
    <row r="19" spans="1:7" ht="12" customHeight="1">
      <c r="A19" s="3" t="s">
        <v>711</v>
      </c>
      <c r="B19" s="1331" t="s">
        <v>712</v>
      </c>
      <c r="C19" s="1331"/>
      <c r="D19" s="1331"/>
      <c r="E19" s="1331"/>
      <c r="F19" s="1331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2271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7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7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32" t="s">
        <v>685</v>
      </c>
      <c r="F29" s="1332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1332" t="s">
        <v>702</v>
      </c>
      <c r="F32" s="1332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2" t="s">
        <v>705</v>
      </c>
      <c r="F35" s="1332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2" t="s">
        <v>707</v>
      </c>
      <c r="C37" s="1332"/>
      <c r="D37" s="1332"/>
      <c r="E37" s="1332"/>
      <c r="F37" s="1332"/>
      <c r="G37" s="5"/>
    </row>
    <row r="38" spans="1:7" ht="12" customHeight="1">
      <c r="A38" s="3" t="s">
        <v>708</v>
      </c>
      <c r="B38" s="1329" t="s">
        <v>876</v>
      </c>
      <c r="C38" s="1329"/>
      <c r="D38" s="1329"/>
      <c r="E38" s="1330" t="s">
        <v>710</v>
      </c>
      <c r="F38" s="1330"/>
      <c r="G38" s="5"/>
    </row>
    <row r="39" spans="1:7" ht="12" customHeight="1">
      <c r="A39" s="3" t="s">
        <v>711</v>
      </c>
      <c r="B39" s="1331" t="s">
        <v>712</v>
      </c>
      <c r="C39" s="1331"/>
      <c r="D39" s="1331"/>
      <c r="E39" s="1331"/>
      <c r="F39" s="1331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6"/>
  <dimension ref="A1:G43"/>
  <sheetViews>
    <sheetView topLeftCell="A31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2273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7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7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7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7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32" t="s">
        <v>702</v>
      </c>
      <c r="F14" s="1332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2" t="s">
        <v>705</v>
      </c>
      <c r="F17" s="1332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2" t="s">
        <v>707</v>
      </c>
      <c r="C19" s="1332"/>
      <c r="D19" s="1332"/>
      <c r="E19" s="1332"/>
      <c r="F19" s="1332"/>
      <c r="G19" s="5"/>
    </row>
    <row r="20" spans="1:7" ht="12" customHeight="1">
      <c r="A20" s="3" t="s">
        <v>708</v>
      </c>
      <c r="B20" s="1329" t="s">
        <v>876</v>
      </c>
      <c r="C20" s="1329"/>
      <c r="D20" s="1329"/>
      <c r="E20" s="1330" t="s">
        <v>710</v>
      </c>
      <c r="F20" s="1330"/>
      <c r="G20" s="5"/>
    </row>
    <row r="21" spans="1:7" ht="12.2" customHeight="1">
      <c r="A21" s="3" t="s">
        <v>711</v>
      </c>
      <c r="B21" s="1331" t="s">
        <v>712</v>
      </c>
      <c r="C21" s="1331"/>
      <c r="D21" s="1331"/>
      <c r="E21" s="1331"/>
      <c r="F21" s="1331"/>
      <c r="G21" s="5"/>
    </row>
    <row r="22" spans="1:7" ht="12.2" customHeight="1">
      <c r="A22" s="26"/>
      <c r="B22" s="30"/>
      <c r="C22" s="30"/>
      <c r="D22" s="30"/>
      <c r="E22" s="30"/>
      <c r="F22" s="30"/>
      <c r="G22" s="28"/>
    </row>
    <row r="23" spans="1:7" ht="12.2" customHeight="1">
      <c r="A23" s="64" t="s">
        <v>2275</v>
      </c>
      <c r="B23" s="30"/>
      <c r="C23" s="30"/>
      <c r="D23" s="30"/>
      <c r="E23" s="30"/>
      <c r="F23" s="30"/>
      <c r="G23" s="28"/>
    </row>
    <row r="24" spans="1:7" ht="12.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1332" t="s">
        <v>685</v>
      </c>
      <c r="F31" s="1332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1332" t="s">
        <v>702</v>
      </c>
      <c r="F35" s="1332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2" t="s">
        <v>705</v>
      </c>
      <c r="F38" s="1332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3" t="s">
        <v>708</v>
      </c>
      <c r="B41" s="1329" t="s">
        <v>876</v>
      </c>
      <c r="C41" s="1329"/>
      <c r="D41" s="1329"/>
      <c r="E41" s="1330" t="s">
        <v>710</v>
      </c>
      <c r="F41" s="1330"/>
      <c r="G41" s="5"/>
    </row>
    <row r="42" spans="1:7" ht="12" customHeight="1">
      <c r="A42" s="3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7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1"/>
  <dimension ref="A1:G41"/>
  <sheetViews>
    <sheetView topLeftCell="A28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2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G758"/>
  <sheetViews>
    <sheetView view="pageBreakPreview" zoomScale="130" zoomScaleSheetLayoutView="130" workbookViewId="0">
      <selection activeCell="B10" sqref="B10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10.7109375" style="260" customWidth="1"/>
    <col min="5" max="5" width="10.7109375" style="376" customWidth="1"/>
    <col min="6" max="6" width="15.7109375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7" ht="18">
      <c r="A1" s="1312" t="s">
        <v>4771</v>
      </c>
      <c r="B1" s="1312"/>
      <c r="C1" s="1312"/>
      <c r="D1" s="1312"/>
      <c r="E1" s="1312"/>
      <c r="F1" s="1312"/>
      <c r="G1" s="1312"/>
    </row>
    <row r="2" spans="1:7" ht="20.25">
      <c r="A2" s="1039"/>
      <c r="B2" s="1039"/>
      <c r="C2" s="1039"/>
      <c r="D2" s="1039"/>
      <c r="E2" s="1039"/>
      <c r="F2" s="1039"/>
      <c r="G2" s="1039"/>
    </row>
    <row r="3" spans="1:7">
      <c r="A3" s="1053" t="s">
        <v>4896</v>
      </c>
      <c r="B3" s="1062" t="s">
        <v>4897</v>
      </c>
      <c r="C3" s="1057"/>
      <c r="D3" s="1057"/>
      <c r="E3" s="1073"/>
      <c r="F3" s="1078"/>
      <c r="G3" s="1083"/>
    </row>
    <row r="4" spans="1:7">
      <c r="A4" s="1054" t="s">
        <v>1003</v>
      </c>
      <c r="B4" s="1054" t="s">
        <v>1004</v>
      </c>
      <c r="C4" s="1054" t="s">
        <v>1005</v>
      </c>
      <c r="D4" s="1072" t="s">
        <v>1006</v>
      </c>
      <c r="E4" s="1074" t="s">
        <v>1007</v>
      </c>
      <c r="F4" s="1079" t="s">
        <v>2637</v>
      </c>
      <c r="G4" s="1084" t="s">
        <v>2638</v>
      </c>
    </row>
    <row r="5" spans="1:7">
      <c r="A5" s="1055" t="s">
        <v>671</v>
      </c>
      <c r="B5" s="1063" t="s">
        <v>672</v>
      </c>
      <c r="C5" s="1056"/>
      <c r="D5" s="1059"/>
      <c r="E5" s="1075"/>
      <c r="F5" s="1080"/>
      <c r="G5" s="1085"/>
    </row>
    <row r="6" spans="1:7">
      <c r="A6" s="1056"/>
      <c r="B6" s="1064" t="s">
        <v>673</v>
      </c>
      <c r="C6" s="1056" t="s">
        <v>674</v>
      </c>
      <c r="D6" s="1059" t="s">
        <v>675</v>
      </c>
      <c r="E6" s="1075">
        <v>0.1</v>
      </c>
      <c r="F6" s="1081">
        <f>F37</f>
        <v>100000</v>
      </c>
      <c r="G6" s="1086">
        <v>11000</v>
      </c>
    </row>
    <row r="7" spans="1:7">
      <c r="A7" s="1056"/>
      <c r="B7" s="1064" t="s">
        <v>683</v>
      </c>
      <c r="C7" s="1056" t="s">
        <v>684</v>
      </c>
      <c r="D7" s="1059" t="s">
        <v>675</v>
      </c>
      <c r="E7" s="1075">
        <v>0.05</v>
      </c>
      <c r="F7" s="1081">
        <f>F38</f>
        <v>140000</v>
      </c>
      <c r="G7" s="1086">
        <v>7500</v>
      </c>
    </row>
    <row r="8" spans="1:7">
      <c r="A8" s="1056"/>
      <c r="B8" s="1064"/>
      <c r="C8" s="1056"/>
      <c r="D8" s="1059"/>
      <c r="E8" s="1299" t="s">
        <v>685</v>
      </c>
      <c r="F8" s="1299"/>
      <c r="G8" s="1086">
        <v>18500</v>
      </c>
    </row>
    <row r="9" spans="1:7">
      <c r="A9" s="1055" t="s">
        <v>686</v>
      </c>
      <c r="B9" s="1063" t="s">
        <v>687</v>
      </c>
      <c r="C9" s="1056"/>
      <c r="D9" s="1059"/>
      <c r="E9" s="1075"/>
      <c r="F9" s="1080"/>
      <c r="G9" s="1086"/>
    </row>
    <row r="10" spans="1:7">
      <c r="A10" s="1056"/>
      <c r="B10" s="1064"/>
      <c r="C10" s="1056"/>
      <c r="D10" s="1059"/>
      <c r="E10" s="1299" t="s">
        <v>702</v>
      </c>
      <c r="F10" s="1299"/>
      <c r="G10" s="1086"/>
    </row>
    <row r="11" spans="1:7">
      <c r="A11" s="1055" t="s">
        <v>703</v>
      </c>
      <c r="B11" s="1300" t="s">
        <v>3910</v>
      </c>
      <c r="C11" s="1300"/>
      <c r="D11" s="1300"/>
      <c r="E11" s="1300"/>
      <c r="F11" s="1300"/>
      <c r="G11" s="1087">
        <v>18500</v>
      </c>
    </row>
    <row r="12" spans="1:7">
      <c r="A12" s="1055" t="s">
        <v>706</v>
      </c>
      <c r="B12" s="1301" t="s">
        <v>709</v>
      </c>
      <c r="C12" s="1301"/>
      <c r="D12" s="1301"/>
      <c r="E12" s="1300" t="s">
        <v>4030</v>
      </c>
      <c r="F12" s="1300"/>
      <c r="G12" s="1087">
        <v>2775</v>
      </c>
    </row>
    <row r="13" spans="1:7">
      <c r="A13" s="1055" t="s">
        <v>708</v>
      </c>
      <c r="B13" s="1300" t="s">
        <v>3911</v>
      </c>
      <c r="C13" s="1300"/>
      <c r="D13" s="1300"/>
      <c r="E13" s="1300"/>
      <c r="F13" s="1300"/>
      <c r="G13" s="1088">
        <v>21275</v>
      </c>
    </row>
    <row r="14" spans="1:7">
      <c r="A14" s="1057"/>
      <c r="B14" s="1065"/>
      <c r="C14" s="1057"/>
      <c r="D14" s="1057"/>
      <c r="E14" s="1073"/>
      <c r="F14" s="1078"/>
      <c r="G14" s="1083"/>
    </row>
    <row r="15" spans="1:7">
      <c r="A15" s="1058" t="s">
        <v>4898</v>
      </c>
      <c r="B15" s="1066" t="s">
        <v>4899</v>
      </c>
      <c r="C15" s="1057"/>
      <c r="D15" s="1057"/>
      <c r="E15" s="1073"/>
      <c r="F15" s="1078"/>
      <c r="G15" s="1083"/>
    </row>
    <row r="16" spans="1:7">
      <c r="A16" s="1054" t="s">
        <v>1003</v>
      </c>
      <c r="B16" s="1054" t="s">
        <v>1004</v>
      </c>
      <c r="C16" s="1054" t="s">
        <v>1005</v>
      </c>
      <c r="D16" s="1054" t="s">
        <v>1006</v>
      </c>
      <c r="E16" s="1074" t="s">
        <v>1007</v>
      </c>
      <c r="F16" s="1082" t="s">
        <v>2637</v>
      </c>
      <c r="G16" s="1089" t="s">
        <v>2638</v>
      </c>
    </row>
    <row r="17" spans="1:7">
      <c r="A17" s="1055" t="s">
        <v>671</v>
      </c>
      <c r="B17" s="1067" t="s">
        <v>672</v>
      </c>
      <c r="C17" s="1056"/>
      <c r="D17" s="1056"/>
      <c r="E17" s="1075"/>
      <c r="F17" s="1081"/>
      <c r="G17" s="1086"/>
    </row>
    <row r="18" spans="1:7">
      <c r="A18" s="1059"/>
      <c r="B18" s="1061" t="s">
        <v>673</v>
      </c>
      <c r="C18" s="1069" t="s">
        <v>674</v>
      </c>
      <c r="D18" s="1056" t="s">
        <v>675</v>
      </c>
      <c r="E18" s="1075">
        <v>1.2</v>
      </c>
      <c r="F18" s="1081">
        <f>F87</f>
        <v>100000</v>
      </c>
      <c r="G18" s="1086">
        <v>132000</v>
      </c>
    </row>
    <row r="19" spans="1:7">
      <c r="A19" s="1059"/>
      <c r="B19" s="1061" t="s">
        <v>871</v>
      </c>
      <c r="C19" s="1069" t="s">
        <v>678</v>
      </c>
      <c r="D19" s="1056" t="s">
        <v>675</v>
      </c>
      <c r="E19" s="1075">
        <v>0.2</v>
      </c>
      <c r="F19" s="1081">
        <f t="shared" ref="F19:F21" si="0">F88</f>
        <v>140000</v>
      </c>
      <c r="G19" s="1086">
        <v>30000</v>
      </c>
    </row>
    <row r="20" spans="1:7">
      <c r="A20" s="1059"/>
      <c r="B20" s="1061" t="s">
        <v>751</v>
      </c>
      <c r="C20" s="1069" t="s">
        <v>681</v>
      </c>
      <c r="D20" s="1056" t="s">
        <v>675</v>
      </c>
      <c r="E20" s="1075">
        <v>0.02</v>
      </c>
      <c r="F20" s="1081">
        <f t="shared" si="0"/>
        <v>150000</v>
      </c>
      <c r="G20" s="1086">
        <v>3000</v>
      </c>
    </row>
    <row r="21" spans="1:7">
      <c r="A21" s="1059"/>
      <c r="B21" s="1061" t="s">
        <v>683</v>
      </c>
      <c r="C21" s="1069" t="s">
        <v>684</v>
      </c>
      <c r="D21" s="1056" t="s">
        <v>675</v>
      </c>
      <c r="E21" s="1075">
        <v>0.06</v>
      </c>
      <c r="F21" s="1081">
        <f t="shared" si="0"/>
        <v>140000</v>
      </c>
      <c r="G21" s="1086">
        <v>9000</v>
      </c>
    </row>
    <row r="22" spans="1:7">
      <c r="A22" s="1056"/>
      <c r="B22" s="1068"/>
      <c r="C22" s="1056"/>
      <c r="D22" s="1056"/>
      <c r="E22" s="1302" t="s">
        <v>685</v>
      </c>
      <c r="F22" s="1302"/>
      <c r="G22" s="1086">
        <v>174000</v>
      </c>
    </row>
    <row r="23" spans="1:7">
      <c r="A23" s="1055" t="s">
        <v>686</v>
      </c>
      <c r="B23" s="1067" t="s">
        <v>687</v>
      </c>
      <c r="C23" s="1056"/>
      <c r="D23" s="1056"/>
      <c r="E23" s="1075"/>
      <c r="F23" s="1081"/>
      <c r="G23" s="1086"/>
    </row>
    <row r="24" spans="1:7">
      <c r="A24" s="1059"/>
      <c r="B24" s="1061" t="s">
        <v>4900</v>
      </c>
      <c r="C24" s="1070"/>
      <c r="D24" s="1070" t="s">
        <v>2646</v>
      </c>
      <c r="E24" s="1076">
        <v>1.2E-2</v>
      </c>
      <c r="F24" s="1081">
        <f>'UPAD-BAHAN-ALAT Cetak'!I52</f>
        <v>2200000</v>
      </c>
      <c r="G24" s="1086">
        <v>26400</v>
      </c>
    </row>
    <row r="25" spans="1:7">
      <c r="A25" s="1059"/>
      <c r="B25" s="1061" t="s">
        <v>4901</v>
      </c>
      <c r="C25" s="1070"/>
      <c r="D25" s="1070" t="s">
        <v>690</v>
      </c>
      <c r="E25" s="1076">
        <v>0.02</v>
      </c>
      <c r="F25" s="1081">
        <f>F147</f>
        <v>26000</v>
      </c>
      <c r="G25" s="1086">
        <v>520</v>
      </c>
    </row>
    <row r="26" spans="1:7">
      <c r="A26" s="1059"/>
      <c r="B26" s="1061" t="s">
        <v>1192</v>
      </c>
      <c r="C26" s="1071"/>
      <c r="D26" s="1071" t="s">
        <v>2646</v>
      </c>
      <c r="E26" s="1077">
        <v>7.0000000000000001E-3</v>
      </c>
      <c r="F26" s="1081">
        <f>F24</f>
        <v>2200000</v>
      </c>
      <c r="G26" s="1086">
        <v>15400</v>
      </c>
    </row>
    <row r="27" spans="1:7">
      <c r="A27" s="1056"/>
      <c r="B27" s="1068"/>
      <c r="C27" s="1056"/>
      <c r="D27" s="1056"/>
      <c r="E27" s="1303" t="s">
        <v>702</v>
      </c>
      <c r="F27" s="1304"/>
      <c r="G27" s="1086">
        <v>42320</v>
      </c>
    </row>
    <row r="28" spans="1:7">
      <c r="A28" s="1055" t="s">
        <v>703</v>
      </c>
      <c r="B28" s="1305" t="s">
        <v>3910</v>
      </c>
      <c r="C28" s="1306"/>
      <c r="D28" s="1306"/>
      <c r="E28" s="1306"/>
      <c r="F28" s="1307"/>
      <c r="G28" s="1087">
        <v>216320</v>
      </c>
    </row>
    <row r="29" spans="1:7">
      <c r="A29" s="1055" t="s">
        <v>706</v>
      </c>
      <c r="B29" s="1301" t="s">
        <v>709</v>
      </c>
      <c r="C29" s="1301"/>
      <c r="D29" s="1301"/>
      <c r="E29" s="1300" t="s">
        <v>4030</v>
      </c>
      <c r="F29" s="1300"/>
      <c r="G29" s="1087">
        <v>32448</v>
      </c>
    </row>
    <row r="30" spans="1:7">
      <c r="A30" s="1060" t="s">
        <v>708</v>
      </c>
      <c r="B30" s="1300" t="s">
        <v>3911</v>
      </c>
      <c r="C30" s="1300"/>
      <c r="D30" s="1300"/>
      <c r="E30" s="1300"/>
      <c r="F30" s="1300"/>
      <c r="G30" s="1087">
        <v>248768</v>
      </c>
    </row>
    <row r="31" spans="1:7">
      <c r="A31" s="1061"/>
      <c r="B31" s="1308" t="s">
        <v>4902</v>
      </c>
      <c r="C31" s="1309"/>
      <c r="D31" s="1309"/>
      <c r="E31" s="1309"/>
      <c r="F31" s="1310"/>
      <c r="G31" s="1090">
        <f>G30/4</f>
        <v>62192</v>
      </c>
    </row>
    <row r="32" spans="1:7">
      <c r="A32" s="276"/>
      <c r="B32" s="275"/>
      <c r="C32" s="276"/>
      <c r="D32" s="276"/>
      <c r="E32" s="383"/>
      <c r="F32" s="656"/>
      <c r="G32" s="264"/>
    </row>
    <row r="33" spans="1:7">
      <c r="A33" s="276"/>
      <c r="B33" s="275"/>
      <c r="C33" s="276"/>
      <c r="D33" s="276"/>
      <c r="E33" s="383"/>
      <c r="F33" s="656"/>
      <c r="G33" s="264"/>
    </row>
    <row r="34" spans="1:7">
      <c r="A34" s="284" t="s">
        <v>4040</v>
      </c>
      <c r="B34" s="263" t="s">
        <v>4581</v>
      </c>
      <c r="C34" s="276"/>
      <c r="D34" s="276"/>
      <c r="E34" s="383"/>
      <c r="F34" s="656"/>
      <c r="G34" s="264"/>
    </row>
    <row r="35" spans="1:7">
      <c r="A35" s="290" t="s">
        <v>1003</v>
      </c>
      <c r="B35" s="290" t="s">
        <v>1004</v>
      </c>
      <c r="C35" s="290" t="s">
        <v>1005</v>
      </c>
      <c r="D35" s="293" t="s">
        <v>1006</v>
      </c>
      <c r="E35" s="373" t="s">
        <v>1007</v>
      </c>
      <c r="F35" s="389" t="s">
        <v>2637</v>
      </c>
      <c r="G35" s="623" t="s">
        <v>2638</v>
      </c>
    </row>
    <row r="36" spans="1:7">
      <c r="A36" s="294" t="s">
        <v>671</v>
      </c>
      <c r="B36" s="1017" t="s">
        <v>672</v>
      </c>
      <c r="C36" s="247"/>
      <c r="D36" s="283"/>
      <c r="E36" s="372"/>
      <c r="F36" s="624"/>
      <c r="G36" s="625"/>
    </row>
    <row r="37" spans="1:7">
      <c r="A37" s="247"/>
      <c r="B37" s="1016" t="s">
        <v>673</v>
      </c>
      <c r="C37" s="247" t="s">
        <v>674</v>
      </c>
      <c r="D37" s="283" t="s">
        <v>675</v>
      </c>
      <c r="E37" s="372">
        <v>0.75</v>
      </c>
      <c r="F37" s="360">
        <f>'UPAD-BAHAN-ALAT Cetak'!I14</f>
        <v>100000</v>
      </c>
      <c r="G37" s="248">
        <f>F37*E37</f>
        <v>75000</v>
      </c>
    </row>
    <row r="38" spans="1:7">
      <c r="A38" s="247"/>
      <c r="B38" s="1016" t="s">
        <v>683</v>
      </c>
      <c r="C38" s="247" t="s">
        <v>684</v>
      </c>
      <c r="D38" s="283" t="s">
        <v>675</v>
      </c>
      <c r="E38" s="372">
        <v>2.5000000000000001E-2</v>
      </c>
      <c r="F38" s="360">
        <f>'UPAD-BAHAN-ALAT Cetak'!I16</f>
        <v>140000</v>
      </c>
      <c r="G38" s="248">
        <f>F38*E38</f>
        <v>3500</v>
      </c>
    </row>
    <row r="39" spans="1:7">
      <c r="A39" s="247"/>
      <c r="B39" s="1016"/>
      <c r="C39" s="247"/>
      <c r="D39" s="283"/>
      <c r="E39" s="1144" t="s">
        <v>685</v>
      </c>
      <c r="F39" s="1144"/>
      <c r="G39" s="248">
        <f>SUM(G37:G38)</f>
        <v>78500</v>
      </c>
    </row>
    <row r="40" spans="1:7">
      <c r="A40" s="294" t="s">
        <v>686</v>
      </c>
      <c r="B40" s="1017" t="s">
        <v>687</v>
      </c>
      <c r="C40" s="247"/>
      <c r="D40" s="283"/>
      <c r="E40" s="372"/>
      <c r="F40" s="624"/>
      <c r="G40" s="248"/>
    </row>
    <row r="41" spans="1:7">
      <c r="A41" s="247"/>
      <c r="B41" s="1016"/>
      <c r="C41" s="247"/>
      <c r="D41" s="283"/>
      <c r="E41" s="1144" t="s">
        <v>702</v>
      </c>
      <c r="F41" s="1144"/>
      <c r="G41" s="248"/>
    </row>
    <row r="42" spans="1:7">
      <c r="A42" s="294" t="s">
        <v>703</v>
      </c>
      <c r="B42" s="1147" t="s">
        <v>3910</v>
      </c>
      <c r="C42" s="1147"/>
      <c r="D42" s="1147"/>
      <c r="E42" s="1147"/>
      <c r="F42" s="1147"/>
      <c r="G42" s="255">
        <f>G39+G41</f>
        <v>78500</v>
      </c>
    </row>
    <row r="43" spans="1:7">
      <c r="A43" s="294" t="s">
        <v>706</v>
      </c>
      <c r="B43" s="1148" t="s">
        <v>709</v>
      </c>
      <c r="C43" s="1148"/>
      <c r="D43" s="1148"/>
      <c r="E43" s="1147" t="s">
        <v>4030</v>
      </c>
      <c r="F43" s="1147"/>
      <c r="G43" s="255">
        <f>G42*0.15</f>
        <v>11775</v>
      </c>
    </row>
    <row r="44" spans="1:7">
      <c r="A44" s="294" t="s">
        <v>708</v>
      </c>
      <c r="B44" s="1147" t="s">
        <v>3911</v>
      </c>
      <c r="C44" s="1147"/>
      <c r="D44" s="1147"/>
      <c r="E44" s="1147"/>
      <c r="F44" s="1147"/>
      <c r="G44" s="626">
        <f>ROUND(SUM(G42:G43),2)</f>
        <v>90275</v>
      </c>
    </row>
    <row r="45" spans="1:7">
      <c r="A45" s="276"/>
      <c r="B45" s="275"/>
      <c r="C45" s="276"/>
      <c r="D45" s="276"/>
      <c r="E45" s="383"/>
      <c r="F45" s="656"/>
      <c r="G45" s="264"/>
    </row>
    <row r="46" spans="1:7">
      <c r="A46" s="285" t="s">
        <v>4048</v>
      </c>
      <c r="B46" s="1001" t="s">
        <v>2677</v>
      </c>
      <c r="C46" s="252"/>
      <c r="D46" s="252"/>
      <c r="E46" s="374"/>
      <c r="F46" s="361"/>
      <c r="G46" s="253"/>
    </row>
    <row r="47" spans="1:7">
      <c r="A47" s="290" t="s">
        <v>1003</v>
      </c>
      <c r="B47" s="290" t="s">
        <v>1004</v>
      </c>
      <c r="C47" s="290" t="s">
        <v>1005</v>
      </c>
      <c r="D47" s="290" t="s">
        <v>1006</v>
      </c>
      <c r="E47" s="373" t="s">
        <v>1007</v>
      </c>
      <c r="F47" s="363" t="s">
        <v>2637</v>
      </c>
      <c r="G47" s="291" t="s">
        <v>2638</v>
      </c>
    </row>
    <row r="48" spans="1:7">
      <c r="A48" s="294" t="s">
        <v>671</v>
      </c>
      <c r="B48" s="1017" t="s">
        <v>672</v>
      </c>
      <c r="C48" s="247"/>
      <c r="D48" s="247"/>
      <c r="E48" s="372"/>
      <c r="F48" s="360"/>
      <c r="G48" s="248"/>
    </row>
    <row r="49" spans="1:7">
      <c r="A49" s="247"/>
      <c r="B49" s="1016" t="s">
        <v>673</v>
      </c>
      <c r="C49" s="247" t="s">
        <v>674</v>
      </c>
      <c r="D49" s="247" t="s">
        <v>675</v>
      </c>
      <c r="E49" s="372">
        <v>0.5</v>
      </c>
      <c r="F49" s="360">
        <f>F37</f>
        <v>100000</v>
      </c>
      <c r="G49" s="248">
        <f>F49*E49</f>
        <v>50000</v>
      </c>
    </row>
    <row r="50" spans="1:7">
      <c r="A50" s="247"/>
      <c r="B50" s="1016" t="s">
        <v>683</v>
      </c>
      <c r="C50" s="247" t="s">
        <v>684</v>
      </c>
      <c r="D50" s="247" t="s">
        <v>675</v>
      </c>
      <c r="E50" s="372">
        <v>0.05</v>
      </c>
      <c r="F50" s="360">
        <f>F38</f>
        <v>140000</v>
      </c>
      <c r="G50" s="248">
        <f>F50*E50</f>
        <v>7000</v>
      </c>
    </row>
    <row r="51" spans="1:7">
      <c r="A51" s="247"/>
      <c r="B51" s="1016"/>
      <c r="C51" s="247"/>
      <c r="D51" s="247"/>
      <c r="E51" s="1155" t="s">
        <v>685</v>
      </c>
      <c r="F51" s="1155"/>
      <c r="G51" s="248">
        <f>SUM(G49:G50)</f>
        <v>57000</v>
      </c>
    </row>
    <row r="52" spans="1:7">
      <c r="A52" s="294" t="s">
        <v>686</v>
      </c>
      <c r="B52" s="1017" t="s">
        <v>687</v>
      </c>
      <c r="C52" s="247"/>
      <c r="D52" s="247"/>
      <c r="E52" s="619"/>
      <c r="F52" s="392"/>
      <c r="G52" s="248"/>
    </row>
    <row r="53" spans="1:7">
      <c r="A53" s="247"/>
      <c r="B53" s="1018"/>
      <c r="C53" s="296"/>
      <c r="D53" s="296"/>
      <c r="E53" s="1146" t="s">
        <v>702</v>
      </c>
      <c r="F53" s="1146"/>
      <c r="G53" s="248"/>
    </row>
    <row r="54" spans="1:7">
      <c r="A54" s="294" t="s">
        <v>703</v>
      </c>
      <c r="B54" s="1147" t="s">
        <v>3910</v>
      </c>
      <c r="C54" s="1147"/>
      <c r="D54" s="1147"/>
      <c r="E54" s="1147"/>
      <c r="F54" s="1147"/>
      <c r="G54" s="255">
        <f>G51+G53</f>
        <v>57000</v>
      </c>
    </row>
    <row r="55" spans="1:7">
      <c r="A55" s="294" t="s">
        <v>706</v>
      </c>
      <c r="B55" s="1148" t="s">
        <v>709</v>
      </c>
      <c r="C55" s="1148"/>
      <c r="D55" s="1148"/>
      <c r="E55" s="1147" t="s">
        <v>4030</v>
      </c>
      <c r="F55" s="1147"/>
      <c r="G55" s="255">
        <f>G54*0.15</f>
        <v>8550</v>
      </c>
    </row>
    <row r="56" spans="1:7">
      <c r="A56" s="294" t="s">
        <v>708</v>
      </c>
      <c r="B56" s="1149" t="s">
        <v>3911</v>
      </c>
      <c r="C56" s="1149"/>
      <c r="D56" s="1149"/>
      <c r="E56" s="1149"/>
      <c r="F56" s="1149"/>
      <c r="G56" s="605">
        <f>ROUND(SUM(G54:G55),2)</f>
        <v>65550</v>
      </c>
    </row>
    <row r="57" spans="1:7">
      <c r="A57" s="276"/>
      <c r="B57" s="275"/>
      <c r="C57" s="276"/>
      <c r="D57" s="276"/>
      <c r="E57" s="383"/>
      <c r="F57" s="656"/>
      <c r="G57" s="264"/>
    </row>
    <row r="58" spans="1:7">
      <c r="A58" s="285" t="s">
        <v>4000</v>
      </c>
      <c r="B58" s="1001" t="s">
        <v>3687</v>
      </c>
      <c r="C58" s="252"/>
      <c r="D58" s="252"/>
      <c r="E58" s="374"/>
      <c r="F58" s="361"/>
      <c r="G58" s="253"/>
    </row>
    <row r="59" spans="1:7">
      <c r="A59" s="290" t="s">
        <v>1003</v>
      </c>
      <c r="B59" s="290" t="s">
        <v>1004</v>
      </c>
      <c r="C59" s="290" t="s">
        <v>1005</v>
      </c>
      <c r="D59" s="290" t="s">
        <v>1006</v>
      </c>
      <c r="E59" s="373" t="s">
        <v>1007</v>
      </c>
      <c r="F59" s="363" t="s">
        <v>2637</v>
      </c>
      <c r="G59" s="291" t="s">
        <v>2638</v>
      </c>
    </row>
    <row r="60" spans="1:7">
      <c r="A60" s="294" t="s">
        <v>671</v>
      </c>
      <c r="B60" s="1017" t="s">
        <v>672</v>
      </c>
      <c r="C60" s="247"/>
      <c r="D60" s="247"/>
      <c r="E60" s="372"/>
      <c r="F60" s="360"/>
      <c r="G60" s="248"/>
    </row>
    <row r="61" spans="1:7">
      <c r="A61" s="247"/>
      <c r="B61" s="1016" t="s">
        <v>673</v>
      </c>
      <c r="C61" s="247" t="s">
        <v>674</v>
      </c>
      <c r="D61" s="247" t="s">
        <v>675</v>
      </c>
      <c r="E61" s="428">
        <v>0.3</v>
      </c>
      <c r="F61" s="360">
        <f>F37</f>
        <v>100000</v>
      </c>
      <c r="G61" s="248">
        <f>F61*E61</f>
        <v>30000</v>
      </c>
    </row>
    <row r="62" spans="1:7">
      <c r="A62" s="247"/>
      <c r="B62" s="1016" t="s">
        <v>683</v>
      </c>
      <c r="C62" s="247" t="s">
        <v>684</v>
      </c>
      <c r="D62" s="247" t="s">
        <v>675</v>
      </c>
      <c r="E62" s="428">
        <v>0.01</v>
      </c>
      <c r="F62" s="360">
        <f>F38</f>
        <v>140000</v>
      </c>
      <c r="G62" s="248">
        <f>F62*E62</f>
        <v>1400</v>
      </c>
    </row>
    <row r="63" spans="1:7">
      <c r="A63" s="247"/>
      <c r="B63" s="1016"/>
      <c r="C63" s="247"/>
      <c r="D63" s="247"/>
      <c r="E63" s="1155" t="s">
        <v>685</v>
      </c>
      <c r="F63" s="1155"/>
      <c r="G63" s="248">
        <f>SUM(G61:G62)</f>
        <v>31400</v>
      </c>
    </row>
    <row r="64" spans="1:7">
      <c r="A64" s="294" t="s">
        <v>686</v>
      </c>
      <c r="B64" s="1017" t="s">
        <v>687</v>
      </c>
      <c r="C64" s="247"/>
      <c r="D64" s="247"/>
      <c r="E64" s="619"/>
      <c r="F64" s="392"/>
      <c r="G64" s="248"/>
    </row>
    <row r="65" spans="1:7">
      <c r="A65" s="247"/>
      <c r="B65" s="1022" t="s">
        <v>3688</v>
      </c>
      <c r="C65" s="247"/>
      <c r="D65" s="247"/>
      <c r="E65" s="428">
        <v>1.2</v>
      </c>
      <c r="F65" s="360">
        <f>'UPAD-BAHAN-ALAT Cetak'!I44</f>
        <v>90000</v>
      </c>
      <c r="G65" s="248">
        <f>F65*E65</f>
        <v>108000</v>
      </c>
    </row>
    <row r="66" spans="1:7">
      <c r="A66" s="247"/>
      <c r="B66" s="1016"/>
      <c r="C66" s="247"/>
      <c r="D66" s="247"/>
      <c r="E66" s="1146" t="s">
        <v>702</v>
      </c>
      <c r="F66" s="1146"/>
      <c r="G66" s="248">
        <f>G65</f>
        <v>108000</v>
      </c>
    </row>
    <row r="67" spans="1:7">
      <c r="A67" s="432" t="s">
        <v>703</v>
      </c>
      <c r="B67" s="1311" t="s">
        <v>3910</v>
      </c>
      <c r="C67" s="1311"/>
      <c r="D67" s="1311"/>
      <c r="E67" s="1311"/>
      <c r="F67" s="1311"/>
      <c r="G67" s="631">
        <f>G63+G66</f>
        <v>139400</v>
      </c>
    </row>
    <row r="68" spans="1:7">
      <c r="A68" s="294" t="s">
        <v>706</v>
      </c>
      <c r="B68" s="1167" t="s">
        <v>709</v>
      </c>
      <c r="C68" s="1167"/>
      <c r="D68" s="1167"/>
      <c r="E68" s="1149" t="s">
        <v>4030</v>
      </c>
      <c r="F68" s="1149"/>
      <c r="G68" s="255">
        <f>G67*0.15</f>
        <v>20910</v>
      </c>
    </row>
    <row r="69" spans="1:7">
      <c r="A69" s="294" t="s">
        <v>708</v>
      </c>
      <c r="B69" s="1149" t="s">
        <v>3911</v>
      </c>
      <c r="C69" s="1149"/>
      <c r="D69" s="1149"/>
      <c r="E69" s="1149"/>
      <c r="F69" s="1149"/>
      <c r="G69" s="605">
        <f>ROUND(SUM(G67:G68),2)</f>
        <v>160310</v>
      </c>
    </row>
    <row r="70" spans="1:7">
      <c r="A70" s="276"/>
      <c r="B70" s="275"/>
      <c r="C70" s="276"/>
      <c r="D70" s="276"/>
      <c r="E70" s="383"/>
      <c r="F70" s="656"/>
      <c r="G70" s="264"/>
    </row>
    <row r="71" spans="1:7">
      <c r="A71" s="286" t="s">
        <v>4050</v>
      </c>
      <c r="B71" s="265" t="s">
        <v>2679</v>
      </c>
    </row>
    <row r="72" spans="1:7">
      <c r="A72" s="290" t="s">
        <v>1003</v>
      </c>
      <c r="B72" s="290" t="s">
        <v>1004</v>
      </c>
      <c r="C72" s="293" t="s">
        <v>1005</v>
      </c>
      <c r="D72" s="293" t="s">
        <v>1006</v>
      </c>
      <c r="E72" s="379" t="s">
        <v>1007</v>
      </c>
      <c r="F72" s="389" t="s">
        <v>2637</v>
      </c>
      <c r="G72" s="291" t="s">
        <v>2638</v>
      </c>
    </row>
    <row r="73" spans="1:7">
      <c r="A73" s="294" t="s">
        <v>671</v>
      </c>
      <c r="B73" s="1017" t="s">
        <v>672</v>
      </c>
      <c r="C73" s="283"/>
      <c r="D73" s="283"/>
      <c r="E73" s="428"/>
      <c r="F73" s="624"/>
      <c r="G73" s="248"/>
    </row>
    <row r="74" spans="1:7">
      <c r="A74" s="247"/>
      <c r="B74" s="1016" t="s">
        <v>673</v>
      </c>
      <c r="C74" s="283" t="s">
        <v>674</v>
      </c>
      <c r="D74" s="283" t="s">
        <v>675</v>
      </c>
      <c r="E74" s="428">
        <v>0.3</v>
      </c>
      <c r="F74" s="360">
        <f>'UPAD-BAHAN-ALAT'!$I$12</f>
        <v>110000</v>
      </c>
      <c r="G74" s="248">
        <f>F74*E74</f>
        <v>33000</v>
      </c>
    </row>
    <row r="75" spans="1:7">
      <c r="A75" s="247"/>
      <c r="B75" s="1016" t="s">
        <v>683</v>
      </c>
      <c r="C75" s="283" t="s">
        <v>684</v>
      </c>
      <c r="D75" s="283" t="s">
        <v>675</v>
      </c>
      <c r="E75" s="428">
        <v>0.01</v>
      </c>
      <c r="F75" s="360">
        <f>'UPAD-BAHAN-ALAT'!$I$14</f>
        <v>140000</v>
      </c>
      <c r="G75" s="248">
        <f>F75*E75</f>
        <v>1400</v>
      </c>
    </row>
    <row r="76" spans="1:7">
      <c r="A76" s="247"/>
      <c r="B76" s="1016"/>
      <c r="C76" s="283"/>
      <c r="D76" s="283"/>
      <c r="E76" s="1146" t="s">
        <v>685</v>
      </c>
      <c r="F76" s="1146"/>
      <c r="G76" s="248">
        <f>SUM(G74:G75)</f>
        <v>34400</v>
      </c>
    </row>
    <row r="77" spans="1:7">
      <c r="A77" s="294" t="s">
        <v>686</v>
      </c>
      <c r="B77" s="1017" t="s">
        <v>687</v>
      </c>
      <c r="C77" s="283"/>
      <c r="D77" s="283"/>
      <c r="E77" s="428"/>
      <c r="F77" s="624"/>
      <c r="G77" s="248"/>
    </row>
    <row r="78" spans="1:7">
      <c r="A78" s="247"/>
      <c r="B78" s="1016" t="s">
        <v>803</v>
      </c>
      <c r="C78" s="283"/>
      <c r="D78" s="283" t="s">
        <v>2646</v>
      </c>
      <c r="E78" s="428">
        <v>1.2</v>
      </c>
      <c r="F78" s="624">
        <f>'UPAD-BAHAN-ALAT Cetak'!I47</f>
        <v>120000</v>
      </c>
      <c r="G78" s="248">
        <f>F78*E78</f>
        <v>144000</v>
      </c>
    </row>
    <row r="79" spans="1:7">
      <c r="A79" s="247"/>
      <c r="B79" s="1016"/>
      <c r="C79" s="283"/>
      <c r="D79" s="283"/>
      <c r="E79" s="1155" t="s">
        <v>702</v>
      </c>
      <c r="F79" s="1155"/>
      <c r="G79" s="248">
        <f>SUM(G78)</f>
        <v>144000</v>
      </c>
    </row>
    <row r="80" spans="1:7">
      <c r="A80" s="294" t="s">
        <v>703</v>
      </c>
      <c r="B80" s="1151" t="s">
        <v>3910</v>
      </c>
      <c r="C80" s="1151"/>
      <c r="D80" s="1151"/>
      <c r="E80" s="1151"/>
      <c r="F80" s="1151"/>
      <c r="G80" s="255">
        <f>G76+G79</f>
        <v>178400</v>
      </c>
    </row>
    <row r="81" spans="1:7">
      <c r="A81" s="294" t="s">
        <v>706</v>
      </c>
      <c r="B81" s="1148" t="s">
        <v>709</v>
      </c>
      <c r="C81" s="1148"/>
      <c r="D81" s="1148"/>
      <c r="E81" s="1147" t="s">
        <v>4030</v>
      </c>
      <c r="F81" s="1147"/>
      <c r="G81" s="255">
        <f>G80*0.15</f>
        <v>26760</v>
      </c>
    </row>
    <row r="82" spans="1:7">
      <c r="A82" s="294" t="s">
        <v>708</v>
      </c>
      <c r="B82" s="1149" t="s">
        <v>3911</v>
      </c>
      <c r="C82" s="1149"/>
      <c r="D82" s="1149"/>
      <c r="E82" s="1149"/>
      <c r="F82" s="1149"/>
      <c r="G82" s="605">
        <f>ROUND(SUM(G80:G81),2)</f>
        <v>205160</v>
      </c>
    </row>
    <row r="83" spans="1:7">
      <c r="A83" s="276"/>
      <c r="B83" s="275"/>
      <c r="C83" s="276"/>
      <c r="D83" s="276"/>
      <c r="E83" s="383"/>
      <c r="F83" s="656"/>
      <c r="G83" s="264"/>
    </row>
    <row r="84" spans="1:7">
      <c r="A84" s="285" t="s">
        <v>4069</v>
      </c>
      <c r="B84" s="263" t="s">
        <v>4723</v>
      </c>
      <c r="C84" s="276"/>
      <c r="D84" s="276"/>
      <c r="E84" s="383"/>
      <c r="F84" s="656"/>
      <c r="G84" s="264"/>
    </row>
    <row r="85" spans="1:7">
      <c r="A85" s="290" t="s">
        <v>1003</v>
      </c>
      <c r="B85" s="290" t="s">
        <v>1004</v>
      </c>
      <c r="C85" s="290" t="s">
        <v>1005</v>
      </c>
      <c r="D85" s="290" t="s">
        <v>1006</v>
      </c>
      <c r="E85" s="373" t="s">
        <v>1007</v>
      </c>
      <c r="F85" s="363" t="s">
        <v>2637</v>
      </c>
      <c r="G85" s="291" t="s">
        <v>2638</v>
      </c>
    </row>
    <row r="86" spans="1:7">
      <c r="A86" s="294" t="s">
        <v>671</v>
      </c>
      <c r="B86" s="1017" t="s">
        <v>672</v>
      </c>
      <c r="C86" s="247"/>
      <c r="D86" s="247"/>
      <c r="E86" s="372"/>
      <c r="F86" s="360"/>
      <c r="G86" s="248"/>
    </row>
    <row r="87" spans="1:7">
      <c r="A87" s="247"/>
      <c r="B87" s="1016" t="s">
        <v>673</v>
      </c>
      <c r="C87" s="247" t="s">
        <v>674</v>
      </c>
      <c r="D87" s="247" t="s">
        <v>675</v>
      </c>
      <c r="E87" s="372">
        <v>1.2</v>
      </c>
      <c r="F87" s="360">
        <f>F61</f>
        <v>100000</v>
      </c>
      <c r="G87" s="248">
        <f>F87*E87</f>
        <v>120000</v>
      </c>
    </row>
    <row r="88" spans="1:7">
      <c r="A88" s="247"/>
      <c r="B88" s="1016" t="s">
        <v>816</v>
      </c>
      <c r="C88" s="247" t="s">
        <v>678</v>
      </c>
      <c r="D88" s="247" t="s">
        <v>675</v>
      </c>
      <c r="E88" s="372">
        <v>0.2</v>
      </c>
      <c r="F88" s="360">
        <f>'UPAD-BAHAN-ALAT Cetak'!I15</f>
        <v>140000</v>
      </c>
      <c r="G88" s="248">
        <f>F88*E88</f>
        <v>28000</v>
      </c>
    </row>
    <row r="89" spans="1:7">
      <c r="A89" s="247"/>
      <c r="B89" s="1016" t="s">
        <v>680</v>
      </c>
      <c r="C89" s="247" t="s">
        <v>681</v>
      </c>
      <c r="D89" s="247" t="s">
        <v>675</v>
      </c>
      <c r="E89" s="372">
        <v>0.02</v>
      </c>
      <c r="F89" s="360">
        <f>'UPAD-BAHAN-ALAT Cetak'!I17</f>
        <v>150000</v>
      </c>
      <c r="G89" s="248">
        <f>F89*E89</f>
        <v>3000</v>
      </c>
    </row>
    <row r="90" spans="1:7">
      <c r="A90" s="247"/>
      <c r="B90" s="1016" t="s">
        <v>683</v>
      </c>
      <c r="C90" s="247" t="s">
        <v>684</v>
      </c>
      <c r="D90" s="247" t="s">
        <v>675</v>
      </c>
      <c r="E90" s="372">
        <v>0.06</v>
      </c>
      <c r="F90" s="360">
        <f>'UPAD-BAHAN-ALAT Cetak'!I16</f>
        <v>140000</v>
      </c>
      <c r="G90" s="248">
        <f>F90*E90</f>
        <v>8400</v>
      </c>
    </row>
    <row r="91" spans="1:7">
      <c r="A91" s="247"/>
      <c r="B91" s="1016"/>
      <c r="C91" s="247"/>
      <c r="D91" s="247"/>
      <c r="E91" s="1146" t="s">
        <v>685</v>
      </c>
      <c r="F91" s="1146"/>
      <c r="G91" s="248">
        <f>SUM(G87:G90)</f>
        <v>159400</v>
      </c>
    </row>
    <row r="92" spans="1:7">
      <c r="A92" s="294" t="s">
        <v>686</v>
      </c>
      <c r="B92" s="1017" t="s">
        <v>687</v>
      </c>
      <c r="C92" s="247"/>
      <c r="D92" s="247"/>
      <c r="E92" s="372"/>
      <c r="F92" s="360"/>
      <c r="G92" s="248"/>
    </row>
    <row r="93" spans="1:7">
      <c r="A93" s="247"/>
      <c r="B93" s="1016" t="s">
        <v>738</v>
      </c>
      <c r="C93" s="247"/>
      <c r="D93" s="247" t="s">
        <v>773</v>
      </c>
      <c r="E93" s="372">
        <v>230</v>
      </c>
      <c r="F93" s="360">
        <f>'UPAD-BAHAN-ALAT Cetak'!I45</f>
        <v>1625</v>
      </c>
      <c r="G93" s="248">
        <f>F93*E93</f>
        <v>373750</v>
      </c>
    </row>
    <row r="94" spans="1:7">
      <c r="A94" s="247"/>
      <c r="B94" s="1016" t="s">
        <v>831</v>
      </c>
      <c r="C94" s="247"/>
      <c r="D94" s="247" t="s">
        <v>773</v>
      </c>
      <c r="E94" s="372">
        <v>893</v>
      </c>
      <c r="F94" s="360">
        <f>'UPAD-BAHAN-ALAT Cetak'!I46/1400</f>
        <v>125</v>
      </c>
      <c r="G94" s="248">
        <f>F94*E94</f>
        <v>111625</v>
      </c>
    </row>
    <row r="95" spans="1:7">
      <c r="A95" s="247"/>
      <c r="B95" s="256" t="s">
        <v>841</v>
      </c>
      <c r="C95" s="247"/>
      <c r="D95" s="247" t="s">
        <v>773</v>
      </c>
      <c r="E95" s="372">
        <v>1027</v>
      </c>
      <c r="F95" s="360">
        <f>'UPAD-BAHAN-ALAT Cetak'!I48/1350</f>
        <v>185.18518518518519</v>
      </c>
      <c r="G95" s="248">
        <f>F95*E95</f>
        <v>190185.1851851852</v>
      </c>
    </row>
    <row r="96" spans="1:7">
      <c r="A96" s="247"/>
      <c r="B96" s="1016" t="s">
        <v>842</v>
      </c>
      <c r="C96" s="247"/>
      <c r="D96" s="247" t="s">
        <v>701</v>
      </c>
      <c r="E96" s="372">
        <v>200</v>
      </c>
      <c r="F96" s="360">
        <f>'UPAD-BAHAN-ALAT Cetak'!I49</f>
        <v>100</v>
      </c>
      <c r="G96" s="248">
        <f>F96*E96</f>
        <v>20000</v>
      </c>
    </row>
    <row r="97" spans="1:7">
      <c r="A97" s="247"/>
      <c r="B97" s="1016"/>
      <c r="C97" s="247"/>
      <c r="D97" s="247"/>
      <c r="E97" s="1144" t="s">
        <v>702</v>
      </c>
      <c r="F97" s="1144"/>
      <c r="G97" s="248">
        <f>SUM(G93:G96)</f>
        <v>695560.18518518517</v>
      </c>
    </row>
    <row r="98" spans="1:7">
      <c r="A98" s="294" t="s">
        <v>703</v>
      </c>
      <c r="B98" s="1147" t="s">
        <v>3910</v>
      </c>
      <c r="C98" s="1147"/>
      <c r="D98" s="1147"/>
      <c r="E98" s="1147"/>
      <c r="F98" s="1147"/>
      <c r="G98" s="255">
        <f>G91+G97</f>
        <v>854960.18518518517</v>
      </c>
    </row>
    <row r="99" spans="1:7">
      <c r="A99" s="294" t="s">
        <v>706</v>
      </c>
      <c r="B99" s="1148" t="s">
        <v>709</v>
      </c>
      <c r="C99" s="1148"/>
      <c r="D99" s="1148"/>
      <c r="E99" s="1147" t="s">
        <v>4030</v>
      </c>
      <c r="F99" s="1147"/>
      <c r="G99" s="255">
        <f>G98*0.15</f>
        <v>128244.02777777777</v>
      </c>
    </row>
    <row r="100" spans="1:7">
      <c r="A100" s="294" t="s">
        <v>708</v>
      </c>
      <c r="B100" s="1147" t="s">
        <v>3911</v>
      </c>
      <c r="C100" s="1147"/>
      <c r="D100" s="1147"/>
      <c r="E100" s="1147"/>
      <c r="F100" s="1147"/>
      <c r="G100" s="255">
        <f>ROUND(SUM(G98:G99),2)</f>
        <v>983204.21</v>
      </c>
    </row>
    <row r="101" spans="1:7">
      <c r="A101" s="276"/>
      <c r="B101" s="275"/>
      <c r="C101" s="276"/>
      <c r="D101" s="276"/>
      <c r="E101" s="383"/>
      <c r="F101" s="656"/>
      <c r="G101" s="264"/>
    </row>
    <row r="102" spans="1:7">
      <c r="A102" s="285" t="s">
        <v>4055</v>
      </c>
      <c r="B102" s="263" t="s">
        <v>2685</v>
      </c>
      <c r="C102" s="276"/>
      <c r="D102" s="276"/>
      <c r="E102" s="383"/>
      <c r="F102" s="656"/>
      <c r="G102" s="264"/>
    </row>
    <row r="103" spans="1:7">
      <c r="A103" s="290" t="s">
        <v>1003</v>
      </c>
      <c r="B103" s="290" t="s">
        <v>1004</v>
      </c>
      <c r="C103" s="290" t="s">
        <v>1005</v>
      </c>
      <c r="D103" s="290" t="s">
        <v>1006</v>
      </c>
      <c r="E103" s="373" t="s">
        <v>1007</v>
      </c>
      <c r="F103" s="363" t="s">
        <v>2637</v>
      </c>
      <c r="G103" s="291" t="s">
        <v>2638</v>
      </c>
    </row>
    <row r="104" spans="1:7">
      <c r="A104" s="294" t="s">
        <v>671</v>
      </c>
      <c r="B104" s="1017" t="s">
        <v>672</v>
      </c>
      <c r="C104" s="247"/>
      <c r="D104" s="247"/>
      <c r="E104" s="372"/>
      <c r="F104" s="360"/>
      <c r="G104" s="248"/>
    </row>
    <row r="105" spans="1:7">
      <c r="A105" s="247"/>
      <c r="B105" s="1016" t="s">
        <v>673</v>
      </c>
      <c r="C105" s="247" t="s">
        <v>674</v>
      </c>
      <c r="D105" s="247" t="s">
        <v>675</v>
      </c>
      <c r="E105" s="372">
        <v>1.5</v>
      </c>
      <c r="F105" s="360">
        <f>F87</f>
        <v>100000</v>
      </c>
      <c r="G105" s="248">
        <f>F105*E105</f>
        <v>150000</v>
      </c>
    </row>
    <row r="106" spans="1:7">
      <c r="A106" s="247"/>
      <c r="B106" s="1016" t="s">
        <v>816</v>
      </c>
      <c r="C106" s="247" t="s">
        <v>678</v>
      </c>
      <c r="D106" s="247" t="s">
        <v>675</v>
      </c>
      <c r="E106" s="372">
        <v>0.75</v>
      </c>
      <c r="F106" s="360">
        <f>F88</f>
        <v>140000</v>
      </c>
      <c r="G106" s="248">
        <f>F106*E106</f>
        <v>105000</v>
      </c>
    </row>
    <row r="107" spans="1:7">
      <c r="A107" s="247"/>
      <c r="B107" s="1016" t="s">
        <v>680</v>
      </c>
      <c r="C107" s="247" t="s">
        <v>681</v>
      </c>
      <c r="D107" s="247" t="s">
        <v>675</v>
      </c>
      <c r="E107" s="372">
        <v>7.4999999999999997E-2</v>
      </c>
      <c r="F107" s="360">
        <f>F89</f>
        <v>150000</v>
      </c>
      <c r="G107" s="248">
        <f>F107*E107</f>
        <v>11250</v>
      </c>
    </row>
    <row r="108" spans="1:7">
      <c r="A108" s="247"/>
      <c r="B108" s="1016" t="s">
        <v>683</v>
      </c>
      <c r="C108" s="247" t="s">
        <v>684</v>
      </c>
      <c r="D108" s="247" t="s">
        <v>675</v>
      </c>
      <c r="E108" s="372">
        <v>7.4999999999999997E-2</v>
      </c>
      <c r="F108" s="360">
        <f>F90</f>
        <v>140000</v>
      </c>
      <c r="G108" s="248">
        <f>F108*E108</f>
        <v>10500</v>
      </c>
    </row>
    <row r="109" spans="1:7">
      <c r="A109" s="247"/>
      <c r="B109" s="1016"/>
      <c r="C109" s="247"/>
      <c r="D109" s="247"/>
      <c r="E109" s="1146" t="s">
        <v>685</v>
      </c>
      <c r="F109" s="1146"/>
      <c r="G109" s="248">
        <f>SUM(G105:G108)</f>
        <v>276750</v>
      </c>
    </row>
    <row r="110" spans="1:7">
      <c r="A110" s="294" t="s">
        <v>686</v>
      </c>
      <c r="B110" s="1017" t="s">
        <v>687</v>
      </c>
      <c r="C110" s="247"/>
      <c r="D110" s="247"/>
      <c r="E110" s="372"/>
      <c r="F110" s="360"/>
      <c r="G110" s="248"/>
    </row>
    <row r="111" spans="1:7">
      <c r="A111" s="247"/>
      <c r="B111" s="1016" t="s">
        <v>776</v>
      </c>
      <c r="C111" s="247"/>
      <c r="D111" s="247" t="s">
        <v>2646</v>
      </c>
      <c r="E111" s="372">
        <v>1.2</v>
      </c>
      <c r="F111" s="360">
        <f>'UPAD-BAHAN-ALAT Cetak'!I50</f>
        <v>250000</v>
      </c>
      <c r="G111" s="248">
        <f>F111*E111</f>
        <v>300000</v>
      </c>
    </row>
    <row r="112" spans="1:7">
      <c r="A112" s="247"/>
      <c r="B112" s="1016" t="s">
        <v>818</v>
      </c>
      <c r="C112" s="247"/>
      <c r="D112" s="247" t="s">
        <v>690</v>
      </c>
      <c r="E112" s="372">
        <v>163</v>
      </c>
      <c r="F112" s="360">
        <f>F93</f>
        <v>1625</v>
      </c>
      <c r="G112" s="248">
        <f>F112*E112</f>
        <v>264875</v>
      </c>
    </row>
    <row r="113" spans="1:7">
      <c r="A113" s="247"/>
      <c r="B113" s="1016" t="s">
        <v>808</v>
      </c>
      <c r="C113" s="247"/>
      <c r="D113" s="247" t="s">
        <v>2646</v>
      </c>
      <c r="E113" s="372">
        <v>0.52</v>
      </c>
      <c r="F113" s="360">
        <f>'UPAD-BAHAN-ALAT Cetak'!I46</f>
        <v>175000</v>
      </c>
      <c r="G113" s="248">
        <f>F113*E113</f>
        <v>91000</v>
      </c>
    </row>
    <row r="114" spans="1:7">
      <c r="A114" s="247"/>
      <c r="B114" s="1018"/>
      <c r="C114" s="296"/>
      <c r="D114" s="296"/>
      <c r="E114" s="1146" t="s">
        <v>702</v>
      </c>
      <c r="F114" s="1146"/>
      <c r="G114" s="248">
        <f>SUM(G111:G113)</f>
        <v>655875</v>
      </c>
    </row>
    <row r="115" spans="1:7">
      <c r="A115" s="294" t="s">
        <v>703</v>
      </c>
      <c r="B115" s="1147" t="s">
        <v>3910</v>
      </c>
      <c r="C115" s="1147"/>
      <c r="D115" s="1147"/>
      <c r="E115" s="1147"/>
      <c r="F115" s="1147"/>
      <c r="G115" s="255">
        <f>G109+G114</f>
        <v>932625</v>
      </c>
    </row>
    <row r="116" spans="1:7">
      <c r="A116" s="294" t="s">
        <v>706</v>
      </c>
      <c r="B116" s="1148" t="s">
        <v>709</v>
      </c>
      <c r="C116" s="1148"/>
      <c r="D116" s="1148"/>
      <c r="E116" s="1147" t="s">
        <v>4030</v>
      </c>
      <c r="F116" s="1147"/>
      <c r="G116" s="255">
        <f>G115*0.15</f>
        <v>139893.75</v>
      </c>
    </row>
    <row r="117" spans="1:7">
      <c r="A117" s="294" t="s">
        <v>708</v>
      </c>
      <c r="B117" s="1149" t="s">
        <v>3911</v>
      </c>
      <c r="C117" s="1149"/>
      <c r="D117" s="1149"/>
      <c r="E117" s="1149"/>
      <c r="F117" s="1149"/>
      <c r="G117" s="255">
        <f>ROUND(SUM(G115:G116),2)</f>
        <v>1072518.75</v>
      </c>
    </row>
    <row r="118" spans="1:7">
      <c r="A118" s="276"/>
      <c r="B118" s="275"/>
      <c r="C118" s="276"/>
      <c r="D118" s="276"/>
      <c r="E118" s="383"/>
      <c r="F118" s="656"/>
      <c r="G118" s="264"/>
    </row>
    <row r="119" spans="1:7">
      <c r="A119" s="285" t="s">
        <v>4068</v>
      </c>
      <c r="B119" s="263" t="s">
        <v>2695</v>
      </c>
      <c r="C119" s="276"/>
      <c r="D119" s="276"/>
      <c r="E119" s="383"/>
      <c r="F119" s="656"/>
      <c r="G119" s="264"/>
    </row>
    <row r="120" spans="1:7">
      <c r="A120" s="290" t="s">
        <v>1003</v>
      </c>
      <c r="B120" s="290" t="s">
        <v>1004</v>
      </c>
      <c r="C120" s="290" t="s">
        <v>1005</v>
      </c>
      <c r="D120" s="290" t="s">
        <v>1006</v>
      </c>
      <c r="E120" s="373" t="s">
        <v>1007</v>
      </c>
      <c r="F120" s="363" t="s">
        <v>2637</v>
      </c>
      <c r="G120" s="291" t="s">
        <v>2638</v>
      </c>
    </row>
    <row r="121" spans="1:7">
      <c r="A121" s="294" t="s">
        <v>671</v>
      </c>
      <c r="B121" s="1017" t="s">
        <v>672</v>
      </c>
      <c r="C121" s="247"/>
      <c r="D121" s="247"/>
      <c r="E121" s="372"/>
      <c r="F121" s="360"/>
      <c r="G121" s="248"/>
    </row>
    <row r="122" spans="1:7">
      <c r="A122" s="247"/>
      <c r="B122" s="1016" t="s">
        <v>673</v>
      </c>
      <c r="C122" s="247" t="s">
        <v>674</v>
      </c>
      <c r="D122" s="247" t="s">
        <v>675</v>
      </c>
      <c r="E122" s="372">
        <v>1.65</v>
      </c>
      <c r="F122" s="360">
        <f>F105</f>
        <v>100000</v>
      </c>
      <c r="G122" s="248">
        <f>F122*E122</f>
        <v>165000</v>
      </c>
    </row>
    <row r="123" spans="1:7">
      <c r="A123" s="247"/>
      <c r="B123" s="1016" t="s">
        <v>816</v>
      </c>
      <c r="C123" s="247" t="s">
        <v>678</v>
      </c>
      <c r="D123" s="247" t="s">
        <v>675</v>
      </c>
      <c r="E123" s="372">
        <v>0.27500000000000002</v>
      </c>
      <c r="F123" s="360">
        <f>F106</f>
        <v>140000</v>
      </c>
      <c r="G123" s="248">
        <f>F123*E123</f>
        <v>38500</v>
      </c>
    </row>
    <row r="124" spans="1:7">
      <c r="A124" s="247"/>
      <c r="B124" s="1016" t="s">
        <v>680</v>
      </c>
      <c r="C124" s="247" t="s">
        <v>681</v>
      </c>
      <c r="D124" s="247" t="s">
        <v>675</v>
      </c>
      <c r="E124" s="372">
        <v>2.8000000000000001E-2</v>
      </c>
      <c r="F124" s="360">
        <f>F107</f>
        <v>150000</v>
      </c>
      <c r="G124" s="248">
        <f>F124*E124</f>
        <v>4200</v>
      </c>
    </row>
    <row r="125" spans="1:7">
      <c r="A125" s="247"/>
      <c r="B125" s="1016" t="s">
        <v>683</v>
      </c>
      <c r="C125" s="247" t="s">
        <v>684</v>
      </c>
      <c r="D125" s="247" t="s">
        <v>675</v>
      </c>
      <c r="E125" s="372">
        <v>8.3000000000000004E-2</v>
      </c>
      <c r="F125" s="360">
        <f>F108</f>
        <v>140000</v>
      </c>
      <c r="G125" s="248">
        <f>F125*E125</f>
        <v>11620</v>
      </c>
    </row>
    <row r="126" spans="1:7">
      <c r="A126" s="247"/>
      <c r="B126" s="1016"/>
      <c r="C126" s="247"/>
      <c r="D126" s="247"/>
      <c r="E126" s="1146" t="s">
        <v>685</v>
      </c>
      <c r="F126" s="1146"/>
      <c r="G126" s="248">
        <f>SUM(G122:G125)</f>
        <v>219320</v>
      </c>
    </row>
    <row r="127" spans="1:7">
      <c r="A127" s="294" t="s">
        <v>686</v>
      </c>
      <c r="B127" s="1017" t="s">
        <v>687</v>
      </c>
      <c r="C127" s="247"/>
      <c r="D127" s="247"/>
      <c r="E127" s="372"/>
      <c r="F127" s="360"/>
      <c r="G127" s="248"/>
    </row>
    <row r="128" spans="1:7">
      <c r="A128" s="247"/>
      <c r="B128" s="1016" t="s">
        <v>738</v>
      </c>
      <c r="C128" s="247"/>
      <c r="D128" s="247" t="s">
        <v>773</v>
      </c>
      <c r="E128" s="372">
        <v>326</v>
      </c>
      <c r="F128" s="360">
        <f>F112</f>
        <v>1625</v>
      </c>
      <c r="G128" s="248">
        <f>F128*E128</f>
        <v>529750</v>
      </c>
    </row>
    <row r="129" spans="1:7">
      <c r="A129" s="247"/>
      <c r="B129" s="1016" t="s">
        <v>831</v>
      </c>
      <c r="C129" s="247"/>
      <c r="D129" s="247" t="s">
        <v>773</v>
      </c>
      <c r="E129" s="372">
        <v>760</v>
      </c>
      <c r="F129" s="360">
        <f>'UPAD-BAHAN-ALAT Cetak'!I46/1400</f>
        <v>125</v>
      </c>
      <c r="G129" s="248">
        <f>F129*E129</f>
        <v>95000</v>
      </c>
    </row>
    <row r="130" spans="1:7">
      <c r="A130" s="247"/>
      <c r="B130" s="1016" t="s">
        <v>2946</v>
      </c>
      <c r="C130" s="247"/>
      <c r="D130" s="247" t="s">
        <v>773</v>
      </c>
      <c r="E130" s="372">
        <v>1029</v>
      </c>
      <c r="F130" s="360">
        <f>'UPAD-BAHAN-ALAT Cetak'!I51/1350</f>
        <v>296.2962962962963</v>
      </c>
      <c r="G130" s="248">
        <f>F130*E130</f>
        <v>304888.88888888888</v>
      </c>
    </row>
    <row r="131" spans="1:7">
      <c r="A131" s="247"/>
      <c r="B131" s="1016" t="s">
        <v>842</v>
      </c>
      <c r="C131" s="247"/>
      <c r="D131" s="247" t="s">
        <v>701</v>
      </c>
      <c r="E131" s="372">
        <v>215</v>
      </c>
      <c r="F131" s="360">
        <f>F96</f>
        <v>100</v>
      </c>
      <c r="G131" s="248">
        <f>F131*E131</f>
        <v>21500</v>
      </c>
    </row>
    <row r="132" spans="1:7">
      <c r="A132" s="247"/>
      <c r="B132" s="1018"/>
      <c r="C132" s="296"/>
      <c r="D132" s="296"/>
      <c r="E132" s="1146" t="s">
        <v>702</v>
      </c>
      <c r="F132" s="1146"/>
      <c r="G132" s="248">
        <f>SUM(G128:G131)</f>
        <v>951138.88888888888</v>
      </c>
    </row>
    <row r="133" spans="1:7">
      <c r="A133" s="294" t="s">
        <v>703</v>
      </c>
      <c r="B133" s="1147" t="s">
        <v>3910</v>
      </c>
      <c r="C133" s="1147"/>
      <c r="D133" s="1147"/>
      <c r="E133" s="1147"/>
      <c r="F133" s="1147"/>
      <c r="G133" s="255">
        <f>G126+G132</f>
        <v>1170458.888888889</v>
      </c>
    </row>
    <row r="134" spans="1:7">
      <c r="A134" s="294" t="s">
        <v>706</v>
      </c>
      <c r="B134" s="1148" t="s">
        <v>709</v>
      </c>
      <c r="C134" s="1148"/>
      <c r="D134" s="1148"/>
      <c r="E134" s="1147" t="s">
        <v>4030</v>
      </c>
      <c r="F134" s="1147"/>
      <c r="G134" s="255">
        <f>G133*0.15</f>
        <v>175568.83333333334</v>
      </c>
    </row>
    <row r="135" spans="1:7">
      <c r="A135" s="294" t="s">
        <v>708</v>
      </c>
      <c r="B135" s="1149" t="s">
        <v>3911</v>
      </c>
      <c r="C135" s="1149"/>
      <c r="D135" s="1149"/>
      <c r="E135" s="1149"/>
      <c r="F135" s="1149"/>
      <c r="G135" s="255">
        <f>ROUND(SUM(G133:G134),2)</f>
        <v>1346027.72</v>
      </c>
    </row>
    <row r="136" spans="1:7">
      <c r="A136" s="276"/>
      <c r="B136" s="275"/>
      <c r="C136" s="276"/>
      <c r="D136" s="276"/>
      <c r="E136" s="383"/>
      <c r="F136" s="656"/>
      <c r="G136" s="264"/>
    </row>
    <row r="137" spans="1:7">
      <c r="A137" s="284" t="s">
        <v>4081</v>
      </c>
      <c r="B137" s="263" t="s">
        <v>2841</v>
      </c>
      <c r="C137" s="276"/>
      <c r="D137" s="276"/>
      <c r="E137" s="383"/>
      <c r="F137" s="656"/>
      <c r="G137" s="264"/>
    </row>
    <row r="138" spans="1:7">
      <c r="A138" s="290" t="s">
        <v>1003</v>
      </c>
      <c r="B138" s="290" t="s">
        <v>1004</v>
      </c>
      <c r="C138" s="290" t="s">
        <v>1005</v>
      </c>
      <c r="D138" s="290" t="s">
        <v>1006</v>
      </c>
      <c r="E138" s="373" t="s">
        <v>1007</v>
      </c>
      <c r="F138" s="363" t="s">
        <v>2637</v>
      </c>
      <c r="G138" s="291" t="s">
        <v>2638</v>
      </c>
    </row>
    <row r="139" spans="1:7">
      <c r="A139" s="294" t="s">
        <v>671</v>
      </c>
      <c r="B139" s="1017" t="s">
        <v>672</v>
      </c>
      <c r="C139" s="247"/>
      <c r="D139" s="247"/>
      <c r="E139" s="372"/>
      <c r="F139" s="360"/>
      <c r="G139" s="248"/>
    </row>
    <row r="140" spans="1:7">
      <c r="A140" s="247"/>
      <c r="B140" s="1016" t="s">
        <v>673</v>
      </c>
      <c r="C140" s="247" t="s">
        <v>674</v>
      </c>
      <c r="D140" s="247" t="s">
        <v>675</v>
      </c>
      <c r="E140" s="372">
        <v>0.52</v>
      </c>
      <c r="F140" s="360">
        <f>F122</f>
        <v>100000</v>
      </c>
      <c r="G140" s="248">
        <f>F140*E140</f>
        <v>52000</v>
      </c>
    </row>
    <row r="141" spans="1:7">
      <c r="A141" s="247"/>
      <c r="B141" s="1016" t="s">
        <v>677</v>
      </c>
      <c r="C141" s="247" t="s">
        <v>678</v>
      </c>
      <c r="D141" s="247" t="s">
        <v>675</v>
      </c>
      <c r="E141" s="372">
        <v>0.26</v>
      </c>
      <c r="F141" s="360">
        <f>F123</f>
        <v>140000</v>
      </c>
      <c r="G141" s="248">
        <f>F141*E141</f>
        <v>36400</v>
      </c>
    </row>
    <row r="142" spans="1:7">
      <c r="A142" s="247"/>
      <c r="B142" s="1016" t="s">
        <v>680</v>
      </c>
      <c r="C142" s="247" t="s">
        <v>681</v>
      </c>
      <c r="D142" s="247" t="s">
        <v>675</v>
      </c>
      <c r="E142" s="372">
        <v>2.5999999999999999E-2</v>
      </c>
      <c r="F142" s="360">
        <f>F124</f>
        <v>150000</v>
      </c>
      <c r="G142" s="248">
        <f>F142*E142</f>
        <v>3900</v>
      </c>
    </row>
    <row r="143" spans="1:7">
      <c r="A143" s="247"/>
      <c r="B143" s="1016" t="s">
        <v>683</v>
      </c>
      <c r="C143" s="247" t="s">
        <v>684</v>
      </c>
      <c r="D143" s="247" t="s">
        <v>675</v>
      </c>
      <c r="E143" s="372">
        <v>2.5999999999999999E-2</v>
      </c>
      <c r="F143" s="360">
        <f>F125</f>
        <v>140000</v>
      </c>
      <c r="G143" s="248">
        <f>F143*E143</f>
        <v>3640</v>
      </c>
    </row>
    <row r="144" spans="1:7">
      <c r="A144" s="247"/>
      <c r="B144" s="1016"/>
      <c r="C144" s="247"/>
      <c r="D144" s="247"/>
      <c r="E144" s="1146" t="s">
        <v>685</v>
      </c>
      <c r="F144" s="1146"/>
      <c r="G144" s="248">
        <f>SUM(G140:G143)</f>
        <v>95940</v>
      </c>
    </row>
    <row r="145" spans="1:7">
      <c r="A145" s="294" t="s">
        <v>686</v>
      </c>
      <c r="B145" s="1017" t="s">
        <v>687</v>
      </c>
      <c r="C145" s="247"/>
      <c r="D145" s="247"/>
      <c r="E145" s="372"/>
      <c r="F145" s="360"/>
      <c r="G145" s="248"/>
    </row>
    <row r="146" spans="1:7">
      <c r="A146" s="247"/>
      <c r="B146" s="1016" t="s">
        <v>859</v>
      </c>
      <c r="C146" s="247"/>
      <c r="D146" s="294" t="s">
        <v>2646</v>
      </c>
      <c r="E146" s="372">
        <v>4.4999999999999998E-2</v>
      </c>
      <c r="F146" s="360">
        <f>'UPAD-BAHAN-ALAT Cetak'!I52</f>
        <v>2200000</v>
      </c>
      <c r="G146" s="248">
        <f>F146*E146</f>
        <v>99000</v>
      </c>
    </row>
    <row r="147" spans="1:7">
      <c r="A147" s="247"/>
      <c r="B147" s="1016" t="s">
        <v>862</v>
      </c>
      <c r="C147" s="247"/>
      <c r="D147" s="247" t="s">
        <v>773</v>
      </c>
      <c r="E147" s="372">
        <v>0.3</v>
      </c>
      <c r="F147" s="360">
        <f>'UPAD-BAHAN-ALAT Cetak'!I69</f>
        <v>26000</v>
      </c>
      <c r="G147" s="248">
        <f>F147*E147</f>
        <v>7800</v>
      </c>
    </row>
    <row r="148" spans="1:7">
      <c r="A148" s="247"/>
      <c r="B148" s="1016" t="s">
        <v>861</v>
      </c>
      <c r="C148" s="247"/>
      <c r="D148" s="247" t="s">
        <v>701</v>
      </c>
      <c r="E148" s="372">
        <v>0.1</v>
      </c>
      <c r="F148" s="360">
        <f>'UPAD-BAHAN-ALAT Cetak'!I54</f>
        <v>15000</v>
      </c>
      <c r="G148" s="248">
        <f>F148*E148</f>
        <v>1500</v>
      </c>
    </row>
    <row r="149" spans="1:7">
      <c r="A149" s="247"/>
      <c r="B149" s="1016"/>
      <c r="C149" s="247"/>
      <c r="D149" s="247"/>
      <c r="E149" s="1155" t="s">
        <v>702</v>
      </c>
      <c r="F149" s="1155"/>
      <c r="G149" s="248">
        <f>SUM(G146:G148)</f>
        <v>108300</v>
      </c>
    </row>
    <row r="150" spans="1:7">
      <c r="A150" s="294" t="s">
        <v>703</v>
      </c>
      <c r="B150" s="1151" t="s">
        <v>3910</v>
      </c>
      <c r="C150" s="1151"/>
      <c r="D150" s="1151"/>
      <c r="E150" s="1151"/>
      <c r="F150" s="1151"/>
      <c r="G150" s="255">
        <f>G144+G149</f>
        <v>204240</v>
      </c>
    </row>
    <row r="151" spans="1:7">
      <c r="A151" s="294" t="s">
        <v>706</v>
      </c>
      <c r="B151" s="1148" t="s">
        <v>709</v>
      </c>
      <c r="C151" s="1148"/>
      <c r="D151" s="1148"/>
      <c r="E151" s="1147" t="s">
        <v>4030</v>
      </c>
      <c r="F151" s="1147"/>
      <c r="G151" s="255">
        <f>G150*0.15</f>
        <v>30636</v>
      </c>
    </row>
    <row r="152" spans="1:7">
      <c r="A152" s="294" t="s">
        <v>708</v>
      </c>
      <c r="B152" s="1149" t="s">
        <v>3911</v>
      </c>
      <c r="C152" s="1149"/>
      <c r="D152" s="1149"/>
      <c r="E152" s="1149"/>
      <c r="F152" s="1149"/>
      <c r="G152" s="255">
        <f>ROUND(SUM(G150:G151),2)</f>
        <v>234876</v>
      </c>
    </row>
    <row r="153" spans="1:7">
      <c r="A153" s="276"/>
      <c r="B153" s="275"/>
      <c r="C153" s="276"/>
      <c r="D153" s="276"/>
      <c r="E153" s="383"/>
      <c r="F153" s="656"/>
      <c r="G153" s="264"/>
    </row>
    <row r="154" spans="1:7">
      <c r="A154" s="285" t="s">
        <v>4717</v>
      </c>
      <c r="B154" s="1001" t="s">
        <v>4718</v>
      </c>
      <c r="C154" s="252"/>
      <c r="D154" s="252"/>
      <c r="E154" s="374"/>
      <c r="F154" s="361"/>
      <c r="G154" s="253"/>
    </row>
    <row r="155" spans="1:7">
      <c r="A155" s="290" t="s">
        <v>1003</v>
      </c>
      <c r="B155" s="290" t="s">
        <v>1004</v>
      </c>
      <c r="C155" s="290" t="s">
        <v>1005</v>
      </c>
      <c r="D155" s="290" t="s">
        <v>1006</v>
      </c>
      <c r="E155" s="373" t="s">
        <v>1007</v>
      </c>
      <c r="F155" s="363" t="s">
        <v>2637</v>
      </c>
      <c r="G155" s="291" t="s">
        <v>2638</v>
      </c>
    </row>
    <row r="156" spans="1:7">
      <c r="A156" s="294" t="s">
        <v>671</v>
      </c>
      <c r="B156" s="1017" t="s">
        <v>672</v>
      </c>
      <c r="C156" s="247"/>
      <c r="D156" s="247"/>
      <c r="E156" s="372"/>
      <c r="F156" s="360"/>
      <c r="G156" s="248"/>
    </row>
    <row r="157" spans="1:7">
      <c r="A157" s="247"/>
      <c r="B157" s="1016" t="s">
        <v>673</v>
      </c>
      <c r="C157" s="247" t="s">
        <v>674</v>
      </c>
      <c r="D157" s="247" t="s">
        <v>675</v>
      </c>
      <c r="E157" s="372">
        <v>0.66</v>
      </c>
      <c r="F157" s="360">
        <f>F140</f>
        <v>100000</v>
      </c>
      <c r="G157" s="248">
        <f>F157*E157</f>
        <v>66000</v>
      </c>
    </row>
    <row r="158" spans="1:7">
      <c r="A158" s="247"/>
      <c r="B158" s="1016" t="s">
        <v>677</v>
      </c>
      <c r="C158" s="247" t="s">
        <v>678</v>
      </c>
      <c r="D158" s="247" t="s">
        <v>675</v>
      </c>
      <c r="E158" s="372">
        <v>0.33</v>
      </c>
      <c r="F158" s="360">
        <f>F141</f>
        <v>140000</v>
      </c>
      <c r="G158" s="248">
        <f>F158*E158</f>
        <v>46200</v>
      </c>
    </row>
    <row r="159" spans="1:7">
      <c r="A159" s="247"/>
      <c r="B159" s="1016" t="s">
        <v>680</v>
      </c>
      <c r="C159" s="247" t="s">
        <v>681</v>
      </c>
      <c r="D159" s="247" t="s">
        <v>675</v>
      </c>
      <c r="E159" s="372">
        <v>3.3000000000000002E-2</v>
      </c>
      <c r="F159" s="360">
        <f>F142</f>
        <v>150000</v>
      </c>
      <c r="G159" s="248">
        <f>F159*E159</f>
        <v>4950</v>
      </c>
    </row>
    <row r="160" spans="1:7">
      <c r="A160" s="247"/>
      <c r="B160" s="1016" t="s">
        <v>683</v>
      </c>
      <c r="C160" s="247" t="s">
        <v>684</v>
      </c>
      <c r="D160" s="247" t="s">
        <v>675</v>
      </c>
      <c r="E160" s="372">
        <v>3.3000000000000002E-2</v>
      </c>
      <c r="F160" s="360">
        <f>F143</f>
        <v>140000</v>
      </c>
      <c r="G160" s="248">
        <f>F160*E160</f>
        <v>4620</v>
      </c>
    </row>
    <row r="161" spans="1:7">
      <c r="A161" s="247"/>
      <c r="B161" s="1016"/>
      <c r="C161" s="247"/>
      <c r="D161" s="247"/>
      <c r="E161" s="1146" t="s">
        <v>685</v>
      </c>
      <c r="F161" s="1146"/>
      <c r="G161" s="248">
        <f>SUM(G157:G160)</f>
        <v>121770</v>
      </c>
    </row>
    <row r="162" spans="1:7">
      <c r="A162" s="294" t="s">
        <v>686</v>
      </c>
      <c r="B162" s="1017" t="s">
        <v>687</v>
      </c>
      <c r="C162" s="247"/>
      <c r="D162" s="247"/>
      <c r="E162" s="372"/>
      <c r="F162" s="360"/>
      <c r="G162" s="248"/>
    </row>
    <row r="163" spans="1:7">
      <c r="A163" s="247"/>
      <c r="B163" s="1016" t="s">
        <v>859</v>
      </c>
      <c r="C163" s="247"/>
      <c r="D163" s="247" t="s">
        <v>2646</v>
      </c>
      <c r="E163" s="372">
        <v>0.04</v>
      </c>
      <c r="F163" s="360">
        <f>F146</f>
        <v>2200000</v>
      </c>
      <c r="G163" s="248">
        <f t="shared" ref="G163:G168" si="1">F163*E163</f>
        <v>88000</v>
      </c>
    </row>
    <row r="164" spans="1:7">
      <c r="A164" s="247"/>
      <c r="B164" s="1016" t="s">
        <v>864</v>
      </c>
      <c r="C164" s="247"/>
      <c r="D164" s="247" t="s">
        <v>773</v>
      </c>
      <c r="E164" s="372">
        <v>0.4</v>
      </c>
      <c r="F164" s="360">
        <f t="shared" ref="F164:F165" si="2">F147</f>
        <v>26000</v>
      </c>
      <c r="G164" s="248">
        <f t="shared" si="1"/>
        <v>10400</v>
      </c>
    </row>
    <row r="165" spans="1:7">
      <c r="A165" s="247"/>
      <c r="B165" s="1016" t="s">
        <v>861</v>
      </c>
      <c r="C165" s="247"/>
      <c r="D165" s="247" t="s">
        <v>701</v>
      </c>
      <c r="E165" s="372">
        <v>0.2</v>
      </c>
      <c r="F165" s="360">
        <f t="shared" si="2"/>
        <v>15000</v>
      </c>
      <c r="G165" s="248">
        <f t="shared" si="1"/>
        <v>3000</v>
      </c>
    </row>
    <row r="166" spans="1:7">
      <c r="A166" s="247"/>
      <c r="B166" s="1016" t="s">
        <v>3535</v>
      </c>
      <c r="C166" s="247"/>
      <c r="D166" s="247" t="s">
        <v>2646</v>
      </c>
      <c r="E166" s="372">
        <v>1.4999999999999999E-2</v>
      </c>
      <c r="F166" s="360">
        <f>F163</f>
        <v>2200000</v>
      </c>
      <c r="G166" s="248">
        <f t="shared" si="1"/>
        <v>33000</v>
      </c>
    </row>
    <row r="167" spans="1:7">
      <c r="A167" s="247"/>
      <c r="B167" s="1016" t="s">
        <v>4588</v>
      </c>
      <c r="C167" s="247"/>
      <c r="D167" s="247" t="s">
        <v>715</v>
      </c>
      <c r="E167" s="372">
        <v>0.35</v>
      </c>
      <c r="F167" s="360">
        <f>'UPAD-BAHAN-ALAT Cetak'!I56</f>
        <v>200000</v>
      </c>
      <c r="G167" s="248">
        <f t="shared" si="1"/>
        <v>70000</v>
      </c>
    </row>
    <row r="168" spans="1:7">
      <c r="A168" s="247"/>
      <c r="B168" s="256" t="s">
        <v>3440</v>
      </c>
      <c r="C168" s="247"/>
      <c r="D168" s="247" t="s">
        <v>688</v>
      </c>
      <c r="E168" s="375">
        <v>2</v>
      </c>
      <c r="F168" s="360">
        <f>'UPAD-BAHAN-ALAT Cetak'!I57</f>
        <v>12000</v>
      </c>
      <c r="G168" s="248">
        <f t="shared" si="1"/>
        <v>24000</v>
      </c>
    </row>
    <row r="169" spans="1:7">
      <c r="A169" s="296"/>
      <c r="B169" s="1018"/>
      <c r="C169" s="296"/>
      <c r="D169" s="296"/>
      <c r="E169" s="1183" t="s">
        <v>702</v>
      </c>
      <c r="F169" s="1183"/>
      <c r="G169" s="771">
        <f>SUM(G163:G168)</f>
        <v>228400</v>
      </c>
    </row>
    <row r="170" spans="1:7">
      <c r="A170" s="247"/>
      <c r="B170" s="1016"/>
      <c r="C170" s="247"/>
      <c r="D170" s="247"/>
      <c r="E170" s="1016" t="s">
        <v>4719</v>
      </c>
      <c r="F170" s="1016"/>
      <c r="G170" s="248">
        <f>G169*0.5</f>
        <v>114200</v>
      </c>
    </row>
    <row r="171" spans="1:7">
      <c r="A171" s="294" t="s">
        <v>703</v>
      </c>
      <c r="B171" s="1147" t="s">
        <v>3910</v>
      </c>
      <c r="C171" s="1147"/>
      <c r="D171" s="1147"/>
      <c r="E171" s="1147"/>
      <c r="F171" s="1147"/>
      <c r="G171" s="255">
        <f>G161+G170</f>
        <v>235970</v>
      </c>
    </row>
    <row r="172" spans="1:7">
      <c r="A172" s="294" t="s">
        <v>706</v>
      </c>
      <c r="B172" s="1148" t="s">
        <v>709</v>
      </c>
      <c r="C172" s="1148"/>
      <c r="D172" s="1148"/>
      <c r="E172" s="1147" t="s">
        <v>4030</v>
      </c>
      <c r="F172" s="1147"/>
      <c r="G172" s="255">
        <f>G171*0.15</f>
        <v>35395.5</v>
      </c>
    </row>
    <row r="173" spans="1:7">
      <c r="A173" s="294" t="s">
        <v>708</v>
      </c>
      <c r="B173" s="1149" t="s">
        <v>3911</v>
      </c>
      <c r="C173" s="1149"/>
      <c r="D173" s="1149"/>
      <c r="E173" s="1149"/>
      <c r="F173" s="1149"/>
      <c r="G173" s="255">
        <f>ROUND(SUM(G171:G172),2)</f>
        <v>271365.5</v>
      </c>
    </row>
    <row r="174" spans="1:7">
      <c r="A174" s="276"/>
      <c r="B174" s="275"/>
      <c r="C174" s="276"/>
      <c r="D174" s="276"/>
      <c r="E174" s="383"/>
      <c r="F174" s="656"/>
      <c r="G174" s="264"/>
    </row>
    <row r="175" spans="1:7">
      <c r="A175" s="285" t="s">
        <v>4728</v>
      </c>
      <c r="B175" s="263" t="s">
        <v>4729</v>
      </c>
      <c r="C175" s="276"/>
      <c r="D175" s="276"/>
      <c r="E175" s="383"/>
      <c r="F175" s="656"/>
      <c r="G175" s="264"/>
    </row>
    <row r="176" spans="1:7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2637</v>
      </c>
      <c r="G176" s="291" t="s">
        <v>2638</v>
      </c>
    </row>
    <row r="177" spans="1:7">
      <c r="A177" s="294" t="s">
        <v>671</v>
      </c>
      <c r="B177" s="1017" t="s">
        <v>672</v>
      </c>
      <c r="C177" s="247"/>
      <c r="D177" s="247"/>
      <c r="E177" s="372"/>
      <c r="F177" s="360"/>
      <c r="G177" s="248"/>
    </row>
    <row r="178" spans="1:7">
      <c r="A178" s="247"/>
      <c r="B178" s="1016" t="s">
        <v>673</v>
      </c>
      <c r="C178" s="247" t="s">
        <v>674</v>
      </c>
      <c r="D178" s="247" t="s">
        <v>675</v>
      </c>
      <c r="E178" s="372">
        <v>0.66</v>
      </c>
      <c r="F178" s="360">
        <f>F157</f>
        <v>100000</v>
      </c>
      <c r="G178" s="248">
        <f>F178*E178</f>
        <v>66000</v>
      </c>
    </row>
    <row r="179" spans="1:7">
      <c r="A179" s="247"/>
      <c r="B179" s="1016" t="s">
        <v>677</v>
      </c>
      <c r="C179" s="247" t="s">
        <v>678</v>
      </c>
      <c r="D179" s="247" t="s">
        <v>675</v>
      </c>
      <c r="E179" s="372">
        <v>0.33</v>
      </c>
      <c r="F179" s="360">
        <f>F158</f>
        <v>140000</v>
      </c>
      <c r="G179" s="248">
        <f>F179*E179</f>
        <v>46200</v>
      </c>
    </row>
    <row r="180" spans="1:7">
      <c r="A180" s="247"/>
      <c r="B180" s="1016" t="s">
        <v>680</v>
      </c>
      <c r="C180" s="247" t="s">
        <v>681</v>
      </c>
      <c r="D180" s="247" t="s">
        <v>675</v>
      </c>
      <c r="E180" s="372">
        <v>3.3000000000000002E-2</v>
      </c>
      <c r="F180" s="360">
        <f>F159</f>
        <v>150000</v>
      </c>
      <c r="G180" s="248">
        <f>F180*E180</f>
        <v>4950</v>
      </c>
    </row>
    <row r="181" spans="1:7">
      <c r="A181" s="247"/>
      <c r="B181" s="1016" t="s">
        <v>683</v>
      </c>
      <c r="C181" s="247" t="s">
        <v>684</v>
      </c>
      <c r="D181" s="247" t="s">
        <v>675</v>
      </c>
      <c r="E181" s="372">
        <v>3.3000000000000002E-2</v>
      </c>
      <c r="F181" s="360">
        <f>F160</f>
        <v>140000</v>
      </c>
      <c r="G181" s="248">
        <f>F181*E181</f>
        <v>4620</v>
      </c>
    </row>
    <row r="182" spans="1:7">
      <c r="A182" s="247"/>
      <c r="B182" s="1016"/>
      <c r="C182" s="247"/>
      <c r="D182" s="247"/>
      <c r="E182" s="1146" t="s">
        <v>685</v>
      </c>
      <c r="F182" s="1146"/>
      <c r="G182" s="248">
        <f>SUM(G178:G181)</f>
        <v>121770</v>
      </c>
    </row>
    <row r="183" spans="1:7">
      <c r="A183" s="294" t="s">
        <v>686</v>
      </c>
      <c r="B183" s="1017" t="s">
        <v>687</v>
      </c>
      <c r="C183" s="247"/>
      <c r="D183" s="247"/>
      <c r="E183" s="372"/>
      <c r="F183" s="360"/>
      <c r="G183" s="248"/>
    </row>
    <row r="184" spans="1:7">
      <c r="A184" s="247"/>
      <c r="B184" s="1016" t="s">
        <v>859</v>
      </c>
      <c r="C184" s="247"/>
      <c r="D184" s="247" t="s">
        <v>2646</v>
      </c>
      <c r="E184" s="372">
        <v>0.04</v>
      </c>
      <c r="F184" s="360">
        <f>F163</f>
        <v>2200000</v>
      </c>
      <c r="G184" s="248">
        <f t="shared" ref="G184:G189" si="3">F184*E184</f>
        <v>88000</v>
      </c>
    </row>
    <row r="185" spans="1:7">
      <c r="A185" s="247"/>
      <c r="B185" s="1016" t="s">
        <v>864</v>
      </c>
      <c r="C185" s="247"/>
      <c r="D185" s="247" t="s">
        <v>773</v>
      </c>
      <c r="E185" s="372">
        <v>0.4</v>
      </c>
      <c r="F185" s="360">
        <f>F164</f>
        <v>26000</v>
      </c>
      <c r="G185" s="248">
        <f t="shared" si="3"/>
        <v>10400</v>
      </c>
    </row>
    <row r="186" spans="1:7">
      <c r="A186" s="247"/>
      <c r="B186" s="1016" t="s">
        <v>861</v>
      </c>
      <c r="C186" s="247"/>
      <c r="D186" s="247" t="s">
        <v>701</v>
      </c>
      <c r="E186" s="372">
        <v>0.2</v>
      </c>
      <c r="F186" s="360">
        <f>F165</f>
        <v>15000</v>
      </c>
      <c r="G186" s="248">
        <f t="shared" si="3"/>
        <v>3000</v>
      </c>
    </row>
    <row r="187" spans="1:7">
      <c r="A187" s="247"/>
      <c r="B187" s="1016" t="s">
        <v>3535</v>
      </c>
      <c r="C187" s="247"/>
      <c r="D187" s="247" t="s">
        <v>2646</v>
      </c>
      <c r="E187" s="372">
        <v>1.7999999999999999E-2</v>
      </c>
      <c r="F187" s="360">
        <f>F184</f>
        <v>2200000</v>
      </c>
      <c r="G187" s="248">
        <f t="shared" si="3"/>
        <v>39600</v>
      </c>
    </row>
    <row r="188" spans="1:7">
      <c r="A188" s="247"/>
      <c r="B188" s="1021" t="s">
        <v>4012</v>
      </c>
      <c r="C188" s="247"/>
      <c r="D188" s="247" t="s">
        <v>715</v>
      </c>
      <c r="E188" s="372">
        <v>0.35</v>
      </c>
      <c r="F188" s="360">
        <f>F167</f>
        <v>200000</v>
      </c>
      <c r="G188" s="248">
        <f t="shared" si="3"/>
        <v>70000</v>
      </c>
    </row>
    <row r="189" spans="1:7">
      <c r="A189" s="247"/>
      <c r="B189" s="256" t="s">
        <v>3441</v>
      </c>
      <c r="C189" s="247"/>
      <c r="D189" s="247" t="s">
        <v>688</v>
      </c>
      <c r="E189" s="375">
        <v>2</v>
      </c>
      <c r="F189" s="360">
        <f>F168</f>
        <v>12000</v>
      </c>
      <c r="G189" s="248">
        <f t="shared" si="3"/>
        <v>24000</v>
      </c>
    </row>
    <row r="190" spans="1:7">
      <c r="A190" s="296"/>
      <c r="B190" s="1018"/>
      <c r="C190" s="296"/>
      <c r="D190" s="296"/>
      <c r="E190" s="1183" t="s">
        <v>702</v>
      </c>
      <c r="F190" s="1183"/>
      <c r="G190" s="771">
        <f>SUM(G184:G189)</f>
        <v>235000</v>
      </c>
    </row>
    <row r="191" spans="1:7">
      <c r="A191" s="247"/>
      <c r="B191" s="1016"/>
      <c r="C191" s="247"/>
      <c r="D191" s="247"/>
      <c r="E191" s="1016" t="s">
        <v>4719</v>
      </c>
      <c r="F191" s="1016"/>
      <c r="G191" s="248">
        <f>G190*0.5</f>
        <v>117500</v>
      </c>
    </row>
    <row r="192" spans="1:7">
      <c r="A192" s="294" t="s">
        <v>703</v>
      </c>
      <c r="B192" s="1147" t="s">
        <v>3910</v>
      </c>
      <c r="C192" s="1147"/>
      <c r="D192" s="1147"/>
      <c r="E192" s="1147"/>
      <c r="F192" s="1147"/>
      <c r="G192" s="255">
        <f>G182+G191</f>
        <v>239270</v>
      </c>
    </row>
    <row r="193" spans="1:7">
      <c r="A193" s="294" t="s">
        <v>706</v>
      </c>
      <c r="B193" s="1148" t="s">
        <v>709</v>
      </c>
      <c r="C193" s="1148"/>
      <c r="D193" s="1148"/>
      <c r="E193" s="1147" t="s">
        <v>4030</v>
      </c>
      <c r="F193" s="1147"/>
      <c r="G193" s="255">
        <f>G192*0.15</f>
        <v>35890.5</v>
      </c>
    </row>
    <row r="194" spans="1:7">
      <c r="A194" s="294" t="s">
        <v>708</v>
      </c>
      <c r="B194" s="1149" t="s">
        <v>3911</v>
      </c>
      <c r="C194" s="1149"/>
      <c r="D194" s="1149"/>
      <c r="E194" s="1149"/>
      <c r="F194" s="1149"/>
      <c r="G194" s="255">
        <f>ROUND(SUM(G192:G193),2)</f>
        <v>275160.5</v>
      </c>
    </row>
    <row r="195" spans="1:7">
      <c r="A195" s="276"/>
      <c r="B195" s="275"/>
      <c r="C195" s="276"/>
      <c r="D195" s="276"/>
      <c r="E195" s="383"/>
      <c r="F195" s="656"/>
      <c r="G195" s="264"/>
    </row>
    <row r="196" spans="1:7">
      <c r="A196" s="285" t="s">
        <v>3697</v>
      </c>
      <c r="B196" s="1040" t="s">
        <v>3656</v>
      </c>
      <c r="C196" s="276"/>
      <c r="D196" s="276"/>
      <c r="E196" s="383"/>
      <c r="F196" s="656"/>
      <c r="G196" s="264"/>
    </row>
    <row r="197" spans="1:7">
      <c r="A197" s="290" t="s">
        <v>1003</v>
      </c>
      <c r="B197" s="290" t="s">
        <v>1004</v>
      </c>
      <c r="C197" s="290" t="s">
        <v>1005</v>
      </c>
      <c r="D197" s="290" t="s">
        <v>1006</v>
      </c>
      <c r="E197" s="373" t="s">
        <v>1007</v>
      </c>
      <c r="F197" s="363" t="s">
        <v>2637</v>
      </c>
      <c r="G197" s="291" t="s">
        <v>2638</v>
      </c>
    </row>
    <row r="198" spans="1:7">
      <c r="A198" s="640" t="s">
        <v>671</v>
      </c>
      <c r="B198" s="1019" t="s">
        <v>672</v>
      </c>
      <c r="C198" s="643"/>
      <c r="D198" s="643"/>
      <c r="E198" s="644"/>
      <c r="F198" s="645"/>
      <c r="G198" s="646"/>
    </row>
    <row r="199" spans="1:7">
      <c r="A199" s="643"/>
      <c r="B199" s="1020" t="s">
        <v>673</v>
      </c>
      <c r="C199" s="643" t="s">
        <v>674</v>
      </c>
      <c r="D199" s="643" t="s">
        <v>675</v>
      </c>
      <c r="E199" s="644">
        <v>7.0000000000000007E-2</v>
      </c>
      <c r="F199" s="645">
        <f>F178</f>
        <v>100000</v>
      </c>
      <c r="G199" s="646">
        <f>F199*E199</f>
        <v>7000.0000000000009</v>
      </c>
    </row>
    <row r="200" spans="1:7">
      <c r="A200" s="643"/>
      <c r="B200" s="1020" t="s">
        <v>855</v>
      </c>
      <c r="C200" s="643" t="s">
        <v>678</v>
      </c>
      <c r="D200" s="643" t="s">
        <v>675</v>
      </c>
      <c r="E200" s="644">
        <v>7.0000000000000007E-2</v>
      </c>
      <c r="F200" s="645">
        <f>F179</f>
        <v>140000</v>
      </c>
      <c r="G200" s="646">
        <f>F200*E200</f>
        <v>9800.0000000000018</v>
      </c>
    </row>
    <row r="201" spans="1:7">
      <c r="A201" s="643"/>
      <c r="B201" s="1020" t="s">
        <v>680</v>
      </c>
      <c r="C201" s="643" t="s">
        <v>681</v>
      </c>
      <c r="D201" s="643" t="s">
        <v>675</v>
      </c>
      <c r="E201" s="644">
        <v>7.0000000000000001E-3</v>
      </c>
      <c r="F201" s="645">
        <f>F180</f>
        <v>150000</v>
      </c>
      <c r="G201" s="646">
        <f>F201*E201</f>
        <v>1050</v>
      </c>
    </row>
    <row r="202" spans="1:7">
      <c r="A202" s="643"/>
      <c r="B202" s="1020" t="s">
        <v>683</v>
      </c>
      <c r="C202" s="643" t="s">
        <v>684</v>
      </c>
      <c r="D202" s="643" t="s">
        <v>675</v>
      </c>
      <c r="E202" s="644">
        <v>4.0000000000000001E-3</v>
      </c>
      <c r="F202" s="645">
        <f>F181</f>
        <v>140000</v>
      </c>
      <c r="G202" s="646">
        <f>F202*E202</f>
        <v>560</v>
      </c>
    </row>
    <row r="203" spans="1:7">
      <c r="A203" s="643"/>
      <c r="B203" s="1020"/>
      <c r="C203" s="643"/>
      <c r="D203" s="643"/>
      <c r="E203" s="1176" t="s">
        <v>685</v>
      </c>
      <c r="F203" s="1176"/>
      <c r="G203" s="646">
        <f>SUM(G199:G202)</f>
        <v>18410.000000000004</v>
      </c>
    </row>
    <row r="204" spans="1:7">
      <c r="A204" s="640" t="s">
        <v>686</v>
      </c>
      <c r="B204" s="1019" t="s">
        <v>687</v>
      </c>
      <c r="C204" s="643"/>
      <c r="D204" s="643"/>
      <c r="E204" s="644"/>
      <c r="F204" s="645"/>
      <c r="G204" s="646"/>
    </row>
    <row r="205" spans="1:7">
      <c r="A205" s="643"/>
      <c r="B205" s="648" t="s">
        <v>3657</v>
      </c>
      <c r="C205" s="643"/>
      <c r="D205" s="643" t="s">
        <v>773</v>
      </c>
      <c r="E205" s="644">
        <v>10.5</v>
      </c>
      <c r="F205" s="645">
        <f>'UPAD-BAHAN-ALAT Cetak'!I58</f>
        <v>13000</v>
      </c>
      <c r="G205" s="646">
        <f>F205*E205</f>
        <v>136500</v>
      </c>
    </row>
    <row r="206" spans="1:7">
      <c r="A206" s="643"/>
      <c r="B206" s="1020" t="s">
        <v>835</v>
      </c>
      <c r="C206" s="643"/>
      <c r="D206" s="643" t="s">
        <v>773</v>
      </c>
      <c r="E206" s="644">
        <v>0.15</v>
      </c>
      <c r="F206" s="645">
        <f>'UPAD-BAHAN-ALAT Cetak'!I59</f>
        <v>30000</v>
      </c>
      <c r="G206" s="646">
        <f>F206*E206</f>
        <v>4500</v>
      </c>
    </row>
    <row r="207" spans="1:7">
      <c r="A207" s="643"/>
      <c r="B207" s="1020"/>
      <c r="C207" s="643"/>
      <c r="D207" s="643"/>
      <c r="E207" s="1181" t="s">
        <v>702</v>
      </c>
      <c r="F207" s="1181"/>
      <c r="G207" s="646">
        <f>SUM(G205:G206)</f>
        <v>141000</v>
      </c>
    </row>
    <row r="208" spans="1:7">
      <c r="A208" s="640" t="s">
        <v>703</v>
      </c>
      <c r="B208" s="1182" t="s">
        <v>3910</v>
      </c>
      <c r="C208" s="1182"/>
      <c r="D208" s="1182"/>
      <c r="E208" s="1182"/>
      <c r="F208" s="1182"/>
      <c r="G208" s="626">
        <f>G203+G207</f>
        <v>159410</v>
      </c>
    </row>
    <row r="209" spans="1:7">
      <c r="A209" s="640" t="s">
        <v>706</v>
      </c>
      <c r="B209" s="1180" t="s">
        <v>709</v>
      </c>
      <c r="C209" s="1180"/>
      <c r="D209" s="1180"/>
      <c r="E209" s="1178" t="s">
        <v>4030</v>
      </c>
      <c r="F209" s="1178"/>
      <c r="G209" s="626">
        <f>G208*0.15</f>
        <v>23911.5</v>
      </c>
    </row>
    <row r="210" spans="1:7">
      <c r="A210" s="640" t="s">
        <v>708</v>
      </c>
      <c r="B210" s="1179" t="s">
        <v>3911</v>
      </c>
      <c r="C210" s="1179"/>
      <c r="D210" s="1179"/>
      <c r="E210" s="1179"/>
      <c r="F210" s="1179"/>
      <c r="G210" s="626">
        <f>SUM(G208:G209)</f>
        <v>183321.5</v>
      </c>
    </row>
    <row r="211" spans="1:7">
      <c r="A211" s="640" t="s">
        <v>711</v>
      </c>
      <c r="B211" s="1179" t="s">
        <v>3533</v>
      </c>
      <c r="C211" s="1179"/>
      <c r="D211" s="1179"/>
      <c r="E211" s="1179"/>
      <c r="F211" s="1179"/>
      <c r="G211" s="255">
        <f>ROUND((G210/10),2)</f>
        <v>18332.150000000001</v>
      </c>
    </row>
    <row r="212" spans="1:7">
      <c r="A212" s="276"/>
      <c r="B212" s="275"/>
      <c r="C212" s="276"/>
      <c r="D212" s="276"/>
      <c r="E212" s="383"/>
      <c r="F212" s="656"/>
      <c r="G212" s="264"/>
    </row>
    <row r="213" spans="1:7">
      <c r="A213" s="285" t="s">
        <v>4151</v>
      </c>
      <c r="B213" s="263" t="s">
        <v>4727</v>
      </c>
      <c r="C213" s="276"/>
      <c r="D213" s="276"/>
      <c r="E213" s="383"/>
      <c r="F213" s="656"/>
      <c r="G213" s="264"/>
    </row>
    <row r="214" spans="1:7">
      <c r="A214" s="298" t="s">
        <v>1003</v>
      </c>
      <c r="B214" s="298" t="s">
        <v>1004</v>
      </c>
      <c r="C214" s="298" t="s">
        <v>1005</v>
      </c>
      <c r="D214" s="298" t="s">
        <v>1006</v>
      </c>
      <c r="E214" s="377" t="s">
        <v>1007</v>
      </c>
      <c r="F214" s="363" t="s">
        <v>2639</v>
      </c>
      <c r="G214" s="291" t="s">
        <v>2638</v>
      </c>
    </row>
    <row r="215" spans="1:7">
      <c r="A215" s="294" t="s">
        <v>671</v>
      </c>
      <c r="B215" s="1026" t="s">
        <v>672</v>
      </c>
      <c r="C215" s="247"/>
      <c r="D215" s="247"/>
      <c r="E215" s="372"/>
      <c r="F215" s="360"/>
      <c r="G215" s="248"/>
    </row>
    <row r="216" spans="1:7">
      <c r="A216" s="294"/>
      <c r="B216" s="1026" t="s">
        <v>673</v>
      </c>
      <c r="C216" s="247" t="s">
        <v>674</v>
      </c>
      <c r="D216" s="247" t="s">
        <v>675</v>
      </c>
      <c r="E216" s="372">
        <v>0.3</v>
      </c>
      <c r="F216" s="360">
        <f>F199</f>
        <v>100000</v>
      </c>
      <c r="G216" s="248">
        <f>F216*E216</f>
        <v>30000</v>
      </c>
    </row>
    <row r="217" spans="1:7">
      <c r="A217" s="294"/>
      <c r="B217" s="1026" t="s">
        <v>816</v>
      </c>
      <c r="C217" s="247" t="s">
        <v>678</v>
      </c>
      <c r="D217" s="247" t="s">
        <v>675</v>
      </c>
      <c r="E217" s="372">
        <v>0.1</v>
      </c>
      <c r="F217" s="360">
        <f>F200</f>
        <v>140000</v>
      </c>
      <c r="G217" s="248">
        <f>F217*E217</f>
        <v>14000</v>
      </c>
    </row>
    <row r="218" spans="1:7">
      <c r="A218" s="294"/>
      <c r="B218" s="1026" t="s">
        <v>680</v>
      </c>
      <c r="C218" s="247" t="s">
        <v>681</v>
      </c>
      <c r="D218" s="247" t="s">
        <v>675</v>
      </c>
      <c r="E218" s="372">
        <v>0.01</v>
      </c>
      <c r="F218" s="360">
        <f>F201</f>
        <v>150000</v>
      </c>
      <c r="G218" s="248">
        <f>F218*E218</f>
        <v>1500</v>
      </c>
    </row>
    <row r="219" spans="1:7">
      <c r="A219" s="294"/>
      <c r="B219" s="1026" t="s">
        <v>683</v>
      </c>
      <c r="C219" s="247" t="s">
        <v>684</v>
      </c>
      <c r="D219" s="247" t="s">
        <v>675</v>
      </c>
      <c r="E219" s="372">
        <v>1.4999999999999999E-2</v>
      </c>
      <c r="F219" s="360">
        <f>F202</f>
        <v>140000</v>
      </c>
      <c r="G219" s="248">
        <f>F219*E219</f>
        <v>2100</v>
      </c>
    </row>
    <row r="220" spans="1:7">
      <c r="A220" s="294"/>
      <c r="B220" s="1026"/>
      <c r="C220" s="247"/>
      <c r="D220" s="247"/>
      <c r="E220" s="1146" t="s">
        <v>685</v>
      </c>
      <c r="F220" s="1146"/>
      <c r="G220" s="248">
        <f>SUM(G216:G219)</f>
        <v>47600</v>
      </c>
    </row>
    <row r="221" spans="1:7">
      <c r="A221" s="294" t="s">
        <v>686</v>
      </c>
      <c r="B221" s="1026" t="s">
        <v>687</v>
      </c>
      <c r="C221" s="247"/>
      <c r="D221" s="247"/>
      <c r="E221" s="372"/>
      <c r="F221" s="360"/>
      <c r="G221" s="248"/>
    </row>
    <row r="222" spans="1:7">
      <c r="A222" s="294"/>
      <c r="B222" s="1026" t="s">
        <v>742</v>
      </c>
      <c r="C222" s="247"/>
      <c r="D222" s="247" t="s">
        <v>1423</v>
      </c>
      <c r="E222" s="372">
        <v>70</v>
      </c>
      <c r="F222" s="360">
        <f>'UPAD-BAHAN-ALAT Cetak'!I60</f>
        <v>800</v>
      </c>
      <c r="G222" s="248">
        <f>F222*E222</f>
        <v>56000</v>
      </c>
    </row>
    <row r="223" spans="1:7">
      <c r="A223" s="294"/>
      <c r="B223" s="1026" t="s">
        <v>818</v>
      </c>
      <c r="C223" s="247"/>
      <c r="D223" s="247" t="s">
        <v>690</v>
      </c>
      <c r="E223" s="372">
        <v>11.5</v>
      </c>
      <c r="F223" s="360">
        <f>F112</f>
        <v>1625</v>
      </c>
      <c r="G223" s="248">
        <f>F223*E223</f>
        <v>18687.5</v>
      </c>
    </row>
    <row r="224" spans="1:7">
      <c r="A224" s="294"/>
      <c r="B224" s="1026" t="s">
        <v>808</v>
      </c>
      <c r="C224" s="247"/>
      <c r="D224" s="247" t="s">
        <v>2646</v>
      </c>
      <c r="E224" s="372">
        <v>4.2999999999999997E-2</v>
      </c>
      <c r="F224" s="360">
        <f>F113</f>
        <v>175000</v>
      </c>
      <c r="G224" s="248">
        <f>F224*E224</f>
        <v>7524.9999999999991</v>
      </c>
    </row>
    <row r="225" spans="1:7">
      <c r="A225" s="294"/>
      <c r="B225" s="1027"/>
      <c r="C225" s="296"/>
      <c r="D225" s="296"/>
      <c r="E225" s="1146" t="s">
        <v>702</v>
      </c>
      <c r="F225" s="1146"/>
      <c r="G225" s="248">
        <f>SUM(G222:G224)</f>
        <v>82212.5</v>
      </c>
    </row>
    <row r="226" spans="1:7">
      <c r="A226" s="294" t="s">
        <v>703</v>
      </c>
      <c r="B226" s="1147" t="s">
        <v>3910</v>
      </c>
      <c r="C226" s="1147"/>
      <c r="D226" s="1147"/>
      <c r="E226" s="1147"/>
      <c r="F226" s="1147"/>
      <c r="G226" s="255">
        <f>G220+G225</f>
        <v>129812.5</v>
      </c>
    </row>
    <row r="227" spans="1:7">
      <c r="A227" s="294" t="s">
        <v>706</v>
      </c>
      <c r="B227" s="1148" t="s">
        <v>4876</v>
      </c>
      <c r="C227" s="1148"/>
      <c r="D227" s="1148"/>
      <c r="E227" s="1147" t="s">
        <v>4030</v>
      </c>
      <c r="F227" s="1147"/>
      <c r="G227" s="255">
        <f>G226*0.15</f>
        <v>19471.875</v>
      </c>
    </row>
    <row r="228" spans="1:7">
      <c r="A228" s="294" t="s">
        <v>708</v>
      </c>
      <c r="B228" s="1149" t="s">
        <v>3911</v>
      </c>
      <c r="C228" s="1149"/>
      <c r="D228" s="1149"/>
      <c r="E228" s="1149"/>
      <c r="F228" s="1149"/>
      <c r="G228" s="255">
        <f>ROUND(SUM(G226:G227),2)</f>
        <v>149284.38</v>
      </c>
    </row>
    <row r="229" spans="1:7">
      <c r="A229" s="276"/>
      <c r="B229" s="275"/>
      <c r="C229" s="276"/>
      <c r="D229" s="276"/>
      <c r="E229" s="383"/>
      <c r="F229" s="656"/>
      <c r="G229" s="264"/>
    </row>
    <row r="230" spans="1:7">
      <c r="A230" s="285" t="s">
        <v>4167</v>
      </c>
      <c r="B230" s="1001" t="s">
        <v>2833</v>
      </c>
      <c r="C230" s="252"/>
      <c r="D230" s="252"/>
      <c r="E230" s="374"/>
      <c r="F230" s="361"/>
      <c r="G230" s="253"/>
    </row>
    <row r="231" spans="1:7">
      <c r="A231" s="298" t="s">
        <v>1003</v>
      </c>
      <c r="B231" s="298" t="s">
        <v>1004</v>
      </c>
      <c r="C231" s="298" t="s">
        <v>1005</v>
      </c>
      <c r="D231" s="298" t="s">
        <v>1006</v>
      </c>
      <c r="E231" s="377" t="s">
        <v>1007</v>
      </c>
      <c r="F231" s="363" t="s">
        <v>2637</v>
      </c>
      <c r="G231" s="291" t="s">
        <v>2638</v>
      </c>
    </row>
    <row r="232" spans="1:7">
      <c r="A232" s="294" t="s">
        <v>671</v>
      </c>
      <c r="B232" s="1026" t="s">
        <v>672</v>
      </c>
      <c r="C232" s="247"/>
      <c r="D232" s="247"/>
      <c r="E232" s="372"/>
      <c r="F232" s="360"/>
      <c r="G232" s="248"/>
    </row>
    <row r="233" spans="1:7">
      <c r="A233" s="294"/>
      <c r="B233" s="1026" t="s">
        <v>673</v>
      </c>
      <c r="C233" s="247" t="s">
        <v>674</v>
      </c>
      <c r="D233" s="247" t="s">
        <v>675</v>
      </c>
      <c r="E233" s="372">
        <v>0.3</v>
      </c>
      <c r="F233" s="360">
        <f>F216</f>
        <v>100000</v>
      </c>
      <c r="G233" s="248">
        <f>F233*E233</f>
        <v>30000</v>
      </c>
    </row>
    <row r="234" spans="1:7">
      <c r="A234" s="294"/>
      <c r="B234" s="1026" t="s">
        <v>816</v>
      </c>
      <c r="C234" s="247" t="s">
        <v>678</v>
      </c>
      <c r="D234" s="247" t="s">
        <v>675</v>
      </c>
      <c r="E234" s="372">
        <v>0.15</v>
      </c>
      <c r="F234" s="360">
        <f>F217</f>
        <v>140000</v>
      </c>
      <c r="G234" s="248">
        <f>F234*E234</f>
        <v>21000</v>
      </c>
    </row>
    <row r="235" spans="1:7">
      <c r="A235" s="294"/>
      <c r="B235" s="1026" t="s">
        <v>680</v>
      </c>
      <c r="C235" s="247" t="s">
        <v>681</v>
      </c>
      <c r="D235" s="247" t="s">
        <v>675</v>
      </c>
      <c r="E235" s="372">
        <v>1.4999999999999999E-2</v>
      </c>
      <c r="F235" s="360">
        <f>F218</f>
        <v>150000</v>
      </c>
      <c r="G235" s="248">
        <f>F235*E235</f>
        <v>2250</v>
      </c>
    </row>
    <row r="236" spans="1:7">
      <c r="A236" s="294"/>
      <c r="B236" s="1026" t="s">
        <v>683</v>
      </c>
      <c r="C236" s="247" t="s">
        <v>684</v>
      </c>
      <c r="D236" s="247" t="s">
        <v>675</v>
      </c>
      <c r="E236" s="372">
        <v>1.4999999999999999E-2</v>
      </c>
      <c r="F236" s="360">
        <f>F219</f>
        <v>140000</v>
      </c>
      <c r="G236" s="248">
        <f>F236*E236</f>
        <v>2100</v>
      </c>
    </row>
    <row r="237" spans="1:7">
      <c r="A237" s="294"/>
      <c r="B237" s="1026"/>
      <c r="C237" s="247"/>
      <c r="D237" s="247"/>
      <c r="E237" s="1146" t="s">
        <v>685</v>
      </c>
      <c r="F237" s="1146"/>
      <c r="G237" s="248">
        <f>SUM(G233:G236)</f>
        <v>55350</v>
      </c>
    </row>
    <row r="238" spans="1:7">
      <c r="A238" s="294" t="s">
        <v>686</v>
      </c>
      <c r="B238" s="1026" t="s">
        <v>687</v>
      </c>
      <c r="C238" s="247"/>
      <c r="D238" s="247"/>
      <c r="E238" s="372"/>
      <c r="F238" s="360"/>
      <c r="G238" s="248"/>
    </row>
    <row r="239" spans="1:7">
      <c r="A239" s="294"/>
      <c r="B239" s="1026" t="s">
        <v>738</v>
      </c>
      <c r="C239" s="247"/>
      <c r="D239" s="247" t="s">
        <v>690</v>
      </c>
      <c r="E239" s="372">
        <v>6.24</v>
      </c>
      <c r="F239" s="360">
        <f>F223</f>
        <v>1625</v>
      </c>
      <c r="G239" s="248">
        <f>F239*E239</f>
        <v>10140</v>
      </c>
    </row>
    <row r="240" spans="1:7">
      <c r="A240" s="294"/>
      <c r="B240" s="1026" t="s">
        <v>808</v>
      </c>
      <c r="C240" s="247"/>
      <c r="D240" s="247" t="s">
        <v>2646</v>
      </c>
      <c r="E240" s="372">
        <v>2.4E-2</v>
      </c>
      <c r="F240" s="360">
        <f>F224</f>
        <v>175000</v>
      </c>
      <c r="G240" s="248">
        <f>F240*E240</f>
        <v>4200</v>
      </c>
    </row>
    <row r="241" spans="1:7">
      <c r="A241" s="294"/>
      <c r="B241" s="1027"/>
      <c r="C241" s="296"/>
      <c r="D241" s="296"/>
      <c r="E241" s="1146" t="s">
        <v>702</v>
      </c>
      <c r="F241" s="1146"/>
      <c r="G241" s="248">
        <f>SUM(G239:G240)</f>
        <v>14340</v>
      </c>
    </row>
    <row r="242" spans="1:7">
      <c r="A242" s="294" t="s">
        <v>703</v>
      </c>
      <c r="B242" s="1147" t="s">
        <v>3910</v>
      </c>
      <c r="C242" s="1147"/>
      <c r="D242" s="1147"/>
      <c r="E242" s="1147"/>
      <c r="F242" s="1147"/>
      <c r="G242" s="255">
        <f>G237+G241</f>
        <v>69690</v>
      </c>
    </row>
    <row r="243" spans="1:7">
      <c r="A243" s="294" t="s">
        <v>706</v>
      </c>
      <c r="B243" s="1148" t="s">
        <v>4876</v>
      </c>
      <c r="C243" s="1148"/>
      <c r="D243" s="1148"/>
      <c r="E243" s="1147" t="s">
        <v>4030</v>
      </c>
      <c r="F243" s="1147"/>
      <c r="G243" s="255">
        <f>G242*0.15</f>
        <v>10453.5</v>
      </c>
    </row>
    <row r="244" spans="1:7">
      <c r="A244" s="294" t="s">
        <v>708</v>
      </c>
      <c r="B244" s="1149" t="s">
        <v>3911</v>
      </c>
      <c r="C244" s="1149"/>
      <c r="D244" s="1149"/>
      <c r="E244" s="1149"/>
      <c r="F244" s="1149"/>
      <c r="G244" s="255">
        <f>ROUND(SUM(G242:G243),2)</f>
        <v>80143.5</v>
      </c>
    </row>
    <row r="245" spans="1:7">
      <c r="A245" s="276"/>
      <c r="B245" s="275"/>
      <c r="C245" s="276"/>
      <c r="D245" s="276"/>
      <c r="E245" s="383"/>
      <c r="F245" s="656"/>
      <c r="G245" s="264"/>
    </row>
    <row r="246" spans="1:7">
      <c r="A246" s="285" t="s">
        <v>4068</v>
      </c>
      <c r="B246" s="263" t="s">
        <v>4780</v>
      </c>
      <c r="C246" s="276"/>
      <c r="D246" s="276"/>
      <c r="E246" s="383"/>
      <c r="F246" s="656"/>
      <c r="G246" s="264"/>
    </row>
    <row r="247" spans="1:7">
      <c r="A247" s="290" t="s">
        <v>1003</v>
      </c>
      <c r="B247" s="290" t="s">
        <v>1004</v>
      </c>
      <c r="C247" s="290" t="s">
        <v>1005</v>
      </c>
      <c r="D247" s="290" t="s">
        <v>1006</v>
      </c>
      <c r="E247" s="373" t="s">
        <v>1007</v>
      </c>
      <c r="F247" s="363" t="s">
        <v>2637</v>
      </c>
      <c r="G247" s="291" t="s">
        <v>2638</v>
      </c>
    </row>
    <row r="248" spans="1:7">
      <c r="A248" s="294" t="s">
        <v>671</v>
      </c>
      <c r="B248" s="1017" t="s">
        <v>672</v>
      </c>
      <c r="C248" s="247"/>
      <c r="D248" s="247"/>
      <c r="E248" s="372"/>
      <c r="F248" s="360"/>
      <c r="G248" s="248"/>
    </row>
    <row r="249" spans="1:7">
      <c r="A249" s="247"/>
      <c r="B249" s="1016" t="s">
        <v>673</v>
      </c>
      <c r="C249" s="247" t="s">
        <v>674</v>
      </c>
      <c r="D249" s="247" t="s">
        <v>675</v>
      </c>
      <c r="E249" s="372">
        <v>1.65</v>
      </c>
      <c r="F249" s="360">
        <f>F233</f>
        <v>100000</v>
      </c>
      <c r="G249" s="248">
        <f>F249*E249</f>
        <v>165000</v>
      </c>
    </row>
    <row r="250" spans="1:7">
      <c r="A250" s="247"/>
      <c r="B250" s="1016" t="s">
        <v>816</v>
      </c>
      <c r="C250" s="247" t="s">
        <v>678</v>
      </c>
      <c r="D250" s="247" t="s">
        <v>675</v>
      </c>
      <c r="E250" s="372">
        <v>0.27500000000000002</v>
      </c>
      <c r="F250" s="360">
        <f>F234</f>
        <v>140000</v>
      </c>
      <c r="G250" s="248">
        <f>F250*E250</f>
        <v>38500</v>
      </c>
    </row>
    <row r="251" spans="1:7">
      <c r="A251" s="247"/>
      <c r="B251" s="1016" t="s">
        <v>680</v>
      </c>
      <c r="C251" s="247" t="s">
        <v>681</v>
      </c>
      <c r="D251" s="247" t="s">
        <v>675</v>
      </c>
      <c r="E251" s="372">
        <v>2.8000000000000001E-2</v>
      </c>
      <c r="F251" s="360">
        <f>F235</f>
        <v>150000</v>
      </c>
      <c r="G251" s="248">
        <f>F251*E251</f>
        <v>4200</v>
      </c>
    </row>
    <row r="252" spans="1:7">
      <c r="A252" s="247"/>
      <c r="B252" s="1016" t="s">
        <v>683</v>
      </c>
      <c r="C252" s="247" t="s">
        <v>684</v>
      </c>
      <c r="D252" s="247" t="s">
        <v>675</v>
      </c>
      <c r="E252" s="372">
        <v>8.3000000000000004E-2</v>
      </c>
      <c r="F252" s="360">
        <f>F236</f>
        <v>140000</v>
      </c>
      <c r="G252" s="248">
        <f>F252*E252</f>
        <v>11620</v>
      </c>
    </row>
    <row r="253" spans="1:7">
      <c r="A253" s="247"/>
      <c r="B253" s="1016"/>
      <c r="C253" s="247"/>
      <c r="D253" s="247"/>
      <c r="E253" s="1146" t="s">
        <v>685</v>
      </c>
      <c r="F253" s="1146"/>
      <c r="G253" s="248">
        <f>SUM(G249:G252)</f>
        <v>219320</v>
      </c>
    </row>
    <row r="254" spans="1:7">
      <c r="A254" s="294" t="s">
        <v>686</v>
      </c>
      <c r="B254" s="1017" t="s">
        <v>687</v>
      </c>
      <c r="C254" s="247"/>
      <c r="D254" s="247"/>
      <c r="E254" s="372"/>
      <c r="F254" s="360"/>
      <c r="G254" s="248"/>
    </row>
    <row r="255" spans="1:7">
      <c r="A255" s="247"/>
      <c r="B255" s="1016" t="s">
        <v>738</v>
      </c>
      <c r="C255" s="247"/>
      <c r="D255" s="247" t="s">
        <v>773</v>
      </c>
      <c r="E255" s="372">
        <v>326</v>
      </c>
      <c r="F255" s="360">
        <f>F239</f>
        <v>1625</v>
      </c>
      <c r="G255" s="248">
        <f>F255*E255</f>
        <v>529750</v>
      </c>
    </row>
    <row r="256" spans="1:7">
      <c r="A256" s="247"/>
      <c r="B256" s="1016" t="s">
        <v>831</v>
      </c>
      <c r="C256" s="247"/>
      <c r="D256" s="247" t="s">
        <v>773</v>
      </c>
      <c r="E256" s="372">
        <v>760</v>
      </c>
      <c r="F256" s="360">
        <f>F129</f>
        <v>125</v>
      </c>
      <c r="G256" s="248">
        <f>F256*E256</f>
        <v>95000</v>
      </c>
    </row>
    <row r="257" spans="1:7">
      <c r="A257" s="247"/>
      <c r="B257" s="1016" t="s">
        <v>2946</v>
      </c>
      <c r="C257" s="247"/>
      <c r="D257" s="247" t="s">
        <v>773</v>
      </c>
      <c r="E257" s="372">
        <v>1029</v>
      </c>
      <c r="F257" s="360">
        <f t="shared" ref="F257:F258" si="4">F130</f>
        <v>296.2962962962963</v>
      </c>
      <c r="G257" s="248">
        <f>F257*E257</f>
        <v>304888.88888888888</v>
      </c>
    </row>
    <row r="258" spans="1:7">
      <c r="A258" s="247"/>
      <c r="B258" s="1016" t="s">
        <v>842</v>
      </c>
      <c r="C258" s="247"/>
      <c r="D258" s="247" t="s">
        <v>701</v>
      </c>
      <c r="E258" s="372">
        <v>215</v>
      </c>
      <c r="F258" s="360">
        <f t="shared" si="4"/>
        <v>100</v>
      </c>
      <c r="G258" s="248">
        <f>F258*E258</f>
        <v>21500</v>
      </c>
    </row>
    <row r="259" spans="1:7">
      <c r="A259" s="247"/>
      <c r="B259" s="1018"/>
      <c r="C259" s="296"/>
      <c r="D259" s="296"/>
      <c r="E259" s="1146" t="s">
        <v>702</v>
      </c>
      <c r="F259" s="1146"/>
      <c r="G259" s="248">
        <f>SUM(G255:G258)</f>
        <v>951138.88888888888</v>
      </c>
    </row>
    <row r="260" spans="1:7">
      <c r="A260" s="294" t="s">
        <v>703</v>
      </c>
      <c r="B260" s="1147" t="s">
        <v>3910</v>
      </c>
      <c r="C260" s="1147"/>
      <c r="D260" s="1147"/>
      <c r="E260" s="1147"/>
      <c r="F260" s="1147"/>
      <c r="G260" s="255">
        <f>G253+G259</f>
        <v>1170458.888888889</v>
      </c>
    </row>
    <row r="261" spans="1:7">
      <c r="A261" s="294" t="s">
        <v>706</v>
      </c>
      <c r="B261" s="1148" t="s">
        <v>709</v>
      </c>
      <c r="C261" s="1148"/>
      <c r="D261" s="1148"/>
      <c r="E261" s="1147" t="s">
        <v>4030</v>
      </c>
      <c r="F261" s="1147"/>
      <c r="G261" s="255">
        <f>G260*0.15</f>
        <v>175568.83333333334</v>
      </c>
    </row>
    <row r="262" spans="1:7">
      <c r="A262" s="294" t="s">
        <v>708</v>
      </c>
      <c r="B262" s="1149" t="s">
        <v>3911</v>
      </c>
      <c r="C262" s="1149"/>
      <c r="D262" s="1149"/>
      <c r="E262" s="1149"/>
      <c r="F262" s="1149"/>
      <c r="G262" s="255">
        <f>ROUND(SUM(G260:G261),2)</f>
        <v>1346027.72</v>
      </c>
    </row>
    <row r="263" spans="1:7">
      <c r="A263" s="276"/>
      <c r="B263" s="275"/>
      <c r="C263" s="276"/>
      <c r="D263" s="276"/>
      <c r="E263" s="383"/>
      <c r="F263" s="656"/>
      <c r="G263" s="264"/>
    </row>
    <row r="264" spans="1:7">
      <c r="A264" s="285" t="s">
        <v>4199</v>
      </c>
      <c r="B264" s="263" t="s">
        <v>3540</v>
      </c>
      <c r="C264" s="276"/>
      <c r="D264" s="276"/>
      <c r="E264" s="383"/>
      <c r="F264" s="656"/>
      <c r="G264" s="264"/>
    </row>
    <row r="265" spans="1:7">
      <c r="A265" s="290" t="s">
        <v>1003</v>
      </c>
      <c r="B265" s="290" t="s">
        <v>1004</v>
      </c>
      <c r="C265" s="290" t="s">
        <v>1005</v>
      </c>
      <c r="D265" s="290" t="s">
        <v>1006</v>
      </c>
      <c r="E265" s="373" t="s">
        <v>1007</v>
      </c>
      <c r="F265" s="363" t="s">
        <v>2637</v>
      </c>
      <c r="G265" s="291" t="s">
        <v>2638</v>
      </c>
    </row>
    <row r="266" spans="1:7">
      <c r="A266" s="294" t="s">
        <v>671</v>
      </c>
      <c r="B266" s="1026" t="s">
        <v>672</v>
      </c>
      <c r="C266" s="247"/>
      <c r="D266" s="247"/>
      <c r="E266" s="372"/>
      <c r="F266" s="360"/>
      <c r="G266" s="248"/>
    </row>
    <row r="267" spans="1:7">
      <c r="A267" s="294"/>
      <c r="B267" s="1026" t="s">
        <v>673</v>
      </c>
      <c r="C267" s="247" t="s">
        <v>674</v>
      </c>
      <c r="D267" s="247" t="s">
        <v>675</v>
      </c>
      <c r="E267" s="372">
        <v>0.7</v>
      </c>
      <c r="F267" s="360">
        <f>F249</f>
        <v>100000</v>
      </c>
      <c r="G267" s="248">
        <f>F267*E267</f>
        <v>70000</v>
      </c>
    </row>
    <row r="268" spans="1:7">
      <c r="A268" s="294"/>
      <c r="B268" s="1026" t="s">
        <v>816</v>
      </c>
      <c r="C268" s="247" t="s">
        <v>678</v>
      </c>
      <c r="D268" s="247" t="s">
        <v>675</v>
      </c>
      <c r="E268" s="372">
        <v>0.35</v>
      </c>
      <c r="F268" s="360">
        <f>F250</f>
        <v>140000</v>
      </c>
      <c r="G268" s="248">
        <f>F268*E268</f>
        <v>49000</v>
      </c>
    </row>
    <row r="269" spans="1:7">
      <c r="A269" s="294"/>
      <c r="B269" s="1026" t="s">
        <v>751</v>
      </c>
      <c r="C269" s="247" t="s">
        <v>681</v>
      </c>
      <c r="D269" s="247" t="s">
        <v>675</v>
      </c>
      <c r="E269" s="372">
        <v>3.5000000000000003E-2</v>
      </c>
      <c r="F269" s="360">
        <f>F251</f>
        <v>150000</v>
      </c>
      <c r="G269" s="248">
        <f>F269*E269</f>
        <v>5250.0000000000009</v>
      </c>
    </row>
    <row r="270" spans="1:7">
      <c r="A270" s="294"/>
      <c r="B270" s="1026" t="s">
        <v>683</v>
      </c>
      <c r="C270" s="247" t="s">
        <v>684</v>
      </c>
      <c r="D270" s="247" t="s">
        <v>675</v>
      </c>
      <c r="E270" s="372">
        <v>3.5000000000000003E-2</v>
      </c>
      <c r="F270" s="360">
        <f>F252</f>
        <v>140000</v>
      </c>
      <c r="G270" s="248">
        <f>F270*E270</f>
        <v>4900.0000000000009</v>
      </c>
    </row>
    <row r="271" spans="1:7">
      <c r="A271" s="294"/>
      <c r="B271" s="1026"/>
      <c r="C271" s="247"/>
      <c r="D271" s="247"/>
      <c r="E271" s="1146" t="s">
        <v>685</v>
      </c>
      <c r="F271" s="1146"/>
      <c r="G271" s="248">
        <f>SUM(G267:G270)</f>
        <v>129150</v>
      </c>
    </row>
    <row r="272" spans="1:7">
      <c r="A272" s="294" t="s">
        <v>686</v>
      </c>
      <c r="B272" s="1026" t="s">
        <v>687</v>
      </c>
      <c r="C272" s="247"/>
      <c r="D272" s="247"/>
      <c r="E272" s="372"/>
      <c r="F272" s="360"/>
      <c r="G272" s="248"/>
    </row>
    <row r="273" spans="1:7">
      <c r="A273" s="294"/>
      <c r="B273" s="1026" t="s">
        <v>4877</v>
      </c>
      <c r="C273" s="247"/>
      <c r="D273" s="247" t="s">
        <v>743</v>
      </c>
      <c r="E273" s="372">
        <v>6.5</v>
      </c>
      <c r="F273" s="360">
        <f>'UPAD-BAHAN-ALAT Cetak'!I61</f>
        <v>11000</v>
      </c>
      <c r="G273" s="248">
        <f>F273*E273</f>
        <v>71500</v>
      </c>
    </row>
    <row r="274" spans="1:7">
      <c r="A274" s="294"/>
      <c r="B274" s="1026" t="s">
        <v>818</v>
      </c>
      <c r="C274" s="247"/>
      <c r="D274" s="247" t="s">
        <v>690</v>
      </c>
      <c r="E274" s="372">
        <v>10.4</v>
      </c>
      <c r="F274" s="360">
        <f>F255</f>
        <v>1625</v>
      </c>
      <c r="G274" s="248">
        <f>F274*E274</f>
        <v>16900</v>
      </c>
    </row>
    <row r="275" spans="1:7">
      <c r="A275" s="294"/>
      <c r="B275" s="1026" t="s">
        <v>739</v>
      </c>
      <c r="C275" s="247"/>
      <c r="D275" s="247" t="s">
        <v>881</v>
      </c>
      <c r="E275" s="372">
        <v>4.4999999999999998E-2</v>
      </c>
      <c r="F275" s="360">
        <f>F240</f>
        <v>175000</v>
      </c>
      <c r="G275" s="248">
        <f>F275*E275</f>
        <v>7875</v>
      </c>
    </row>
    <row r="276" spans="1:7">
      <c r="A276" s="294"/>
      <c r="B276" s="1026" t="s">
        <v>1100</v>
      </c>
      <c r="C276" s="247"/>
      <c r="D276" s="247" t="s">
        <v>690</v>
      </c>
      <c r="E276" s="372">
        <v>1.62</v>
      </c>
      <c r="F276" s="360">
        <f>'UPAD-BAHAN-ALAT Cetak'!I64</f>
        <v>10000</v>
      </c>
      <c r="G276" s="248">
        <f>F276*E276</f>
        <v>16200.000000000002</v>
      </c>
    </row>
    <row r="277" spans="1:7">
      <c r="A277" s="294"/>
      <c r="B277" s="1027"/>
      <c r="C277" s="296"/>
      <c r="D277" s="296"/>
      <c r="E277" s="1146" t="s">
        <v>702</v>
      </c>
      <c r="F277" s="1146"/>
      <c r="G277" s="248">
        <f>SUM(G273:G276)</f>
        <v>112475</v>
      </c>
    </row>
    <row r="278" spans="1:7">
      <c r="A278" s="294" t="s">
        <v>703</v>
      </c>
      <c r="B278" s="1147" t="s">
        <v>3910</v>
      </c>
      <c r="C278" s="1147"/>
      <c r="D278" s="1147"/>
      <c r="E278" s="1147"/>
      <c r="F278" s="1147"/>
      <c r="G278" s="255">
        <f>G271+G277</f>
        <v>241625</v>
      </c>
    </row>
    <row r="279" spans="1:7">
      <c r="A279" s="294" t="s">
        <v>706</v>
      </c>
      <c r="B279" s="1148" t="s">
        <v>4876</v>
      </c>
      <c r="C279" s="1148"/>
      <c r="D279" s="1148"/>
      <c r="E279" s="1147" t="s">
        <v>4030</v>
      </c>
      <c r="F279" s="1147"/>
      <c r="G279" s="255">
        <f>G278*0.15</f>
        <v>36243.75</v>
      </c>
    </row>
    <row r="280" spans="1:7">
      <c r="A280" s="294" t="s">
        <v>708</v>
      </c>
      <c r="B280" s="1149" t="s">
        <v>3911</v>
      </c>
      <c r="C280" s="1149"/>
      <c r="D280" s="1149"/>
      <c r="E280" s="1149"/>
      <c r="F280" s="1149"/>
      <c r="G280" s="255">
        <f>ROUND(SUM(G278:G279),2)</f>
        <v>277868.75</v>
      </c>
    </row>
    <row r="281" spans="1:7">
      <c r="A281" s="276"/>
      <c r="B281" s="275"/>
      <c r="C281" s="276"/>
      <c r="D281" s="276"/>
      <c r="E281" s="383"/>
      <c r="F281" s="656"/>
      <c r="G281" s="264"/>
    </row>
    <row r="282" spans="1:7">
      <c r="A282" s="285" t="s">
        <v>4203</v>
      </c>
      <c r="B282" s="263" t="s">
        <v>3991</v>
      </c>
      <c r="C282" s="276"/>
      <c r="D282" s="276"/>
      <c r="E282" s="383"/>
      <c r="F282" s="656"/>
      <c r="G282" s="264"/>
    </row>
    <row r="283" spans="1:7">
      <c r="A283" s="290" t="s">
        <v>1003</v>
      </c>
      <c r="B283" s="290" t="s">
        <v>1004</v>
      </c>
      <c r="C283" s="290" t="s">
        <v>1005</v>
      </c>
      <c r="D283" s="290" t="s">
        <v>1006</v>
      </c>
      <c r="E283" s="373" t="s">
        <v>1007</v>
      </c>
      <c r="F283" s="363" t="s">
        <v>2637</v>
      </c>
      <c r="G283" s="291" t="s">
        <v>2638</v>
      </c>
    </row>
    <row r="284" spans="1:7">
      <c r="A284" s="294" t="s">
        <v>671</v>
      </c>
      <c r="B284" s="1016" t="s">
        <v>672</v>
      </c>
      <c r="C284" s="247"/>
      <c r="D284" s="247"/>
      <c r="E284" s="372"/>
      <c r="F284" s="360"/>
      <c r="G284" s="248"/>
    </row>
    <row r="285" spans="1:7">
      <c r="A285" s="294"/>
      <c r="B285" s="1016" t="s">
        <v>673</v>
      </c>
      <c r="C285" s="247" t="s">
        <v>674</v>
      </c>
      <c r="D285" s="247" t="s">
        <v>675</v>
      </c>
      <c r="E285" s="372">
        <v>0.7</v>
      </c>
      <c r="F285" s="360">
        <f>F267</f>
        <v>100000</v>
      </c>
      <c r="G285" s="248">
        <f>F285*E285</f>
        <v>70000</v>
      </c>
    </row>
    <row r="286" spans="1:7">
      <c r="A286" s="294"/>
      <c r="B286" s="1016" t="s">
        <v>816</v>
      </c>
      <c r="C286" s="247" t="s">
        <v>678</v>
      </c>
      <c r="D286" s="247" t="s">
        <v>675</v>
      </c>
      <c r="E286" s="372">
        <v>0.35</v>
      </c>
      <c r="F286" s="360">
        <f>F268</f>
        <v>140000</v>
      </c>
      <c r="G286" s="248">
        <f>F286*E286</f>
        <v>49000</v>
      </c>
    </row>
    <row r="287" spans="1:7">
      <c r="A287" s="294"/>
      <c r="B287" s="1016" t="s">
        <v>751</v>
      </c>
      <c r="C287" s="247" t="s">
        <v>681</v>
      </c>
      <c r="D287" s="247" t="s">
        <v>675</v>
      </c>
      <c r="E287" s="372">
        <v>3.5000000000000003E-2</v>
      </c>
      <c r="F287" s="360">
        <f>F269</f>
        <v>150000</v>
      </c>
      <c r="G287" s="248">
        <f>F287*E287</f>
        <v>5250.0000000000009</v>
      </c>
    </row>
    <row r="288" spans="1:7">
      <c r="A288" s="294"/>
      <c r="B288" s="1016" t="s">
        <v>683</v>
      </c>
      <c r="C288" s="247" t="s">
        <v>684</v>
      </c>
      <c r="D288" s="247" t="s">
        <v>675</v>
      </c>
      <c r="E288" s="372">
        <v>3.5000000000000003E-2</v>
      </c>
      <c r="F288" s="360">
        <f>F270</f>
        <v>140000</v>
      </c>
      <c r="G288" s="248">
        <f>F288*E288</f>
        <v>4900.0000000000009</v>
      </c>
    </row>
    <row r="289" spans="1:7">
      <c r="A289" s="294"/>
      <c r="B289" s="1016"/>
      <c r="C289" s="247"/>
      <c r="D289" s="247"/>
      <c r="E289" s="1146" t="s">
        <v>685</v>
      </c>
      <c r="F289" s="1146"/>
      <c r="G289" s="248">
        <f>SUM(G285:G288)</f>
        <v>129150</v>
      </c>
    </row>
    <row r="290" spans="1:7">
      <c r="A290" s="294" t="s">
        <v>686</v>
      </c>
      <c r="B290" s="1016" t="s">
        <v>687</v>
      </c>
      <c r="C290" s="247"/>
      <c r="D290" s="247"/>
      <c r="E290" s="372"/>
      <c r="F290" s="360"/>
      <c r="G290" s="248"/>
    </row>
    <row r="291" spans="1:7">
      <c r="A291" s="294"/>
      <c r="B291" s="1016" t="s">
        <v>4878</v>
      </c>
      <c r="C291" s="247"/>
      <c r="D291" s="247" t="s">
        <v>743</v>
      </c>
      <c r="E291" s="372">
        <v>16.8</v>
      </c>
      <c r="F291" s="360">
        <f>'UPAD-BAHAN-ALAT Cetak'!I62</f>
        <v>7500</v>
      </c>
      <c r="G291" s="248">
        <f>F291*E291</f>
        <v>126000</v>
      </c>
    </row>
    <row r="292" spans="1:7">
      <c r="A292" s="294"/>
      <c r="B292" s="1016" t="s">
        <v>818</v>
      </c>
      <c r="C292" s="247"/>
      <c r="D292" s="247" t="s">
        <v>690</v>
      </c>
      <c r="E292" s="372">
        <v>10.4</v>
      </c>
      <c r="F292" s="360">
        <f>F274</f>
        <v>1625</v>
      </c>
      <c r="G292" s="248">
        <f>F292*E292</f>
        <v>16900</v>
      </c>
    </row>
    <row r="293" spans="1:7">
      <c r="A293" s="294"/>
      <c r="B293" s="1016" t="s">
        <v>739</v>
      </c>
      <c r="C293" s="247"/>
      <c r="D293" s="247" t="s">
        <v>881</v>
      </c>
      <c r="E293" s="372">
        <v>4.4999999999999998E-2</v>
      </c>
      <c r="F293" s="360">
        <f>F275</f>
        <v>175000</v>
      </c>
      <c r="G293" s="248">
        <f>F293*E293</f>
        <v>7875</v>
      </c>
    </row>
    <row r="294" spans="1:7">
      <c r="A294" s="294"/>
      <c r="B294" s="1016" t="s">
        <v>1100</v>
      </c>
      <c r="C294" s="247"/>
      <c r="D294" s="247" t="s">
        <v>690</v>
      </c>
      <c r="E294" s="372">
        <v>1.62</v>
      </c>
      <c r="F294" s="360">
        <f>F276</f>
        <v>10000</v>
      </c>
      <c r="G294" s="248">
        <f>F294*E294</f>
        <v>16200.000000000002</v>
      </c>
    </row>
    <row r="295" spans="1:7">
      <c r="A295" s="294"/>
      <c r="B295" s="1018"/>
      <c r="C295" s="296"/>
      <c r="D295" s="296"/>
      <c r="E295" s="1146" t="s">
        <v>702</v>
      </c>
      <c r="F295" s="1146"/>
      <c r="G295" s="248">
        <f>SUM(G291:G294)</f>
        <v>166975</v>
      </c>
    </row>
    <row r="296" spans="1:7">
      <c r="A296" s="294" t="s">
        <v>703</v>
      </c>
      <c r="B296" s="1147" t="s">
        <v>3910</v>
      </c>
      <c r="C296" s="1147"/>
      <c r="D296" s="1147"/>
      <c r="E296" s="1147"/>
      <c r="F296" s="1147"/>
      <c r="G296" s="255">
        <f>G289+G295</f>
        <v>296125</v>
      </c>
    </row>
    <row r="297" spans="1:7">
      <c r="A297" s="294" t="s">
        <v>706</v>
      </c>
      <c r="B297" s="1148" t="s">
        <v>4876</v>
      </c>
      <c r="C297" s="1148"/>
      <c r="D297" s="1148"/>
      <c r="E297" s="1147" t="s">
        <v>4030</v>
      </c>
      <c r="F297" s="1147"/>
      <c r="G297" s="255">
        <f>G296*0.15</f>
        <v>44418.75</v>
      </c>
    </row>
    <row r="298" spans="1:7">
      <c r="A298" s="294" t="s">
        <v>708</v>
      </c>
      <c r="B298" s="1149" t="s">
        <v>3911</v>
      </c>
      <c r="C298" s="1149"/>
      <c r="D298" s="1149"/>
      <c r="E298" s="1149"/>
      <c r="F298" s="1149"/>
      <c r="G298" s="255">
        <f>ROUND(SUM(G296:G297),2)</f>
        <v>340543.75</v>
      </c>
    </row>
    <row r="299" spans="1:7">
      <c r="A299" s="276"/>
      <c r="B299" s="275"/>
      <c r="C299" s="276"/>
      <c r="D299" s="276"/>
      <c r="E299" s="383"/>
      <c r="F299" s="656"/>
      <c r="G299" s="264"/>
    </row>
    <row r="300" spans="1:7">
      <c r="A300" s="285" t="s">
        <v>4213</v>
      </c>
      <c r="B300" s="263" t="s">
        <v>3994</v>
      </c>
      <c r="C300" s="276"/>
      <c r="D300" s="276"/>
      <c r="E300" s="383"/>
      <c r="F300" s="656"/>
      <c r="G300" s="264"/>
    </row>
    <row r="301" spans="1:7">
      <c r="A301" s="290" t="s">
        <v>1003</v>
      </c>
      <c r="B301" s="290" t="s">
        <v>1004</v>
      </c>
      <c r="C301" s="290" t="s">
        <v>1005</v>
      </c>
      <c r="D301" s="290" t="s">
        <v>1006</v>
      </c>
      <c r="E301" s="373" t="s">
        <v>1007</v>
      </c>
      <c r="F301" s="363" t="s">
        <v>2637</v>
      </c>
      <c r="G301" s="291" t="s">
        <v>2638</v>
      </c>
    </row>
    <row r="302" spans="1:7">
      <c r="A302" s="294" t="s">
        <v>671</v>
      </c>
      <c r="B302" s="1016" t="s">
        <v>672</v>
      </c>
      <c r="C302" s="247"/>
      <c r="D302" s="247"/>
      <c r="E302" s="372"/>
      <c r="F302" s="360"/>
      <c r="G302" s="248"/>
    </row>
    <row r="303" spans="1:7">
      <c r="A303" s="294"/>
      <c r="B303" s="1016" t="s">
        <v>673</v>
      </c>
      <c r="C303" s="247" t="s">
        <v>674</v>
      </c>
      <c r="D303" s="247" t="s">
        <v>675</v>
      </c>
      <c r="E303" s="372">
        <v>0.9</v>
      </c>
      <c r="F303" s="360">
        <f>F285</f>
        <v>100000</v>
      </c>
      <c r="G303" s="248">
        <f>F303*E303</f>
        <v>90000</v>
      </c>
    </row>
    <row r="304" spans="1:7">
      <c r="A304" s="294"/>
      <c r="B304" s="1016" t="s">
        <v>816</v>
      </c>
      <c r="C304" s="247" t="s">
        <v>678</v>
      </c>
      <c r="D304" s="247" t="s">
        <v>675</v>
      </c>
      <c r="E304" s="372">
        <v>0.45</v>
      </c>
      <c r="F304" s="360">
        <f>F286</f>
        <v>140000</v>
      </c>
      <c r="G304" s="248">
        <f>F304*E304</f>
        <v>63000</v>
      </c>
    </row>
    <row r="305" spans="1:7">
      <c r="A305" s="294"/>
      <c r="B305" s="1016" t="s">
        <v>751</v>
      </c>
      <c r="C305" s="247" t="s">
        <v>681</v>
      </c>
      <c r="D305" s="247" t="s">
        <v>675</v>
      </c>
      <c r="E305" s="372">
        <v>4.4999999999999998E-2</v>
      </c>
      <c r="F305" s="360">
        <f>F287</f>
        <v>150000</v>
      </c>
      <c r="G305" s="248">
        <f>F305*E305</f>
        <v>6750</v>
      </c>
    </row>
    <row r="306" spans="1:7">
      <c r="A306" s="294"/>
      <c r="B306" s="1016" t="s">
        <v>683</v>
      </c>
      <c r="C306" s="247" t="s">
        <v>684</v>
      </c>
      <c r="D306" s="247" t="s">
        <v>675</v>
      </c>
      <c r="E306" s="372">
        <v>4.4999999999999998E-2</v>
      </c>
      <c r="F306" s="360">
        <f>F288</f>
        <v>140000</v>
      </c>
      <c r="G306" s="248">
        <f>F306*E306</f>
        <v>6300</v>
      </c>
    </row>
    <row r="307" spans="1:7">
      <c r="A307" s="294"/>
      <c r="B307" s="1016"/>
      <c r="C307" s="247"/>
      <c r="D307" s="247"/>
      <c r="E307" s="1146" t="s">
        <v>685</v>
      </c>
      <c r="F307" s="1146"/>
      <c r="G307" s="248">
        <f>SUM(G303:G306)</f>
        <v>166050</v>
      </c>
    </row>
    <row r="308" spans="1:7">
      <c r="A308" s="294" t="s">
        <v>686</v>
      </c>
      <c r="B308" s="1016" t="s">
        <v>687</v>
      </c>
      <c r="C308" s="247"/>
      <c r="D308" s="247"/>
      <c r="E308" s="372"/>
      <c r="F308" s="360"/>
      <c r="G308" s="248"/>
    </row>
    <row r="309" spans="1:7">
      <c r="A309" s="294"/>
      <c r="B309" s="1016" t="s">
        <v>4879</v>
      </c>
      <c r="C309" s="247"/>
      <c r="D309" s="247" t="s">
        <v>743</v>
      </c>
      <c r="E309" s="372">
        <v>10.5</v>
      </c>
      <c r="F309" s="360">
        <f>'UPAD-BAHAN-ALAT Cetak'!I63</f>
        <v>10000</v>
      </c>
      <c r="G309" s="248">
        <f>F309*E309</f>
        <v>105000</v>
      </c>
    </row>
    <row r="310" spans="1:7">
      <c r="A310" s="294"/>
      <c r="B310" s="1016" t="s">
        <v>818</v>
      </c>
      <c r="C310" s="247"/>
      <c r="D310" s="247" t="s">
        <v>690</v>
      </c>
      <c r="E310" s="372">
        <v>9.3000000000000007</v>
      </c>
      <c r="F310" s="360">
        <f>F292</f>
        <v>1625</v>
      </c>
      <c r="G310" s="248">
        <f>F310*E310</f>
        <v>15112.500000000002</v>
      </c>
    </row>
    <row r="311" spans="1:7">
      <c r="A311" s="294"/>
      <c r="B311" s="1016" t="s">
        <v>808</v>
      </c>
      <c r="C311" s="247"/>
      <c r="D311" s="247" t="s">
        <v>881</v>
      </c>
      <c r="E311" s="372">
        <v>1.7999999999999999E-2</v>
      </c>
      <c r="F311" s="360">
        <f>F293</f>
        <v>175000</v>
      </c>
      <c r="G311" s="248">
        <f>F311*E311</f>
        <v>3149.9999999999995</v>
      </c>
    </row>
    <row r="312" spans="1:7">
      <c r="A312" s="294"/>
      <c r="B312" s="1016" t="s">
        <v>1100</v>
      </c>
      <c r="C312" s="247"/>
      <c r="D312" s="247" t="s">
        <v>690</v>
      </c>
      <c r="E312" s="372">
        <v>1.94</v>
      </c>
      <c r="F312" s="360">
        <f>F294</f>
        <v>10000</v>
      </c>
      <c r="G312" s="248">
        <f>F312*E312</f>
        <v>19400</v>
      </c>
    </row>
    <row r="313" spans="1:7">
      <c r="A313" s="294"/>
      <c r="B313" s="1018"/>
      <c r="C313" s="296"/>
      <c r="D313" s="296"/>
      <c r="E313" s="1146" t="s">
        <v>702</v>
      </c>
      <c r="F313" s="1146"/>
      <c r="G313" s="248">
        <f>SUM(G309:G312)</f>
        <v>142662.5</v>
      </c>
    </row>
    <row r="314" spans="1:7">
      <c r="A314" s="294" t="s">
        <v>703</v>
      </c>
      <c r="B314" s="1147" t="s">
        <v>3910</v>
      </c>
      <c r="C314" s="1147"/>
      <c r="D314" s="1147"/>
      <c r="E314" s="1147"/>
      <c r="F314" s="1147"/>
      <c r="G314" s="255">
        <f>G307+G313</f>
        <v>308712.5</v>
      </c>
    </row>
    <row r="315" spans="1:7">
      <c r="A315" s="294" t="s">
        <v>706</v>
      </c>
      <c r="B315" s="1148" t="s">
        <v>4876</v>
      </c>
      <c r="C315" s="1148"/>
      <c r="D315" s="1148"/>
      <c r="E315" s="1147" t="s">
        <v>4030</v>
      </c>
      <c r="F315" s="1147"/>
      <c r="G315" s="255">
        <f>G314*0.15</f>
        <v>46306.875</v>
      </c>
    </row>
    <row r="316" spans="1:7">
      <c r="A316" s="294" t="s">
        <v>708</v>
      </c>
      <c r="B316" s="1149" t="s">
        <v>3911</v>
      </c>
      <c r="C316" s="1149"/>
      <c r="D316" s="1149"/>
      <c r="E316" s="1149"/>
      <c r="F316" s="1149"/>
      <c r="G316" s="255">
        <f>ROUND(SUM(G314:G315),2)</f>
        <v>355019.38</v>
      </c>
    </row>
    <row r="317" spans="1:7">
      <c r="A317" s="276"/>
      <c r="B317" s="275"/>
      <c r="C317" s="276"/>
      <c r="D317" s="276"/>
      <c r="E317" s="383"/>
      <c r="F317" s="656"/>
      <c r="G317" s="264"/>
    </row>
    <row r="318" spans="1:7">
      <c r="A318" s="285" t="s">
        <v>4515</v>
      </c>
      <c r="B318" s="1001" t="s">
        <v>4517</v>
      </c>
      <c r="C318" s="252"/>
      <c r="D318" s="252"/>
      <c r="E318" s="374"/>
      <c r="F318" s="361"/>
      <c r="G318" s="813"/>
    </row>
    <row r="319" spans="1:7">
      <c r="A319" s="298" t="s">
        <v>1003</v>
      </c>
      <c r="B319" s="298" t="s">
        <v>1004</v>
      </c>
      <c r="C319" s="298" t="s">
        <v>1005</v>
      </c>
      <c r="D319" s="298" t="s">
        <v>1006</v>
      </c>
      <c r="E319" s="377" t="s">
        <v>1007</v>
      </c>
      <c r="F319" s="363" t="s">
        <v>2637</v>
      </c>
      <c r="G319" s="291" t="s">
        <v>2638</v>
      </c>
    </row>
    <row r="320" spans="1:7">
      <c r="A320" s="294" t="s">
        <v>671</v>
      </c>
      <c r="B320" s="1017" t="s">
        <v>672</v>
      </c>
      <c r="C320" s="247"/>
      <c r="D320" s="247"/>
      <c r="E320" s="372"/>
      <c r="F320" s="360"/>
      <c r="G320" s="248"/>
    </row>
    <row r="321" spans="1:7">
      <c r="A321" s="247"/>
      <c r="B321" s="1016" t="s">
        <v>673</v>
      </c>
      <c r="C321" s="247" t="s">
        <v>674</v>
      </c>
      <c r="D321" s="247" t="s">
        <v>675</v>
      </c>
      <c r="E321" s="372">
        <v>0.2</v>
      </c>
      <c r="F321" s="360">
        <f>F303</f>
        <v>100000</v>
      </c>
      <c r="G321" s="248">
        <f>F321*E321</f>
        <v>20000</v>
      </c>
    </row>
    <row r="322" spans="1:7">
      <c r="A322" s="247"/>
      <c r="B322" s="1016" t="s">
        <v>855</v>
      </c>
      <c r="C322" s="247" t="s">
        <v>678</v>
      </c>
      <c r="D322" s="247" t="s">
        <v>675</v>
      </c>
      <c r="E322" s="372">
        <v>0.45</v>
      </c>
      <c r="F322" s="360">
        <f>F304</f>
        <v>140000</v>
      </c>
      <c r="G322" s="248">
        <f>F322*E322</f>
        <v>63000</v>
      </c>
    </row>
    <row r="323" spans="1:7">
      <c r="A323" s="247"/>
      <c r="B323" s="1016" t="s">
        <v>680</v>
      </c>
      <c r="C323" s="247" t="s">
        <v>681</v>
      </c>
      <c r="D323" s="247" t="s">
        <v>675</v>
      </c>
      <c r="E323" s="372">
        <v>0.01</v>
      </c>
      <c r="F323" s="360">
        <f>F305</f>
        <v>150000</v>
      </c>
      <c r="G323" s="248">
        <f>F323*E323</f>
        <v>1500</v>
      </c>
    </row>
    <row r="324" spans="1:7">
      <c r="A324" s="247"/>
      <c r="B324" s="1016" t="s">
        <v>683</v>
      </c>
      <c r="C324" s="247" t="s">
        <v>684</v>
      </c>
      <c r="D324" s="247" t="s">
        <v>675</v>
      </c>
      <c r="E324" s="372">
        <v>0.05</v>
      </c>
      <c r="F324" s="360">
        <f>F306</f>
        <v>140000</v>
      </c>
      <c r="G324" s="248">
        <f>F324*E324</f>
        <v>7000</v>
      </c>
    </row>
    <row r="325" spans="1:7">
      <c r="A325" s="247"/>
      <c r="B325" s="1016"/>
      <c r="C325" s="247"/>
      <c r="D325" s="247"/>
      <c r="E325" s="1146" t="s">
        <v>685</v>
      </c>
      <c r="F325" s="1146"/>
      <c r="G325" s="248">
        <f>SUM(G321:G324)</f>
        <v>91500</v>
      </c>
    </row>
    <row r="326" spans="1:7">
      <c r="A326" s="294" t="s">
        <v>686</v>
      </c>
      <c r="B326" s="1017" t="s">
        <v>687</v>
      </c>
      <c r="C326" s="247"/>
      <c r="D326" s="247"/>
      <c r="E326" s="372"/>
      <c r="F326" s="360"/>
      <c r="G326" s="248"/>
    </row>
    <row r="327" spans="1:7">
      <c r="A327" s="247"/>
      <c r="B327" s="256" t="s">
        <v>3520</v>
      </c>
      <c r="C327" s="247"/>
      <c r="D327" s="247" t="s">
        <v>2667</v>
      </c>
      <c r="E327" s="372">
        <v>2</v>
      </c>
      <c r="F327" s="360">
        <f>'UPAD-BAHAN-ALAT Cetak'!I65</f>
        <v>20000</v>
      </c>
      <c r="G327" s="248">
        <f>F327*E327</f>
        <v>40000</v>
      </c>
    </row>
    <row r="328" spans="1:7">
      <c r="A328" s="247"/>
      <c r="B328" s="256" t="s">
        <v>4512</v>
      </c>
      <c r="C328" s="247"/>
      <c r="D328" s="247" t="s">
        <v>2667</v>
      </c>
      <c r="E328" s="372">
        <v>1.67</v>
      </c>
      <c r="F328" s="360">
        <f>'UPAD-BAHAN-ALAT Cetak'!I66</f>
        <v>8120.833333333333</v>
      </c>
      <c r="G328" s="248">
        <f t="shared" ref="G328:G330" si="5">F328*E328</f>
        <v>13561.791666666666</v>
      </c>
    </row>
    <row r="329" spans="1:7">
      <c r="A329" s="247"/>
      <c r="B329" s="256" t="s">
        <v>3984</v>
      </c>
      <c r="C329" s="247"/>
      <c r="D329" s="247" t="s">
        <v>1423</v>
      </c>
      <c r="E329" s="372">
        <v>14</v>
      </c>
      <c r="F329" s="360">
        <f>'UPAD-BAHAN-ALAT Cetak'!I67</f>
        <v>1170</v>
      </c>
      <c r="G329" s="248">
        <f t="shared" si="5"/>
        <v>16380</v>
      </c>
    </row>
    <row r="330" spans="1:7">
      <c r="A330" s="247"/>
      <c r="B330" s="256" t="s">
        <v>4880</v>
      </c>
      <c r="C330" s="247"/>
      <c r="D330" s="247" t="s">
        <v>1423</v>
      </c>
      <c r="E330" s="372">
        <v>11</v>
      </c>
      <c r="F330" s="360">
        <f>'UPAD-BAHAN-ALAT Cetak'!I74</f>
        <v>900</v>
      </c>
      <c r="G330" s="248">
        <f t="shared" si="5"/>
        <v>9900</v>
      </c>
    </row>
    <row r="331" spans="1:7">
      <c r="A331" s="247"/>
      <c r="B331" s="1016"/>
      <c r="C331" s="247"/>
      <c r="D331" s="247"/>
      <c r="E331" s="1144" t="s">
        <v>702</v>
      </c>
      <c r="F331" s="1144"/>
      <c r="G331" s="248">
        <f>SUM(G327:G330)</f>
        <v>79841.791666666657</v>
      </c>
    </row>
    <row r="332" spans="1:7">
      <c r="A332" s="294" t="s">
        <v>703</v>
      </c>
      <c r="B332" s="1147" t="s">
        <v>3910</v>
      </c>
      <c r="C332" s="1147"/>
      <c r="D332" s="1147"/>
      <c r="E332" s="1147"/>
      <c r="F332" s="1147"/>
      <c r="G332" s="255">
        <f>G325+G331</f>
        <v>171341.79166666666</v>
      </c>
    </row>
    <row r="333" spans="1:7">
      <c r="A333" s="294" t="s">
        <v>706</v>
      </c>
      <c r="B333" s="1148" t="s">
        <v>4876</v>
      </c>
      <c r="C333" s="1148"/>
      <c r="D333" s="1148"/>
      <c r="E333" s="1147" t="s">
        <v>4030</v>
      </c>
      <c r="F333" s="1147"/>
      <c r="G333" s="255">
        <f>G332*0.15</f>
        <v>25701.268749999999</v>
      </c>
    </row>
    <row r="334" spans="1:7">
      <c r="A334" s="294" t="s">
        <v>708</v>
      </c>
      <c r="B334" s="1149" t="s">
        <v>3911</v>
      </c>
      <c r="C334" s="1149"/>
      <c r="D334" s="1149"/>
      <c r="E334" s="1149"/>
      <c r="F334" s="1149"/>
      <c r="G334" s="255">
        <f>ROUND(SUM(G332:G333),2)</f>
        <v>197043.06</v>
      </c>
    </row>
    <row r="335" spans="1:7">
      <c r="A335" s="276"/>
      <c r="B335" s="275"/>
      <c r="C335" s="276"/>
      <c r="D335" s="276"/>
      <c r="E335" s="383"/>
      <c r="F335" s="656"/>
      <c r="G335" s="264"/>
    </row>
    <row r="336" spans="1:7">
      <c r="A336" s="285" t="s">
        <v>4138</v>
      </c>
      <c r="B336" s="263" t="s">
        <v>2882</v>
      </c>
      <c r="C336" s="276"/>
      <c r="D336" s="276"/>
      <c r="E336" s="383"/>
      <c r="F336" s="656"/>
      <c r="G336" s="264"/>
    </row>
    <row r="337" spans="1:7">
      <c r="A337" s="290" t="s">
        <v>1003</v>
      </c>
      <c r="B337" s="290" t="s">
        <v>1004</v>
      </c>
      <c r="C337" s="290" t="s">
        <v>1005</v>
      </c>
      <c r="D337" s="290" t="s">
        <v>1006</v>
      </c>
      <c r="E337" s="373" t="s">
        <v>1007</v>
      </c>
      <c r="F337" s="363" t="s">
        <v>2637</v>
      </c>
      <c r="G337" s="291" t="s">
        <v>2638</v>
      </c>
    </row>
    <row r="338" spans="1:7">
      <c r="A338" s="294" t="s">
        <v>671</v>
      </c>
      <c r="B338" s="1017" t="s">
        <v>672</v>
      </c>
      <c r="C338" s="247"/>
      <c r="D338" s="247"/>
      <c r="E338" s="372"/>
      <c r="F338" s="360"/>
      <c r="G338" s="248"/>
    </row>
    <row r="339" spans="1:7">
      <c r="A339" s="247"/>
      <c r="B339" s="1016" t="s">
        <v>673</v>
      </c>
      <c r="C339" s="247" t="s">
        <v>674</v>
      </c>
      <c r="D339" s="247" t="s">
        <v>675</v>
      </c>
      <c r="E339" s="372">
        <v>0.2</v>
      </c>
      <c r="F339" s="360">
        <f>F321</f>
        <v>100000</v>
      </c>
      <c r="G339" s="248">
        <f>F339*E339</f>
        <v>20000</v>
      </c>
    </row>
    <row r="340" spans="1:7">
      <c r="A340" s="247"/>
      <c r="B340" s="1016" t="s">
        <v>782</v>
      </c>
      <c r="C340" s="247" t="s">
        <v>678</v>
      </c>
      <c r="D340" s="247" t="s">
        <v>675</v>
      </c>
      <c r="E340" s="372">
        <v>0.2</v>
      </c>
      <c r="F340" s="360">
        <f>F322</f>
        <v>140000</v>
      </c>
      <c r="G340" s="248">
        <f>F340*E340</f>
        <v>28000</v>
      </c>
    </row>
    <row r="341" spans="1:7">
      <c r="A341" s="247"/>
      <c r="B341" s="1016" t="s">
        <v>751</v>
      </c>
      <c r="C341" s="247" t="s">
        <v>681</v>
      </c>
      <c r="D341" s="247" t="s">
        <v>675</v>
      </c>
      <c r="E341" s="372">
        <v>0.02</v>
      </c>
      <c r="F341" s="360">
        <f>F323</f>
        <v>150000</v>
      </c>
      <c r="G341" s="248">
        <f>F341*E341</f>
        <v>3000</v>
      </c>
    </row>
    <row r="342" spans="1:7">
      <c r="A342" s="247"/>
      <c r="B342" s="1016" t="s">
        <v>683</v>
      </c>
      <c r="C342" s="247" t="s">
        <v>684</v>
      </c>
      <c r="D342" s="247" t="s">
        <v>675</v>
      </c>
      <c r="E342" s="372">
        <v>1E-3</v>
      </c>
      <c r="F342" s="360">
        <f>F324</f>
        <v>140000</v>
      </c>
      <c r="G342" s="248">
        <f>F342*E342</f>
        <v>140</v>
      </c>
    </row>
    <row r="343" spans="1:7">
      <c r="A343" s="247"/>
      <c r="B343" s="1016"/>
      <c r="C343" s="247"/>
      <c r="D343" s="247"/>
      <c r="E343" s="1146" t="s">
        <v>685</v>
      </c>
      <c r="F343" s="1146"/>
      <c r="G343" s="248">
        <f>SUM(G339:G342)</f>
        <v>51140</v>
      </c>
    </row>
    <row r="344" spans="1:7">
      <c r="A344" s="294" t="s">
        <v>686</v>
      </c>
      <c r="B344" s="1017" t="s">
        <v>687</v>
      </c>
      <c r="C344" s="247"/>
      <c r="D344" s="247"/>
      <c r="E344" s="372"/>
      <c r="F344" s="360"/>
      <c r="G344" s="248"/>
    </row>
    <row r="345" spans="1:7">
      <c r="A345" s="247"/>
      <c r="B345" s="1016" t="s">
        <v>745</v>
      </c>
      <c r="C345" s="247"/>
      <c r="D345" s="247" t="s">
        <v>853</v>
      </c>
      <c r="E345" s="372">
        <v>1.05</v>
      </c>
      <c r="F345" s="360">
        <f>'UPAD-BAHAN-ALAT Cetak'!I68</f>
        <v>91350</v>
      </c>
      <c r="G345" s="248">
        <f>F345*E345</f>
        <v>95917.5</v>
      </c>
    </row>
    <row r="346" spans="1:7">
      <c r="A346" s="247"/>
      <c r="B346" s="1016" t="s">
        <v>2653</v>
      </c>
      <c r="C346" s="247"/>
      <c r="D346" s="247" t="s">
        <v>773</v>
      </c>
      <c r="E346" s="372">
        <v>1.4999999999999999E-2</v>
      </c>
      <c r="F346" s="360">
        <f>'UPAD-BAHAN-ALAT Cetak'!I69</f>
        <v>26000</v>
      </c>
      <c r="G346" s="248">
        <f>F346*E346</f>
        <v>390</v>
      </c>
    </row>
    <row r="347" spans="1:7">
      <c r="A347" s="247"/>
      <c r="B347" s="256" t="s">
        <v>3538</v>
      </c>
      <c r="C347" s="247"/>
      <c r="D347" s="294" t="s">
        <v>2646</v>
      </c>
      <c r="E347" s="372">
        <v>1.9E-2</v>
      </c>
      <c r="F347" s="360">
        <f>'UPAD-BAHAN-ALAT Cetak'!I52</f>
        <v>2200000</v>
      </c>
      <c r="G347" s="248">
        <f>F347*E347</f>
        <v>41800</v>
      </c>
    </row>
    <row r="348" spans="1:7">
      <c r="A348" s="247"/>
      <c r="B348" s="1018"/>
      <c r="C348" s="296"/>
      <c r="D348" s="296"/>
      <c r="E348" s="1146" t="s">
        <v>702</v>
      </c>
      <c r="F348" s="1146"/>
      <c r="G348" s="248">
        <f>SUM(G345:G347)</f>
        <v>138107.5</v>
      </c>
    </row>
    <row r="349" spans="1:7">
      <c r="A349" s="294" t="s">
        <v>703</v>
      </c>
      <c r="B349" s="1147" t="s">
        <v>3910</v>
      </c>
      <c r="C349" s="1147"/>
      <c r="D349" s="1147"/>
      <c r="E349" s="1147"/>
      <c r="F349" s="1147"/>
      <c r="G349" s="255">
        <f>G343+G348</f>
        <v>189247.5</v>
      </c>
    </row>
    <row r="350" spans="1:7">
      <c r="A350" s="294" t="s">
        <v>706</v>
      </c>
      <c r="B350" s="1148" t="s">
        <v>4876</v>
      </c>
      <c r="C350" s="1148"/>
      <c r="D350" s="1148"/>
      <c r="E350" s="1147" t="s">
        <v>4030</v>
      </c>
      <c r="F350" s="1147"/>
      <c r="G350" s="255">
        <f>G349*0.15</f>
        <v>28387.125</v>
      </c>
    </row>
    <row r="351" spans="1:7">
      <c r="A351" s="294" t="s">
        <v>708</v>
      </c>
      <c r="B351" s="1149" t="s">
        <v>3911</v>
      </c>
      <c r="C351" s="1149"/>
      <c r="D351" s="1149"/>
      <c r="E351" s="1149"/>
      <c r="F351" s="1149"/>
      <c r="G351" s="255">
        <f>ROUND(SUM(G349:G350),2)</f>
        <v>217634.63</v>
      </c>
    </row>
    <row r="352" spans="1:7">
      <c r="A352" s="276"/>
      <c r="B352" s="275"/>
      <c r="C352" s="276"/>
      <c r="D352" s="276"/>
      <c r="E352" s="383"/>
      <c r="F352" s="656"/>
      <c r="G352" s="264"/>
    </row>
    <row r="353" spans="1:7">
      <c r="A353" s="284" t="s">
        <v>4254</v>
      </c>
      <c r="B353" s="1041" t="s">
        <v>3685</v>
      </c>
      <c r="C353" s="1042"/>
      <c r="D353" s="1042"/>
      <c r="E353" s="383"/>
      <c r="F353" s="656"/>
      <c r="G353" s="1043"/>
    </row>
    <row r="354" spans="1:7">
      <c r="A354" s="721" t="s">
        <v>1003</v>
      </c>
      <c r="B354" s="721" t="s">
        <v>1004</v>
      </c>
      <c r="C354" s="721" t="s">
        <v>1005</v>
      </c>
      <c r="D354" s="721" t="s">
        <v>1006</v>
      </c>
      <c r="E354" s="373" t="s">
        <v>1007</v>
      </c>
      <c r="F354" s="363" t="s">
        <v>2637</v>
      </c>
      <c r="G354" s="353" t="s">
        <v>2638</v>
      </c>
    </row>
    <row r="355" spans="1:7">
      <c r="A355" s="723" t="s">
        <v>671</v>
      </c>
      <c r="B355" s="1022" t="s">
        <v>672</v>
      </c>
      <c r="C355" s="724"/>
      <c r="D355" s="724"/>
      <c r="E355" s="372"/>
      <c r="F355" s="360"/>
      <c r="G355" s="274"/>
    </row>
    <row r="356" spans="1:7">
      <c r="A356" s="723"/>
      <c r="B356" s="1022" t="s">
        <v>673</v>
      </c>
      <c r="C356" s="724" t="s">
        <v>674</v>
      </c>
      <c r="D356" s="724" t="s">
        <v>675</v>
      </c>
      <c r="E356" s="372">
        <v>0.25</v>
      </c>
      <c r="F356" s="360">
        <f>F339</f>
        <v>100000</v>
      </c>
      <c r="G356" s="274">
        <f>F356*E356</f>
        <v>25000</v>
      </c>
    </row>
    <row r="357" spans="1:7">
      <c r="A357" s="723"/>
      <c r="B357" s="1022" t="s">
        <v>677</v>
      </c>
      <c r="C357" s="724" t="s">
        <v>678</v>
      </c>
      <c r="D357" s="724" t="s">
        <v>675</v>
      </c>
      <c r="E357" s="372">
        <v>0.15</v>
      </c>
      <c r="F357" s="360">
        <f>F340</f>
        <v>140000</v>
      </c>
      <c r="G357" s="274">
        <f>F357*E357</f>
        <v>21000</v>
      </c>
    </row>
    <row r="358" spans="1:7">
      <c r="A358" s="723"/>
      <c r="B358" s="1022" t="s">
        <v>751</v>
      </c>
      <c r="C358" s="724" t="s">
        <v>681</v>
      </c>
      <c r="D358" s="724" t="s">
        <v>675</v>
      </c>
      <c r="E358" s="372">
        <v>1.4999999999999999E-2</v>
      </c>
      <c r="F358" s="360">
        <f>F341</f>
        <v>150000</v>
      </c>
      <c r="G358" s="274">
        <f>F358*E358</f>
        <v>2250</v>
      </c>
    </row>
    <row r="359" spans="1:7">
      <c r="A359" s="723"/>
      <c r="B359" s="1022" t="s">
        <v>683</v>
      </c>
      <c r="C359" s="724" t="s">
        <v>684</v>
      </c>
      <c r="D359" s="724" t="s">
        <v>675</v>
      </c>
      <c r="E359" s="372">
        <v>1.2999999999999999E-2</v>
      </c>
      <c r="F359" s="360">
        <f>F342</f>
        <v>140000</v>
      </c>
      <c r="G359" s="274">
        <f>F359*E359</f>
        <v>1820</v>
      </c>
    </row>
    <row r="360" spans="1:7">
      <c r="A360" s="723"/>
      <c r="B360" s="1022"/>
      <c r="C360" s="724"/>
      <c r="D360" s="724"/>
      <c r="E360" s="1189" t="s">
        <v>685</v>
      </c>
      <c r="F360" s="1189"/>
      <c r="G360" s="274">
        <f>SUM(G356:G359)</f>
        <v>50070</v>
      </c>
    </row>
    <row r="361" spans="1:7">
      <c r="A361" s="723" t="s">
        <v>686</v>
      </c>
      <c r="B361" s="1022" t="s">
        <v>687</v>
      </c>
      <c r="C361" s="724"/>
      <c r="D361" s="724"/>
      <c r="E361" s="372"/>
      <c r="F361" s="360"/>
      <c r="G361" s="274"/>
    </row>
    <row r="362" spans="1:7">
      <c r="A362" s="723"/>
      <c r="B362" s="1022" t="s">
        <v>3686</v>
      </c>
      <c r="C362" s="724"/>
      <c r="D362" s="724" t="s">
        <v>743</v>
      </c>
      <c r="E362" s="372">
        <v>1.1000000000000001</v>
      </c>
      <c r="F362" s="360">
        <f>'UPAD-BAHAN-ALAT Cetak'!I70</f>
        <v>26100</v>
      </c>
      <c r="G362" s="274">
        <f>F362*E362</f>
        <v>28710.000000000004</v>
      </c>
    </row>
    <row r="363" spans="1:7">
      <c r="A363" s="723"/>
      <c r="B363" s="1022" t="s">
        <v>3713</v>
      </c>
      <c r="C363" s="724"/>
      <c r="D363" s="724" t="s">
        <v>690</v>
      </c>
      <c r="E363" s="372">
        <v>0.05</v>
      </c>
      <c r="F363" s="360">
        <f>'UPAD-BAHAN-ALAT Cetak'!I71</f>
        <v>28000</v>
      </c>
      <c r="G363" s="274">
        <f>F363*E363</f>
        <v>1400</v>
      </c>
    </row>
    <row r="364" spans="1:7">
      <c r="A364" s="723"/>
      <c r="B364" s="725"/>
      <c r="C364" s="726"/>
      <c r="D364" s="726"/>
      <c r="E364" s="1189" t="s">
        <v>702</v>
      </c>
      <c r="F364" s="1189"/>
      <c r="G364" s="274">
        <f>SUM(G362:G363)</f>
        <v>30110.000000000004</v>
      </c>
    </row>
    <row r="365" spans="1:7">
      <c r="A365" s="723" t="s">
        <v>703</v>
      </c>
      <c r="B365" s="1169" t="s">
        <v>3910</v>
      </c>
      <c r="C365" s="1169"/>
      <c r="D365" s="1169"/>
      <c r="E365" s="1169"/>
      <c r="F365" s="1169"/>
      <c r="G365" s="273">
        <f>G360+G364</f>
        <v>80180</v>
      </c>
    </row>
    <row r="366" spans="1:7">
      <c r="A366" s="723" t="s">
        <v>706</v>
      </c>
      <c r="B366" s="1170" t="s">
        <v>4876</v>
      </c>
      <c r="C366" s="1170"/>
      <c r="D366" s="1170"/>
      <c r="E366" s="1169" t="s">
        <v>4030</v>
      </c>
      <c r="F366" s="1169"/>
      <c r="G366" s="255">
        <f>G365*0.15</f>
        <v>12027</v>
      </c>
    </row>
    <row r="367" spans="1:7">
      <c r="A367" s="723" t="s">
        <v>708</v>
      </c>
      <c r="B367" s="1188" t="s">
        <v>3911</v>
      </c>
      <c r="C367" s="1188"/>
      <c r="D367" s="1188"/>
      <c r="E367" s="1188"/>
      <c r="F367" s="1188"/>
      <c r="G367" s="255">
        <f>ROUND(SUM(G365:G366),2)</f>
        <v>92207</v>
      </c>
    </row>
    <row r="368" spans="1:7">
      <c r="A368" s="276"/>
      <c r="B368" s="275"/>
      <c r="C368" s="276"/>
      <c r="D368" s="276"/>
      <c r="E368" s="383"/>
      <c r="F368" s="656"/>
      <c r="G368" s="264"/>
    </row>
    <row r="369" spans="1:7">
      <c r="A369" s="285" t="s">
        <v>4249</v>
      </c>
      <c r="B369" s="1041" t="s">
        <v>3683</v>
      </c>
      <c r="C369" s="1042"/>
      <c r="D369" s="1042"/>
      <c r="E369" s="383"/>
      <c r="F369" s="656"/>
      <c r="G369" s="1043"/>
    </row>
    <row r="370" spans="1:7">
      <c r="A370" s="721" t="s">
        <v>1003</v>
      </c>
      <c r="B370" s="721" t="s">
        <v>1004</v>
      </c>
      <c r="C370" s="721" t="s">
        <v>1005</v>
      </c>
      <c r="D370" s="721" t="s">
        <v>1006</v>
      </c>
      <c r="E370" s="373" t="s">
        <v>1007</v>
      </c>
      <c r="F370" s="363" t="s">
        <v>2637</v>
      </c>
      <c r="G370" s="353" t="s">
        <v>2638</v>
      </c>
    </row>
    <row r="371" spans="1:7">
      <c r="A371" s="723" t="s">
        <v>671</v>
      </c>
      <c r="B371" s="1022" t="s">
        <v>672</v>
      </c>
      <c r="C371" s="724"/>
      <c r="D371" s="724"/>
      <c r="E371" s="372"/>
      <c r="F371" s="360"/>
      <c r="G371" s="274"/>
    </row>
    <row r="372" spans="1:7">
      <c r="A372" s="723"/>
      <c r="B372" s="1022" t="s">
        <v>673</v>
      </c>
      <c r="C372" s="724" t="s">
        <v>674</v>
      </c>
      <c r="D372" s="724" t="s">
        <v>675</v>
      </c>
      <c r="E372" s="372">
        <v>0.2</v>
      </c>
      <c r="F372" s="360">
        <f>F356</f>
        <v>100000</v>
      </c>
      <c r="G372" s="274">
        <f>F372*E372</f>
        <v>20000</v>
      </c>
    </row>
    <row r="373" spans="1:7">
      <c r="A373" s="723"/>
      <c r="B373" s="1022" t="s">
        <v>677</v>
      </c>
      <c r="C373" s="724" t="s">
        <v>678</v>
      </c>
      <c r="D373" s="724" t="s">
        <v>675</v>
      </c>
      <c r="E373" s="372">
        <v>0.1</v>
      </c>
      <c r="F373" s="360">
        <f>F357</f>
        <v>140000</v>
      </c>
      <c r="G373" s="274">
        <f>F373*E373</f>
        <v>14000</v>
      </c>
    </row>
    <row r="374" spans="1:7">
      <c r="A374" s="723"/>
      <c r="B374" s="1022" t="s">
        <v>751</v>
      </c>
      <c r="C374" s="724" t="s">
        <v>681</v>
      </c>
      <c r="D374" s="724" t="s">
        <v>675</v>
      </c>
      <c r="E374" s="372">
        <v>0.01</v>
      </c>
      <c r="F374" s="360">
        <f>F358</f>
        <v>150000</v>
      </c>
      <c r="G374" s="274">
        <f>F374*E374</f>
        <v>1500</v>
      </c>
    </row>
    <row r="375" spans="1:7">
      <c r="A375" s="723"/>
      <c r="B375" s="1022" t="s">
        <v>683</v>
      </c>
      <c r="C375" s="724" t="s">
        <v>684</v>
      </c>
      <c r="D375" s="724" t="s">
        <v>675</v>
      </c>
      <c r="E375" s="372">
        <v>1E-3</v>
      </c>
      <c r="F375" s="360">
        <f>F359</f>
        <v>140000</v>
      </c>
      <c r="G375" s="274">
        <f>F375*E375</f>
        <v>140</v>
      </c>
    </row>
    <row r="376" spans="1:7">
      <c r="A376" s="723"/>
      <c r="B376" s="1022"/>
      <c r="C376" s="724"/>
      <c r="D376" s="724"/>
      <c r="E376" s="1189" t="s">
        <v>685</v>
      </c>
      <c r="F376" s="1189"/>
      <c r="G376" s="274">
        <f>SUM(G372:G375)</f>
        <v>35640</v>
      </c>
    </row>
    <row r="377" spans="1:7">
      <c r="A377" s="723" t="s">
        <v>686</v>
      </c>
      <c r="B377" s="1022" t="s">
        <v>687</v>
      </c>
      <c r="C377" s="724"/>
      <c r="D377" s="724"/>
      <c r="E377" s="372"/>
      <c r="F377" s="360"/>
      <c r="G377" s="274"/>
    </row>
    <row r="378" spans="1:7">
      <c r="A378" s="723"/>
      <c r="B378" s="1022" t="s">
        <v>3684</v>
      </c>
      <c r="C378" s="724"/>
      <c r="D378" s="724" t="s">
        <v>4884</v>
      </c>
      <c r="E378" s="372">
        <v>5.04</v>
      </c>
      <c r="F378" s="360">
        <f>'UPAD-BAHAN-ALAT Cetak'!I72</f>
        <v>11500</v>
      </c>
      <c r="G378" s="274">
        <f>F378*E378</f>
        <v>57960</v>
      </c>
    </row>
    <row r="379" spans="1:7">
      <c r="A379" s="723"/>
      <c r="B379" s="1022" t="s">
        <v>3713</v>
      </c>
      <c r="C379" s="724"/>
      <c r="D379" s="724" t="s">
        <v>690</v>
      </c>
      <c r="E379" s="372">
        <v>0.2</v>
      </c>
      <c r="F379" s="360">
        <f>'[44]UPAD-BAHAN-ALAT Cetak'!I70</f>
        <v>32625</v>
      </c>
      <c r="G379" s="274">
        <f>F379*E379</f>
        <v>6525</v>
      </c>
    </row>
    <row r="380" spans="1:7">
      <c r="A380" s="723"/>
      <c r="B380" s="725"/>
      <c r="C380" s="726"/>
      <c r="D380" s="726"/>
      <c r="E380" s="1189" t="s">
        <v>702</v>
      </c>
      <c r="F380" s="1189"/>
      <c r="G380" s="274">
        <f>SUM(G378:G379)</f>
        <v>64485</v>
      </c>
    </row>
    <row r="381" spans="1:7">
      <c r="A381" s="723" t="s">
        <v>703</v>
      </c>
      <c r="B381" s="1169" t="s">
        <v>3910</v>
      </c>
      <c r="C381" s="1169"/>
      <c r="D381" s="1169"/>
      <c r="E381" s="1169"/>
      <c r="F381" s="1169"/>
      <c r="G381" s="273">
        <f>G376+G380</f>
        <v>100125</v>
      </c>
    </row>
    <row r="382" spans="1:7">
      <c r="A382" s="723" t="s">
        <v>706</v>
      </c>
      <c r="B382" s="1170" t="s">
        <v>4876</v>
      </c>
      <c r="C382" s="1170"/>
      <c r="D382" s="1170"/>
      <c r="E382" s="1169" t="s">
        <v>4030</v>
      </c>
      <c r="F382" s="1169"/>
      <c r="G382" s="255">
        <f>G381*0.15</f>
        <v>15018.75</v>
      </c>
    </row>
    <row r="383" spans="1:7">
      <c r="A383" s="723" t="s">
        <v>708</v>
      </c>
      <c r="B383" s="1188" t="s">
        <v>3911</v>
      </c>
      <c r="C383" s="1188"/>
      <c r="D383" s="1188"/>
      <c r="E383" s="1188"/>
      <c r="F383" s="1188"/>
      <c r="G383" s="255">
        <f>ROUND(SUM(G381:G382),2)</f>
        <v>115143.75</v>
      </c>
    </row>
    <row r="384" spans="1:7">
      <c r="A384" s="276"/>
      <c r="B384" s="275"/>
      <c r="C384" s="276"/>
      <c r="D384" s="276"/>
      <c r="E384" s="383"/>
      <c r="F384" s="656"/>
      <c r="G384" s="264"/>
    </row>
    <row r="385" spans="1:7">
      <c r="A385" s="285" t="s">
        <v>4289</v>
      </c>
      <c r="B385" s="1001" t="s">
        <v>3694</v>
      </c>
      <c r="C385" s="252"/>
      <c r="D385" s="252"/>
      <c r="E385" s="374"/>
      <c r="F385" s="361"/>
      <c r="G385" s="253"/>
    </row>
    <row r="386" spans="1:7">
      <c r="A386" s="290" t="s">
        <v>1003</v>
      </c>
      <c r="B386" s="290" t="s">
        <v>1004</v>
      </c>
      <c r="C386" s="290" t="s">
        <v>1005</v>
      </c>
      <c r="D386" s="290" t="s">
        <v>1006</v>
      </c>
      <c r="E386" s="373" t="s">
        <v>1007</v>
      </c>
      <c r="F386" s="363" t="s">
        <v>2637</v>
      </c>
      <c r="G386" s="291" t="s">
        <v>2638</v>
      </c>
    </row>
    <row r="387" spans="1:7">
      <c r="A387" s="294" t="s">
        <v>671</v>
      </c>
      <c r="B387" s="1016" t="s">
        <v>672</v>
      </c>
      <c r="C387" s="247"/>
      <c r="D387" s="247"/>
      <c r="E387" s="372"/>
      <c r="F387" s="360"/>
      <c r="G387" s="248"/>
    </row>
    <row r="388" spans="1:7">
      <c r="A388" s="294"/>
      <c r="B388" s="1016" t="s">
        <v>673</v>
      </c>
      <c r="C388" s="247" t="s">
        <v>674</v>
      </c>
      <c r="D388" s="247" t="s">
        <v>675</v>
      </c>
      <c r="E388" s="372">
        <v>8.4000000000000005E-2</v>
      </c>
      <c r="F388" s="360">
        <f>F372</f>
        <v>100000</v>
      </c>
      <c r="G388" s="248">
        <f>F388*E388</f>
        <v>8400</v>
      </c>
    </row>
    <row r="389" spans="1:7">
      <c r="A389" s="294"/>
      <c r="B389" s="1016" t="s">
        <v>677</v>
      </c>
      <c r="C389" s="247" t="s">
        <v>678</v>
      </c>
      <c r="D389" s="247" t="s">
        <v>675</v>
      </c>
      <c r="E389" s="372">
        <v>0.125</v>
      </c>
      <c r="F389" s="360">
        <f>F373</f>
        <v>140000</v>
      </c>
      <c r="G389" s="248">
        <f>F389*E389</f>
        <v>17500</v>
      </c>
    </row>
    <row r="390" spans="1:7">
      <c r="A390" s="294"/>
      <c r="B390" s="1016" t="s">
        <v>751</v>
      </c>
      <c r="C390" s="247" t="s">
        <v>681</v>
      </c>
      <c r="D390" s="247" t="s">
        <v>675</v>
      </c>
      <c r="E390" s="372">
        <v>1.2999999999999999E-2</v>
      </c>
      <c r="F390" s="360">
        <f>F374</f>
        <v>150000</v>
      </c>
      <c r="G390" s="248">
        <f>F390*E390</f>
        <v>1950</v>
      </c>
    </row>
    <row r="391" spans="1:7">
      <c r="A391" s="294"/>
      <c r="B391" s="1016" t="s">
        <v>683</v>
      </c>
      <c r="C391" s="247" t="s">
        <v>684</v>
      </c>
      <c r="D391" s="247" t="s">
        <v>675</v>
      </c>
      <c r="E391" s="372">
        <v>4.0000000000000001E-3</v>
      </c>
      <c r="F391" s="360">
        <f>F375</f>
        <v>140000</v>
      </c>
      <c r="G391" s="248">
        <f>F391*E391</f>
        <v>560</v>
      </c>
    </row>
    <row r="392" spans="1:7">
      <c r="A392" s="294"/>
      <c r="B392" s="1016"/>
      <c r="C392" s="247"/>
      <c r="D392" s="247"/>
      <c r="E392" s="1146" t="s">
        <v>685</v>
      </c>
      <c r="F392" s="1146"/>
      <c r="G392" s="248">
        <f>SUM(G388:G391)</f>
        <v>28410</v>
      </c>
    </row>
    <row r="393" spans="1:7">
      <c r="A393" s="294" t="s">
        <v>686</v>
      </c>
      <c r="B393" s="1016" t="s">
        <v>687</v>
      </c>
      <c r="C393" s="247"/>
      <c r="D393" s="247"/>
      <c r="E393" s="372"/>
      <c r="F393" s="360"/>
      <c r="G393" s="248"/>
    </row>
    <row r="394" spans="1:7">
      <c r="A394" s="294"/>
      <c r="B394" s="1016" t="s">
        <v>3695</v>
      </c>
      <c r="C394" s="247"/>
      <c r="D394" s="247" t="s">
        <v>715</v>
      </c>
      <c r="E394" s="372">
        <v>1.1000000000000001</v>
      </c>
      <c r="F394" s="360">
        <f>'UPAD-BAHAN-ALAT Cetak'!I73</f>
        <v>35000</v>
      </c>
      <c r="G394" s="248">
        <f>F394*E394</f>
        <v>38500</v>
      </c>
    </row>
    <row r="395" spans="1:7">
      <c r="A395" s="294"/>
      <c r="B395" s="1016" t="s">
        <v>2655</v>
      </c>
      <c r="C395" s="247"/>
      <c r="D395" s="247" t="s">
        <v>743</v>
      </c>
      <c r="E395" s="372">
        <v>6</v>
      </c>
      <c r="F395" s="360">
        <f>'UPAD-BAHAN-ALAT Cetak'!I74</f>
        <v>900</v>
      </c>
      <c r="G395" s="248">
        <f>F395*E395</f>
        <v>5400</v>
      </c>
    </row>
    <row r="396" spans="1:7">
      <c r="A396" s="247"/>
      <c r="B396" s="1016"/>
      <c r="C396" s="247"/>
      <c r="D396" s="247"/>
      <c r="E396" s="1155" t="s">
        <v>702</v>
      </c>
      <c r="F396" s="1155"/>
      <c r="G396" s="248">
        <f>SUM(G394:G395)</f>
        <v>43900</v>
      </c>
    </row>
    <row r="397" spans="1:7">
      <c r="A397" s="294" t="s">
        <v>703</v>
      </c>
      <c r="B397" s="1151" t="s">
        <v>3910</v>
      </c>
      <c r="C397" s="1151"/>
      <c r="D397" s="1151"/>
      <c r="E397" s="1151"/>
      <c r="F397" s="1151"/>
      <c r="G397" s="255">
        <f>G392+G396</f>
        <v>72310</v>
      </c>
    </row>
    <row r="398" spans="1:7">
      <c r="A398" s="294" t="s">
        <v>706</v>
      </c>
      <c r="B398" s="1148" t="s">
        <v>4876</v>
      </c>
      <c r="C398" s="1148"/>
      <c r="D398" s="1148"/>
      <c r="E398" s="1147" t="s">
        <v>4030</v>
      </c>
      <c r="F398" s="1147"/>
      <c r="G398" s="255">
        <f>G397*0.15</f>
        <v>10846.5</v>
      </c>
    </row>
    <row r="399" spans="1:7">
      <c r="A399" s="294" t="s">
        <v>708</v>
      </c>
      <c r="B399" s="1149" t="s">
        <v>3911</v>
      </c>
      <c r="C399" s="1149"/>
      <c r="D399" s="1149"/>
      <c r="E399" s="1149"/>
      <c r="F399" s="1149"/>
      <c r="G399" s="255">
        <f>ROUND(SUM(G397:G398),2)</f>
        <v>83156.5</v>
      </c>
    </row>
    <row r="400" spans="1:7">
      <c r="A400" s="276"/>
      <c r="B400" s="275"/>
      <c r="C400" s="276"/>
      <c r="D400" s="276"/>
      <c r="E400" s="383"/>
      <c r="F400" s="656"/>
      <c r="G400" s="264"/>
    </row>
    <row r="401" spans="1:7">
      <c r="A401" s="285" t="s">
        <v>4754</v>
      </c>
      <c r="B401" s="1001" t="s">
        <v>4755</v>
      </c>
      <c r="C401" s="252"/>
      <c r="D401" s="252"/>
      <c r="E401" s="374"/>
      <c r="F401" s="361"/>
      <c r="G401" s="253"/>
    </row>
    <row r="402" spans="1:7">
      <c r="A402" s="290" t="s">
        <v>1003</v>
      </c>
      <c r="B402" s="290" t="s">
        <v>1004</v>
      </c>
      <c r="C402" s="293" t="s">
        <v>1005</v>
      </c>
      <c r="D402" s="293" t="s">
        <v>1006</v>
      </c>
      <c r="E402" s="373" t="s">
        <v>1007</v>
      </c>
      <c r="F402" s="363" t="s">
        <v>2637</v>
      </c>
      <c r="G402" s="291" t="s">
        <v>2638</v>
      </c>
    </row>
    <row r="403" spans="1:7">
      <c r="A403" s="294" t="s">
        <v>671</v>
      </c>
      <c r="B403" s="1026" t="s">
        <v>672</v>
      </c>
      <c r="C403" s="283"/>
      <c r="D403" s="283"/>
      <c r="E403" s="372"/>
      <c r="F403" s="360"/>
      <c r="G403" s="248"/>
    </row>
    <row r="404" spans="1:7">
      <c r="A404" s="294"/>
      <c r="B404" s="1026" t="s">
        <v>673</v>
      </c>
      <c r="C404" s="283" t="s">
        <v>674</v>
      </c>
      <c r="D404" s="283" t="s">
        <v>675</v>
      </c>
      <c r="E404" s="372">
        <v>0.1</v>
      </c>
      <c r="F404" s="360">
        <f>F388</f>
        <v>100000</v>
      </c>
      <c r="G404" s="248">
        <f>F404*E404</f>
        <v>10000</v>
      </c>
    </row>
    <row r="405" spans="1:7">
      <c r="A405" s="294"/>
      <c r="B405" s="1026" t="s">
        <v>855</v>
      </c>
      <c r="C405" s="283" t="s">
        <v>678</v>
      </c>
      <c r="D405" s="283" t="s">
        <v>675</v>
      </c>
      <c r="E405" s="372">
        <v>0.05</v>
      </c>
      <c r="F405" s="360">
        <f>F389</f>
        <v>140000</v>
      </c>
      <c r="G405" s="248">
        <f>F405*E405</f>
        <v>7000</v>
      </c>
    </row>
    <row r="406" spans="1:7">
      <c r="A406" s="294"/>
      <c r="B406" s="1026" t="s">
        <v>751</v>
      </c>
      <c r="C406" s="283" t="s">
        <v>681</v>
      </c>
      <c r="D406" s="283" t="s">
        <v>675</v>
      </c>
      <c r="E406" s="372">
        <v>5.0000000000000001E-3</v>
      </c>
      <c r="F406" s="360">
        <f>F390</f>
        <v>150000</v>
      </c>
      <c r="G406" s="248">
        <f>F406*E406</f>
        <v>750</v>
      </c>
    </row>
    <row r="407" spans="1:7">
      <c r="A407" s="294"/>
      <c r="B407" s="1026" t="s">
        <v>683</v>
      </c>
      <c r="C407" s="283" t="s">
        <v>684</v>
      </c>
      <c r="D407" s="283" t="s">
        <v>675</v>
      </c>
      <c r="E407" s="372">
        <v>5.0000000000000001E-3</v>
      </c>
      <c r="F407" s="360">
        <f>F391</f>
        <v>140000</v>
      </c>
      <c r="G407" s="248">
        <f>F407*E407</f>
        <v>700</v>
      </c>
    </row>
    <row r="408" spans="1:7">
      <c r="A408" s="294"/>
      <c r="B408" s="1026"/>
      <c r="C408" s="283"/>
      <c r="D408" s="283"/>
      <c r="E408" s="428" t="s">
        <v>685</v>
      </c>
      <c r="F408" s="390"/>
      <c r="G408" s="248">
        <f>SUM(G404:G407)</f>
        <v>18450</v>
      </c>
    </row>
    <row r="409" spans="1:7">
      <c r="A409" s="294" t="s">
        <v>686</v>
      </c>
      <c r="B409" s="1026" t="s">
        <v>687</v>
      </c>
      <c r="C409" s="283"/>
      <c r="D409" s="283"/>
      <c r="E409" s="372"/>
      <c r="F409" s="360"/>
      <c r="G409" s="248"/>
    </row>
    <row r="410" spans="1:7">
      <c r="A410" s="294"/>
      <c r="B410" s="1026" t="s">
        <v>4756</v>
      </c>
      <c r="C410" s="283"/>
      <c r="D410" s="283" t="s">
        <v>853</v>
      </c>
      <c r="E410" s="372">
        <v>3.6</v>
      </c>
      <c r="F410" s="360">
        <f>'UPAD-BAHAN-ALAT Cetak'!I75</f>
        <v>16965</v>
      </c>
      <c r="G410" s="248">
        <f>F410*E410</f>
        <v>61074</v>
      </c>
    </row>
    <row r="411" spans="1:7">
      <c r="A411" s="294"/>
      <c r="B411" s="1026" t="s">
        <v>1197</v>
      </c>
      <c r="C411" s="283"/>
      <c r="D411" s="283" t="s">
        <v>773</v>
      </c>
      <c r="E411" s="372">
        <v>0.15</v>
      </c>
      <c r="F411" s="360">
        <f>'UPAD-BAHAN-ALAT Cetak'!I76</f>
        <v>8900</v>
      </c>
      <c r="G411" s="248">
        <f>F411*E411</f>
        <v>1335</v>
      </c>
    </row>
    <row r="412" spans="1:7">
      <c r="A412" s="294"/>
      <c r="B412" s="1026" t="s">
        <v>1198</v>
      </c>
      <c r="C412" s="283"/>
      <c r="D412" s="283" t="s">
        <v>866</v>
      </c>
      <c r="E412" s="372">
        <v>1.05</v>
      </c>
      <c r="F412" s="360">
        <f>'UPAD-BAHAN-ALAT Cetak'!I77</f>
        <v>2900</v>
      </c>
      <c r="G412" s="248">
        <f>F412*E412</f>
        <v>3045</v>
      </c>
    </row>
    <row r="413" spans="1:7">
      <c r="A413" s="294"/>
      <c r="B413" s="1026"/>
      <c r="C413" s="288"/>
      <c r="D413" s="288"/>
      <c r="E413" s="428" t="s">
        <v>702</v>
      </c>
      <c r="F413" s="390"/>
      <c r="G413" s="248">
        <f>SUM(G410:G412)</f>
        <v>65454</v>
      </c>
    </row>
    <row r="414" spans="1:7">
      <c r="A414" s="294" t="s">
        <v>703</v>
      </c>
      <c r="B414" s="1151" t="s">
        <v>3910</v>
      </c>
      <c r="C414" s="1151"/>
      <c r="D414" s="1151"/>
      <c r="E414" s="1151"/>
      <c r="F414" s="1151"/>
      <c r="G414" s="255">
        <f>G408+G413</f>
        <v>83904</v>
      </c>
    </row>
    <row r="415" spans="1:7">
      <c r="A415" s="294" t="s">
        <v>706</v>
      </c>
      <c r="B415" s="1148" t="s">
        <v>4876</v>
      </c>
      <c r="C415" s="1148"/>
      <c r="D415" s="1148"/>
      <c r="E415" s="1147" t="s">
        <v>4030</v>
      </c>
      <c r="F415" s="1147"/>
      <c r="G415" s="255">
        <f>G414*0.15</f>
        <v>12585.6</v>
      </c>
    </row>
    <row r="416" spans="1:7">
      <c r="A416" s="294" t="s">
        <v>708</v>
      </c>
      <c r="B416" s="1149" t="s">
        <v>3911</v>
      </c>
      <c r="C416" s="1149"/>
      <c r="D416" s="1149"/>
      <c r="E416" s="1149"/>
      <c r="F416" s="1149"/>
      <c r="G416" s="255">
        <f>ROUND(SUM(G414:G415),2)</f>
        <v>96489.600000000006</v>
      </c>
    </row>
    <row r="417" spans="1:7">
      <c r="A417" s="276"/>
      <c r="B417" s="275"/>
      <c r="C417" s="276"/>
      <c r="D417" s="276"/>
      <c r="E417" s="383"/>
      <c r="F417" s="656"/>
      <c r="G417" s="264"/>
    </row>
    <row r="418" spans="1:7">
      <c r="A418" s="285" t="s">
        <v>4235</v>
      </c>
      <c r="B418" s="263" t="s">
        <v>4558</v>
      </c>
      <c r="C418" s="276"/>
      <c r="D418" s="276"/>
      <c r="E418" s="383"/>
      <c r="F418" s="656"/>
      <c r="G418" s="264"/>
    </row>
    <row r="419" spans="1:7">
      <c r="A419" s="290" t="s">
        <v>1003</v>
      </c>
      <c r="B419" s="290" t="s">
        <v>1004</v>
      </c>
      <c r="C419" s="290" t="s">
        <v>1005</v>
      </c>
      <c r="D419" s="290" t="s">
        <v>1006</v>
      </c>
      <c r="E419" s="373" t="s">
        <v>1007</v>
      </c>
      <c r="F419" s="363" t="s">
        <v>2637</v>
      </c>
      <c r="G419" s="291" t="s">
        <v>2638</v>
      </c>
    </row>
    <row r="420" spans="1:7">
      <c r="A420" s="294" t="s">
        <v>671</v>
      </c>
      <c r="B420" s="1016" t="s">
        <v>672</v>
      </c>
      <c r="C420" s="247"/>
      <c r="D420" s="247"/>
      <c r="E420" s="372"/>
      <c r="F420" s="360"/>
      <c r="G420" s="248"/>
    </row>
    <row r="421" spans="1:7">
      <c r="A421" s="294"/>
      <c r="B421" s="1016" t="s">
        <v>673</v>
      </c>
      <c r="C421" s="247" t="s">
        <v>674</v>
      </c>
      <c r="D421" s="247" t="s">
        <v>675</v>
      </c>
      <c r="E421" s="372">
        <v>0.3</v>
      </c>
      <c r="F421" s="360">
        <f>F404</f>
        <v>100000</v>
      </c>
      <c r="G421" s="248">
        <f>F421*E421</f>
        <v>30000</v>
      </c>
    </row>
    <row r="422" spans="1:7">
      <c r="A422" s="294"/>
      <c r="B422" s="1016" t="s">
        <v>4559</v>
      </c>
      <c r="C422" s="247" t="s">
        <v>678</v>
      </c>
      <c r="D422" s="247" t="s">
        <v>675</v>
      </c>
      <c r="E422" s="372">
        <v>0.09</v>
      </c>
      <c r="F422" s="360">
        <f>F405</f>
        <v>140000</v>
      </c>
      <c r="G422" s="248">
        <f>F422*E422</f>
        <v>12600</v>
      </c>
    </row>
    <row r="423" spans="1:7">
      <c r="A423" s="294"/>
      <c r="B423" s="1016" t="s">
        <v>751</v>
      </c>
      <c r="C423" s="247" t="s">
        <v>681</v>
      </c>
      <c r="D423" s="247" t="s">
        <v>675</v>
      </c>
      <c r="E423" s="372">
        <v>8.9999999999999993E-3</v>
      </c>
      <c r="F423" s="360">
        <f>F406</f>
        <v>150000</v>
      </c>
      <c r="G423" s="248">
        <f>F423*E423</f>
        <v>1350</v>
      </c>
    </row>
    <row r="424" spans="1:7">
      <c r="A424" s="294"/>
      <c r="B424" s="1016" t="s">
        <v>683</v>
      </c>
      <c r="C424" s="247" t="s">
        <v>684</v>
      </c>
      <c r="D424" s="247" t="s">
        <v>675</v>
      </c>
      <c r="E424" s="372">
        <v>8.9999999999999993E-3</v>
      </c>
      <c r="F424" s="360">
        <f>F407</f>
        <v>140000</v>
      </c>
      <c r="G424" s="248">
        <f>F424*E424</f>
        <v>1260</v>
      </c>
    </row>
    <row r="425" spans="1:7">
      <c r="A425" s="294"/>
      <c r="B425" s="1016"/>
      <c r="C425" s="247"/>
      <c r="D425" s="247"/>
      <c r="E425" s="1146" t="s">
        <v>685</v>
      </c>
      <c r="F425" s="1146"/>
      <c r="G425" s="248">
        <f>SUM(G421:G424)</f>
        <v>45210</v>
      </c>
    </row>
    <row r="426" spans="1:7">
      <c r="A426" s="294" t="s">
        <v>686</v>
      </c>
      <c r="B426" s="1016" t="s">
        <v>687</v>
      </c>
      <c r="C426" s="247"/>
      <c r="D426" s="247"/>
      <c r="E426" s="372"/>
      <c r="F426" s="360"/>
      <c r="G426" s="248"/>
    </row>
    <row r="427" spans="1:7">
      <c r="A427" s="294"/>
      <c r="B427" s="1016" t="s">
        <v>4556</v>
      </c>
      <c r="C427" s="247"/>
      <c r="D427" s="247" t="s">
        <v>2647</v>
      </c>
      <c r="E427" s="372">
        <v>1.05</v>
      </c>
      <c r="F427" s="360">
        <f>'UPAD-BAHAN-ALAT Cetak'!I78</f>
        <v>126000</v>
      </c>
      <c r="G427" s="248">
        <f>F427*E427</f>
        <v>132300</v>
      </c>
    </row>
    <row r="428" spans="1:7">
      <c r="A428" s="294"/>
      <c r="B428" s="1016" t="s">
        <v>1194</v>
      </c>
      <c r="C428" s="247"/>
      <c r="D428" s="247" t="s">
        <v>773</v>
      </c>
      <c r="E428" s="372">
        <v>0.11</v>
      </c>
      <c r="F428" s="360">
        <f>'[44]UPAD-BAHAN-ALAT'!$I$140</f>
        <v>27500</v>
      </c>
      <c r="G428" s="248">
        <f>F428*E428</f>
        <v>3025</v>
      </c>
    </row>
    <row r="429" spans="1:7">
      <c r="A429" s="294"/>
      <c r="B429" s="1018"/>
      <c r="C429" s="296"/>
      <c r="D429" s="296"/>
      <c r="E429" s="1146" t="s">
        <v>702</v>
      </c>
      <c r="F429" s="1146"/>
      <c r="G429" s="248">
        <f>SUM(G427:G428)</f>
        <v>135325</v>
      </c>
    </row>
    <row r="430" spans="1:7">
      <c r="A430" s="294" t="s">
        <v>703</v>
      </c>
      <c r="B430" s="1147" t="s">
        <v>3910</v>
      </c>
      <c r="C430" s="1147"/>
      <c r="D430" s="1147"/>
      <c r="E430" s="1147"/>
      <c r="F430" s="1147"/>
      <c r="G430" s="255">
        <f>G425+G429</f>
        <v>180535</v>
      </c>
    </row>
    <row r="431" spans="1:7">
      <c r="A431" s="294" t="s">
        <v>706</v>
      </c>
      <c r="B431" s="1148" t="s">
        <v>4876</v>
      </c>
      <c r="C431" s="1148"/>
      <c r="D431" s="1148"/>
      <c r="E431" s="1147" t="s">
        <v>4030</v>
      </c>
      <c r="F431" s="1147"/>
      <c r="G431" s="255">
        <f>G430*0.15</f>
        <v>27080.25</v>
      </c>
    </row>
    <row r="432" spans="1:7">
      <c r="A432" s="294" t="s">
        <v>708</v>
      </c>
      <c r="B432" s="1149" t="s">
        <v>3911</v>
      </c>
      <c r="C432" s="1149"/>
      <c r="D432" s="1149"/>
      <c r="E432" s="1149"/>
      <c r="F432" s="1149"/>
      <c r="G432" s="255">
        <f>ROUND(SUM(G430:G431),2)</f>
        <v>207615.25</v>
      </c>
    </row>
    <row r="433" spans="1:7">
      <c r="A433" s="276"/>
      <c r="B433" s="275"/>
      <c r="C433" s="276"/>
      <c r="D433" s="276"/>
      <c r="E433" s="383"/>
      <c r="F433" s="656"/>
      <c r="G433" s="264"/>
    </row>
    <row r="434" spans="1:7">
      <c r="A434" s="284" t="s">
        <v>4328</v>
      </c>
      <c r="B434" s="263" t="s">
        <v>2751</v>
      </c>
      <c r="C434" s="276"/>
      <c r="D434" s="276"/>
      <c r="E434" s="383"/>
      <c r="F434" s="656"/>
      <c r="G434" s="264"/>
    </row>
    <row r="435" spans="1:7">
      <c r="A435" s="290" t="s">
        <v>1003</v>
      </c>
      <c r="B435" s="290" t="s">
        <v>1004</v>
      </c>
      <c r="C435" s="290" t="s">
        <v>1005</v>
      </c>
      <c r="D435" s="290" t="s">
        <v>1006</v>
      </c>
      <c r="E435" s="373" t="s">
        <v>1007</v>
      </c>
      <c r="F435" s="363" t="s">
        <v>2637</v>
      </c>
      <c r="G435" s="291" t="s">
        <v>2638</v>
      </c>
    </row>
    <row r="436" spans="1:7">
      <c r="A436" s="294" t="s">
        <v>671</v>
      </c>
      <c r="B436" s="1016" t="s">
        <v>672</v>
      </c>
      <c r="C436" s="247"/>
      <c r="D436" s="247"/>
      <c r="E436" s="372"/>
      <c r="F436" s="360"/>
      <c r="G436" s="248"/>
    </row>
    <row r="437" spans="1:7">
      <c r="A437" s="294"/>
      <c r="B437" s="1016" t="s">
        <v>673</v>
      </c>
      <c r="C437" s="247" t="s">
        <v>674</v>
      </c>
      <c r="D437" s="247" t="s">
        <v>675</v>
      </c>
      <c r="E437" s="372">
        <v>0.15</v>
      </c>
      <c r="F437" s="360">
        <f>F421</f>
        <v>100000</v>
      </c>
      <c r="G437" s="248">
        <f>F437*E437</f>
        <v>15000</v>
      </c>
    </row>
    <row r="438" spans="1:7">
      <c r="A438" s="294"/>
      <c r="B438" s="1016" t="s">
        <v>683</v>
      </c>
      <c r="C438" s="247" t="s">
        <v>684</v>
      </c>
      <c r="D438" s="247" t="s">
        <v>675</v>
      </c>
      <c r="E438" s="372">
        <v>3.0000000000000001E-3</v>
      </c>
      <c r="F438" s="360">
        <f>F424</f>
        <v>140000</v>
      </c>
      <c r="G438" s="248">
        <f>F438*E438</f>
        <v>420</v>
      </c>
    </row>
    <row r="439" spans="1:7">
      <c r="A439" s="294"/>
      <c r="B439" s="1016"/>
      <c r="C439" s="247"/>
      <c r="D439" s="247"/>
      <c r="E439" s="1146" t="s">
        <v>685</v>
      </c>
      <c r="F439" s="1146"/>
      <c r="G439" s="248">
        <f>SUM(G437:G438)</f>
        <v>15420</v>
      </c>
    </row>
    <row r="440" spans="1:7">
      <c r="A440" s="294" t="s">
        <v>686</v>
      </c>
      <c r="B440" s="1016" t="s">
        <v>687</v>
      </c>
      <c r="C440" s="247"/>
      <c r="D440" s="247"/>
      <c r="E440" s="372"/>
      <c r="F440" s="360"/>
      <c r="G440" s="248"/>
    </row>
    <row r="441" spans="1:7">
      <c r="A441" s="294"/>
      <c r="B441" s="1016" t="s">
        <v>1366</v>
      </c>
      <c r="C441" s="247"/>
      <c r="D441" s="247" t="s">
        <v>690</v>
      </c>
      <c r="E441" s="372">
        <v>0.05</v>
      </c>
      <c r="F441" s="360">
        <f>'[44]UPAD-BAHAN-ALAT Cetak'!I78</f>
        <v>32625</v>
      </c>
      <c r="G441" s="248">
        <f>F441*E441</f>
        <v>1631.25</v>
      </c>
    </row>
    <row r="442" spans="1:7">
      <c r="A442" s="247"/>
      <c r="B442" s="1016"/>
      <c r="C442" s="247"/>
      <c r="D442" s="247"/>
      <c r="E442" s="1155" t="s">
        <v>702</v>
      </c>
      <c r="F442" s="1155"/>
      <c r="G442" s="248">
        <f>SUM(G441)</f>
        <v>1631.25</v>
      </c>
    </row>
    <row r="443" spans="1:7">
      <c r="A443" s="294" t="s">
        <v>703</v>
      </c>
      <c r="B443" s="1151" t="s">
        <v>3910</v>
      </c>
      <c r="C443" s="1151"/>
      <c r="D443" s="1151"/>
      <c r="E443" s="1151"/>
      <c r="F443" s="1151"/>
      <c r="G443" s="255">
        <f>G439+G442</f>
        <v>17051.25</v>
      </c>
    </row>
    <row r="444" spans="1:7">
      <c r="A444" s="294" t="s">
        <v>706</v>
      </c>
      <c r="B444" s="1148" t="s">
        <v>4876</v>
      </c>
      <c r="C444" s="1148"/>
      <c r="D444" s="1148"/>
      <c r="E444" s="1147" t="s">
        <v>4030</v>
      </c>
      <c r="F444" s="1147"/>
      <c r="G444" s="255">
        <f>G443*0.15</f>
        <v>2557.6875</v>
      </c>
    </row>
    <row r="445" spans="1:7">
      <c r="A445" s="294" t="s">
        <v>708</v>
      </c>
      <c r="B445" s="1149" t="s">
        <v>3911</v>
      </c>
      <c r="C445" s="1149"/>
      <c r="D445" s="1149"/>
      <c r="E445" s="1149"/>
      <c r="F445" s="1149"/>
      <c r="G445" s="255">
        <f>ROUND(SUM(G443:G444),2)</f>
        <v>19608.939999999999</v>
      </c>
    </row>
    <row r="446" spans="1:7">
      <c r="A446" s="276"/>
      <c r="B446" s="275"/>
      <c r="C446" s="276"/>
      <c r="D446" s="276"/>
      <c r="E446" s="383"/>
      <c r="F446" s="656"/>
      <c r="G446" s="264"/>
    </row>
    <row r="447" spans="1:7">
      <c r="A447" s="284" t="s">
        <v>4338</v>
      </c>
      <c r="B447" s="1001" t="s">
        <v>4659</v>
      </c>
      <c r="C447" s="252"/>
      <c r="D447" s="252"/>
      <c r="E447" s="374"/>
      <c r="F447" s="361"/>
      <c r="G447" s="253"/>
    </row>
    <row r="448" spans="1:7">
      <c r="A448" s="290" t="s">
        <v>1003</v>
      </c>
      <c r="B448" s="290" t="s">
        <v>1004</v>
      </c>
      <c r="C448" s="290" t="s">
        <v>1005</v>
      </c>
      <c r="D448" s="290" t="s">
        <v>1006</v>
      </c>
      <c r="E448" s="373" t="s">
        <v>1007</v>
      </c>
      <c r="F448" s="363" t="s">
        <v>2637</v>
      </c>
      <c r="G448" s="291" t="s">
        <v>2638</v>
      </c>
    </row>
    <row r="449" spans="1:7">
      <c r="A449" s="294" t="s">
        <v>671</v>
      </c>
      <c r="B449" s="1026" t="s">
        <v>672</v>
      </c>
      <c r="C449" s="247"/>
      <c r="D449" s="247"/>
      <c r="E449" s="372"/>
      <c r="F449" s="360"/>
      <c r="G449" s="248"/>
    </row>
    <row r="450" spans="1:7">
      <c r="A450" s="294"/>
      <c r="B450" s="1026" t="s">
        <v>673</v>
      </c>
      <c r="C450" s="247" t="s">
        <v>674</v>
      </c>
      <c r="D450" s="247" t="s">
        <v>675</v>
      </c>
      <c r="E450" s="372">
        <v>0.02</v>
      </c>
      <c r="F450" s="360">
        <f>F421</f>
        <v>100000</v>
      </c>
      <c r="G450" s="248">
        <f>F450*E450</f>
        <v>2000</v>
      </c>
    </row>
    <row r="451" spans="1:7">
      <c r="A451" s="294"/>
      <c r="B451" s="1026" t="s">
        <v>1368</v>
      </c>
      <c r="C451" s="247" t="s">
        <v>678</v>
      </c>
      <c r="D451" s="247" t="s">
        <v>675</v>
      </c>
      <c r="E451" s="372">
        <v>6.3E-2</v>
      </c>
      <c r="F451" s="360">
        <f>F422</f>
        <v>140000</v>
      </c>
      <c r="G451" s="248">
        <f>F451*E451</f>
        <v>8820</v>
      </c>
    </row>
    <row r="452" spans="1:7">
      <c r="A452" s="294"/>
      <c r="B452" s="1026" t="s">
        <v>751</v>
      </c>
      <c r="C452" s="247" t="s">
        <v>681</v>
      </c>
      <c r="D452" s="247" t="s">
        <v>675</v>
      </c>
      <c r="E452" s="372">
        <v>6.3E-3</v>
      </c>
      <c r="F452" s="360">
        <f>F423</f>
        <v>150000</v>
      </c>
      <c r="G452" s="248">
        <f>F452*E452</f>
        <v>945</v>
      </c>
    </row>
    <row r="453" spans="1:7">
      <c r="A453" s="294"/>
      <c r="B453" s="1026" t="s">
        <v>683</v>
      </c>
      <c r="C453" s="247" t="s">
        <v>684</v>
      </c>
      <c r="D453" s="247" t="s">
        <v>675</v>
      </c>
      <c r="E453" s="372">
        <v>3.0000000000000001E-3</v>
      </c>
      <c r="F453" s="360">
        <f>F424</f>
        <v>140000</v>
      </c>
      <c r="G453" s="248">
        <f>F453*E453</f>
        <v>420</v>
      </c>
    </row>
    <row r="454" spans="1:7">
      <c r="A454" s="294"/>
      <c r="B454" s="1026"/>
      <c r="C454" s="247"/>
      <c r="D454" s="247"/>
      <c r="E454" s="1146" t="s">
        <v>685</v>
      </c>
      <c r="F454" s="1146"/>
      <c r="G454" s="248">
        <f>SUM(G450:G453)</f>
        <v>12185</v>
      </c>
    </row>
    <row r="455" spans="1:7">
      <c r="A455" s="294" t="s">
        <v>686</v>
      </c>
      <c r="B455" s="1026" t="s">
        <v>687</v>
      </c>
      <c r="C455" s="247"/>
      <c r="D455" s="247"/>
      <c r="E455" s="372"/>
      <c r="F455" s="360"/>
      <c r="G455" s="248"/>
    </row>
    <row r="456" spans="1:7">
      <c r="A456" s="247"/>
      <c r="B456" s="1026" t="s">
        <v>1370</v>
      </c>
      <c r="C456" s="247"/>
      <c r="D456" s="247" t="s">
        <v>690</v>
      </c>
      <c r="E456" s="372">
        <v>0.1</v>
      </c>
      <c r="F456" s="360">
        <f>'UPAD-BAHAN-ALAT Cetak'!I80</f>
        <v>7500</v>
      </c>
      <c r="G456" s="248">
        <f>F456*E456</f>
        <v>750</v>
      </c>
    </row>
    <row r="457" spans="1:7">
      <c r="A457" s="247"/>
      <c r="B457" s="1026" t="s">
        <v>1371</v>
      </c>
      <c r="C457" s="247"/>
      <c r="D457" s="247" t="s">
        <v>690</v>
      </c>
      <c r="E457" s="372">
        <v>0.1</v>
      </c>
      <c r="F457" s="360">
        <f>'UPAD-BAHAN-ALAT Cetak'!I81</f>
        <v>40000</v>
      </c>
      <c r="G457" s="248">
        <f>F457*E457</f>
        <v>4000</v>
      </c>
    </row>
    <row r="458" spans="1:7">
      <c r="A458" s="247"/>
      <c r="B458" s="1026" t="s">
        <v>3613</v>
      </c>
      <c r="C458" s="247"/>
      <c r="D458" s="247" t="s">
        <v>690</v>
      </c>
      <c r="E458" s="372">
        <v>0.26</v>
      </c>
      <c r="F458" s="360">
        <f>'UPAD-BAHAN-ALAT Cetak'!I82</f>
        <v>80000</v>
      </c>
      <c r="G458" s="248">
        <f>F458*E458</f>
        <v>20800</v>
      </c>
    </row>
    <row r="459" spans="1:7">
      <c r="A459" s="247"/>
      <c r="B459" s="1027"/>
      <c r="C459" s="296"/>
      <c r="D459" s="296"/>
      <c r="E459" s="1146" t="s">
        <v>702</v>
      </c>
      <c r="F459" s="1146"/>
      <c r="G459" s="248">
        <f>SUM(G456:G458)</f>
        <v>25550</v>
      </c>
    </row>
    <row r="460" spans="1:7">
      <c r="A460" s="294" t="s">
        <v>703</v>
      </c>
      <c r="B460" s="1147" t="s">
        <v>3910</v>
      </c>
      <c r="C460" s="1147"/>
      <c r="D460" s="1147"/>
      <c r="E460" s="1147"/>
      <c r="F460" s="1147"/>
      <c r="G460" s="255">
        <f>G454+G459</f>
        <v>37735</v>
      </c>
    </row>
    <row r="461" spans="1:7">
      <c r="A461" s="294" t="s">
        <v>706</v>
      </c>
      <c r="B461" s="1148" t="s">
        <v>4876</v>
      </c>
      <c r="C461" s="1148"/>
      <c r="D461" s="1148"/>
      <c r="E461" s="1147" t="s">
        <v>4030</v>
      </c>
      <c r="F461" s="1147"/>
      <c r="G461" s="255">
        <f>G460*0.15</f>
        <v>5660.25</v>
      </c>
    </row>
    <row r="462" spans="1:7">
      <c r="A462" s="294" t="s">
        <v>708</v>
      </c>
      <c r="B462" s="1149" t="s">
        <v>3911</v>
      </c>
      <c r="C462" s="1149"/>
      <c r="D462" s="1149"/>
      <c r="E462" s="1149"/>
      <c r="F462" s="1149"/>
      <c r="G462" s="255">
        <f>ROUND(SUM(G460:G461),2)</f>
        <v>43395.25</v>
      </c>
    </row>
    <row r="463" spans="1:7">
      <c r="A463" s="276"/>
      <c r="B463" s="275"/>
      <c r="C463" s="276"/>
      <c r="D463" s="276"/>
      <c r="E463" s="383"/>
      <c r="F463" s="656"/>
      <c r="G463" s="264"/>
    </row>
    <row r="464" spans="1:7">
      <c r="A464" s="284" t="s">
        <v>4332</v>
      </c>
      <c r="B464" s="263" t="s">
        <v>4637</v>
      </c>
      <c r="C464" s="276"/>
      <c r="D464" s="276"/>
      <c r="E464" s="383"/>
      <c r="F464" s="656"/>
      <c r="G464" s="264"/>
    </row>
    <row r="465" spans="1:7">
      <c r="A465" s="290" t="s">
        <v>1003</v>
      </c>
      <c r="B465" s="293" t="s">
        <v>1004</v>
      </c>
      <c r="C465" s="293" t="s">
        <v>1005</v>
      </c>
      <c r="D465" s="293" t="s">
        <v>1006</v>
      </c>
      <c r="E465" s="379" t="s">
        <v>1007</v>
      </c>
      <c r="F465" s="389" t="s">
        <v>2637</v>
      </c>
      <c r="G465" s="291" t="s">
        <v>2638</v>
      </c>
    </row>
    <row r="466" spans="1:7">
      <c r="A466" s="294" t="s">
        <v>671</v>
      </c>
      <c r="B466" s="355" t="s">
        <v>672</v>
      </c>
      <c r="C466" s="283"/>
      <c r="D466" s="283"/>
      <c r="E466" s="428"/>
      <c r="F466" s="624"/>
      <c r="G466" s="248"/>
    </row>
    <row r="467" spans="1:7">
      <c r="A467" s="294"/>
      <c r="B467" s="355" t="s">
        <v>673</v>
      </c>
      <c r="C467" s="283" t="s">
        <v>674</v>
      </c>
      <c r="D467" s="283" t="s">
        <v>675</v>
      </c>
      <c r="E467" s="428">
        <v>7.0000000000000007E-2</v>
      </c>
      <c r="F467" s="360">
        <f>F450</f>
        <v>100000</v>
      </c>
      <c r="G467" s="248">
        <f>F467*E467</f>
        <v>7000.0000000000009</v>
      </c>
    </row>
    <row r="468" spans="1:7">
      <c r="A468" s="294"/>
      <c r="B468" s="355" t="s">
        <v>1368</v>
      </c>
      <c r="C468" s="283" t="s">
        <v>678</v>
      </c>
      <c r="D468" s="283" t="s">
        <v>675</v>
      </c>
      <c r="E468" s="428">
        <v>0.105</v>
      </c>
      <c r="F468" s="360">
        <f>F451</f>
        <v>140000</v>
      </c>
      <c r="G468" s="248">
        <f>F468*E468</f>
        <v>14700</v>
      </c>
    </row>
    <row r="469" spans="1:7">
      <c r="A469" s="294"/>
      <c r="B469" s="355" t="s">
        <v>751</v>
      </c>
      <c r="C469" s="283" t="s">
        <v>681</v>
      </c>
      <c r="D469" s="283" t="s">
        <v>675</v>
      </c>
      <c r="E469" s="428">
        <v>4.0000000000000001E-3</v>
      </c>
      <c r="F469" s="360">
        <f>F452</f>
        <v>150000</v>
      </c>
      <c r="G469" s="248">
        <f>F469*E469</f>
        <v>600</v>
      </c>
    </row>
    <row r="470" spans="1:7">
      <c r="A470" s="294"/>
      <c r="B470" s="355" t="s">
        <v>683</v>
      </c>
      <c r="C470" s="283" t="s">
        <v>684</v>
      </c>
      <c r="D470" s="283" t="s">
        <v>675</v>
      </c>
      <c r="E470" s="428">
        <v>3.0000000000000001E-3</v>
      </c>
      <c r="F470" s="360">
        <f>F453</f>
        <v>140000</v>
      </c>
      <c r="G470" s="248">
        <f>F470*E470</f>
        <v>420</v>
      </c>
    </row>
    <row r="471" spans="1:7">
      <c r="A471" s="294"/>
      <c r="B471" s="355"/>
      <c r="C471" s="662"/>
      <c r="D471" s="283"/>
      <c r="E471" s="428" t="s">
        <v>685</v>
      </c>
      <c r="F471" s="663"/>
      <c r="G471" s="248">
        <f>SUM(G467:G470)</f>
        <v>22720</v>
      </c>
    </row>
    <row r="472" spans="1:7">
      <c r="A472" s="294" t="s">
        <v>686</v>
      </c>
      <c r="B472" s="355" t="s">
        <v>687</v>
      </c>
      <c r="C472" s="662"/>
      <c r="D472" s="283"/>
      <c r="E472" s="428"/>
      <c r="F472" s="624"/>
      <c r="G472" s="248"/>
    </row>
    <row r="473" spans="1:7">
      <c r="A473" s="247"/>
      <c r="B473" s="355" t="s">
        <v>1369</v>
      </c>
      <c r="C473" s="662"/>
      <c r="D473" s="283" t="s">
        <v>690</v>
      </c>
      <c r="E473" s="428">
        <v>0.2</v>
      </c>
      <c r="F473" s="624">
        <f>'UPAD-BAHAN-ALAT Cetak'!I83</f>
        <v>40000</v>
      </c>
      <c r="G473" s="248">
        <f t="shared" ref="G473:G479" si="6">F473*E473</f>
        <v>8000</v>
      </c>
    </row>
    <row r="474" spans="1:7">
      <c r="A474" s="247"/>
      <c r="B474" s="355" t="s">
        <v>1370</v>
      </c>
      <c r="C474" s="662"/>
      <c r="D474" s="283" t="s">
        <v>690</v>
      </c>
      <c r="E474" s="428">
        <v>0.15</v>
      </c>
      <c r="F474" s="624">
        <f>F456</f>
        <v>7500</v>
      </c>
      <c r="G474" s="248">
        <f t="shared" si="6"/>
        <v>1125</v>
      </c>
    </row>
    <row r="475" spans="1:7">
      <c r="A475" s="247"/>
      <c r="B475" s="355" t="s">
        <v>1371</v>
      </c>
      <c r="C475" s="662"/>
      <c r="D475" s="283" t="s">
        <v>690</v>
      </c>
      <c r="E475" s="428">
        <v>0.17</v>
      </c>
      <c r="F475" s="624">
        <f>F457</f>
        <v>40000</v>
      </c>
      <c r="G475" s="248">
        <f t="shared" si="6"/>
        <v>6800.0000000000009</v>
      </c>
    </row>
    <row r="476" spans="1:7">
      <c r="A476" s="247"/>
      <c r="B476" s="355" t="s">
        <v>1372</v>
      </c>
      <c r="C476" s="662"/>
      <c r="D476" s="283" t="s">
        <v>690</v>
      </c>
      <c r="E476" s="428">
        <v>0.35</v>
      </c>
      <c r="F476" s="624">
        <f>'UPAD-BAHAN-ALAT Cetak'!I84</f>
        <v>80000</v>
      </c>
      <c r="G476" s="248">
        <f t="shared" si="6"/>
        <v>28000</v>
      </c>
    </row>
    <row r="477" spans="1:7">
      <c r="A477" s="247"/>
      <c r="B477" s="355" t="s">
        <v>1373</v>
      </c>
      <c r="C477" s="662"/>
      <c r="D477" s="283" t="s">
        <v>743</v>
      </c>
      <c r="E477" s="428">
        <v>0.01</v>
      </c>
      <c r="F477" s="624">
        <f>'UPAD-BAHAN-ALAT Cetak'!I85</f>
        <v>39150</v>
      </c>
      <c r="G477" s="248">
        <f t="shared" si="6"/>
        <v>391.5</v>
      </c>
    </row>
    <row r="478" spans="1:7">
      <c r="A478" s="247"/>
      <c r="B478" s="355" t="s">
        <v>1374</v>
      </c>
      <c r="C478" s="662"/>
      <c r="D478" s="283" t="s">
        <v>690</v>
      </c>
      <c r="E478" s="428">
        <v>0.03</v>
      </c>
      <c r="F478" s="624">
        <f>'UPAD-BAHAN-ALAT Cetak'!I86</f>
        <v>67860</v>
      </c>
      <c r="G478" s="248">
        <f t="shared" si="6"/>
        <v>2035.8</v>
      </c>
    </row>
    <row r="479" spans="1:7">
      <c r="A479" s="247"/>
      <c r="B479" s="355" t="s">
        <v>1375</v>
      </c>
      <c r="C479" s="662"/>
      <c r="D479" s="283" t="s">
        <v>715</v>
      </c>
      <c r="E479" s="428">
        <v>0.2</v>
      </c>
      <c r="F479" s="624">
        <f>'UPAD-BAHAN-ALAT Cetak'!I87</f>
        <v>16965</v>
      </c>
      <c r="G479" s="248">
        <f t="shared" si="6"/>
        <v>3393</v>
      </c>
    </row>
    <row r="480" spans="1:7">
      <c r="A480" s="247"/>
      <c r="B480" s="355"/>
      <c r="C480" s="662"/>
      <c r="D480" s="283"/>
      <c r="E480" s="428" t="s">
        <v>702</v>
      </c>
      <c r="F480" s="429"/>
      <c r="G480" s="248">
        <f>SUM(G473:G479)</f>
        <v>49745.3</v>
      </c>
    </row>
    <row r="481" spans="1:7">
      <c r="A481" s="294" t="s">
        <v>703</v>
      </c>
      <c r="B481" s="357" t="s">
        <v>3910</v>
      </c>
      <c r="C481" s="666"/>
      <c r="D481" s="610"/>
      <c r="E481" s="611"/>
      <c r="F481" s="639"/>
      <c r="G481" s="255">
        <f>G471+G480</f>
        <v>72465.3</v>
      </c>
    </row>
    <row r="482" spans="1:7">
      <c r="A482" s="294" t="s">
        <v>706</v>
      </c>
      <c r="B482" s="617" t="s">
        <v>4876</v>
      </c>
      <c r="C482" s="618"/>
      <c r="D482" s="618"/>
      <c r="E482" s="613" t="s">
        <v>4030</v>
      </c>
      <c r="F482" s="639"/>
      <c r="G482" s="255">
        <f>G481*0.15</f>
        <v>10869.795</v>
      </c>
    </row>
    <row r="483" spans="1:7">
      <c r="A483" s="294" t="s">
        <v>708</v>
      </c>
      <c r="B483" s="357" t="s">
        <v>3911</v>
      </c>
      <c r="C483" s="610"/>
      <c r="D483" s="610"/>
      <c r="E483" s="611"/>
      <c r="F483" s="639"/>
      <c r="G483" s="255">
        <f>ROUND(SUM(G481:G482),2)</f>
        <v>83335.100000000006</v>
      </c>
    </row>
    <row r="484" spans="1:7">
      <c r="A484" s="276"/>
      <c r="B484" s="275"/>
      <c r="C484" s="276"/>
      <c r="D484" s="276"/>
      <c r="E484" s="383"/>
      <c r="F484" s="656"/>
      <c r="G484" s="264"/>
    </row>
    <row r="485" spans="1:7">
      <c r="A485" s="285" t="s">
        <v>4459</v>
      </c>
      <c r="B485" s="1044" t="s">
        <v>4681</v>
      </c>
      <c r="C485" s="285"/>
      <c r="D485" s="285"/>
      <c r="E485" s="1045"/>
      <c r="F485" s="1046"/>
      <c r="G485" s="659"/>
    </row>
    <row r="486" spans="1:7">
      <c r="A486" s="290" t="s">
        <v>1003</v>
      </c>
      <c r="B486" s="290" t="s">
        <v>1004</v>
      </c>
      <c r="C486" s="290" t="s">
        <v>1005</v>
      </c>
      <c r="D486" s="290" t="s">
        <v>1006</v>
      </c>
      <c r="E486" s="373" t="s">
        <v>1007</v>
      </c>
      <c r="F486" s="363" t="s">
        <v>2637</v>
      </c>
      <c r="G486" s="291" t="s">
        <v>2638</v>
      </c>
    </row>
    <row r="487" spans="1:7">
      <c r="A487" s="294" t="s">
        <v>671</v>
      </c>
      <c r="B487" s="1017" t="s">
        <v>672</v>
      </c>
      <c r="C487" s="247"/>
      <c r="D487" s="247"/>
      <c r="E487" s="372"/>
      <c r="F487" s="360"/>
      <c r="G487" s="248"/>
    </row>
    <row r="488" spans="1:7">
      <c r="A488" s="247"/>
      <c r="B488" s="1016" t="s">
        <v>673</v>
      </c>
      <c r="C488" s="247" t="s">
        <v>674</v>
      </c>
      <c r="D488" s="247" t="s">
        <v>675</v>
      </c>
      <c r="E488" s="372">
        <v>0.25</v>
      </c>
      <c r="F488" s="360">
        <f>F467</f>
        <v>100000</v>
      </c>
      <c r="G488" s="248">
        <f>F488*E488</f>
        <v>25000</v>
      </c>
    </row>
    <row r="489" spans="1:7">
      <c r="A489" s="247"/>
      <c r="B489" s="1016" t="s">
        <v>4460</v>
      </c>
      <c r="C489" s="247" t="s">
        <v>678</v>
      </c>
      <c r="D489" s="247" t="s">
        <v>675</v>
      </c>
      <c r="E489" s="372">
        <v>0.25</v>
      </c>
      <c r="F489" s="360">
        <f>F468</f>
        <v>140000</v>
      </c>
      <c r="G489" s="248">
        <f t="shared" ref="G489:G491" si="7">F489*E489</f>
        <v>35000</v>
      </c>
    </row>
    <row r="490" spans="1:7">
      <c r="A490" s="247"/>
      <c r="B490" s="1016" t="s">
        <v>680</v>
      </c>
      <c r="C490" s="247" t="s">
        <v>681</v>
      </c>
      <c r="D490" s="247" t="s">
        <v>675</v>
      </c>
      <c r="E490" s="372">
        <v>2.5000000000000001E-2</v>
      </c>
      <c r="F490" s="360">
        <f>F469</f>
        <v>150000</v>
      </c>
      <c r="G490" s="248">
        <f t="shared" si="7"/>
        <v>3750</v>
      </c>
    </row>
    <row r="491" spans="1:7">
      <c r="A491" s="247"/>
      <c r="B491" s="1016" t="s">
        <v>683</v>
      </c>
      <c r="C491" s="247" t="s">
        <v>684</v>
      </c>
      <c r="D491" s="247" t="s">
        <v>675</v>
      </c>
      <c r="E491" s="372">
        <v>2.5000000000000001E-3</v>
      </c>
      <c r="F491" s="360">
        <f>F470</f>
        <v>140000</v>
      </c>
      <c r="G491" s="248">
        <f t="shared" si="7"/>
        <v>350</v>
      </c>
    </row>
    <row r="492" spans="1:7">
      <c r="A492" s="247"/>
      <c r="B492" s="1016"/>
      <c r="C492" s="247"/>
      <c r="D492" s="247"/>
      <c r="E492" s="1145" t="s">
        <v>685</v>
      </c>
      <c r="F492" s="1145"/>
      <c r="G492" s="248">
        <f>SUM(G488:G491)</f>
        <v>64100</v>
      </c>
    </row>
    <row r="493" spans="1:7">
      <c r="A493" s="294" t="s">
        <v>686</v>
      </c>
      <c r="B493" s="1017" t="s">
        <v>687</v>
      </c>
      <c r="C493" s="247"/>
      <c r="D493" s="247"/>
      <c r="E493" s="372"/>
      <c r="F493" s="360"/>
      <c r="G493" s="248"/>
    </row>
    <row r="494" spans="1:7">
      <c r="A494" s="247"/>
      <c r="B494" s="1047" t="s">
        <v>4682</v>
      </c>
      <c r="C494" s="247"/>
      <c r="D494" s="247" t="s">
        <v>1452</v>
      </c>
      <c r="E494" s="1048">
        <v>9</v>
      </c>
      <c r="F494" s="360">
        <f>'UPAD-BAHAN-ALAT Cetak'!I88</f>
        <v>15660</v>
      </c>
      <c r="G494" s="248">
        <f>F494*E494</f>
        <v>140940</v>
      </c>
    </row>
    <row r="495" spans="1:7">
      <c r="A495" s="247"/>
      <c r="B495" s="1047" t="s">
        <v>3227</v>
      </c>
      <c r="C495" s="247"/>
      <c r="D495" s="247" t="s">
        <v>3228</v>
      </c>
      <c r="E495" s="1048">
        <v>3</v>
      </c>
      <c r="F495" s="360">
        <f>'UPAD-BAHAN-ALAT Cetak'!I89</f>
        <v>13000</v>
      </c>
      <c r="G495" s="248">
        <f t="shared" ref="G495:G496" si="8">F495*E495</f>
        <v>39000</v>
      </c>
    </row>
    <row r="496" spans="1:7">
      <c r="A496" s="247"/>
      <c r="B496" s="1047" t="s">
        <v>3655</v>
      </c>
      <c r="C496" s="247"/>
      <c r="D496" s="247" t="s">
        <v>1011</v>
      </c>
      <c r="E496" s="1048">
        <v>1</v>
      </c>
      <c r="F496" s="360">
        <v>1000</v>
      </c>
      <c r="G496" s="248">
        <f t="shared" si="8"/>
        <v>1000</v>
      </c>
    </row>
    <row r="497" spans="1:7">
      <c r="A497" s="247"/>
      <c r="B497" s="1018"/>
      <c r="C497" s="296"/>
      <c r="D497" s="296"/>
      <c r="E497" s="1146" t="s">
        <v>702</v>
      </c>
      <c r="F497" s="1146"/>
      <c r="G497" s="248">
        <f>SUM(G494:G496)</f>
        <v>180940</v>
      </c>
    </row>
    <row r="498" spans="1:7">
      <c r="A498" s="294" t="s">
        <v>703</v>
      </c>
      <c r="B498" s="1147" t="s">
        <v>3910</v>
      </c>
      <c r="C498" s="1147"/>
      <c r="D498" s="1147"/>
      <c r="E498" s="1147"/>
      <c r="F498" s="1147"/>
      <c r="G498" s="255">
        <f>G492+G497</f>
        <v>245040</v>
      </c>
    </row>
    <row r="499" spans="1:7">
      <c r="A499" s="294" t="s">
        <v>706</v>
      </c>
      <c r="B499" s="1148" t="s">
        <v>4876</v>
      </c>
      <c r="C499" s="1148"/>
      <c r="D499" s="1148"/>
      <c r="E499" s="1147" t="s">
        <v>4030</v>
      </c>
      <c r="F499" s="1147"/>
      <c r="G499" s="255">
        <f>G498*0.15</f>
        <v>36756</v>
      </c>
    </row>
    <row r="500" spans="1:7">
      <c r="A500" s="294" t="s">
        <v>708</v>
      </c>
      <c r="B500" s="1147" t="s">
        <v>3911</v>
      </c>
      <c r="C500" s="1147"/>
      <c r="D500" s="1147"/>
      <c r="E500" s="1147"/>
      <c r="F500" s="1147"/>
      <c r="G500" s="255">
        <f>ROUND(SUM(G498:G499),2)</f>
        <v>281796</v>
      </c>
    </row>
    <row r="501" spans="1:7">
      <c r="A501" s="276"/>
      <c r="B501" s="275"/>
      <c r="C501" s="276"/>
      <c r="D501" s="276"/>
      <c r="E501" s="383"/>
      <c r="F501" s="656"/>
      <c r="G501" s="264"/>
    </row>
    <row r="502" spans="1:7">
      <c r="A502" s="285" t="s">
        <v>4471</v>
      </c>
      <c r="B502" s="1044" t="s">
        <v>4781</v>
      </c>
      <c r="C502" s="276"/>
      <c r="D502" s="276"/>
      <c r="E502" s="383"/>
      <c r="F502" s="656"/>
      <c r="G502" s="264"/>
    </row>
    <row r="503" spans="1:7">
      <c r="A503" s="290" t="s">
        <v>1003</v>
      </c>
      <c r="B503" s="290" t="s">
        <v>1004</v>
      </c>
      <c r="C503" s="290" t="s">
        <v>1005</v>
      </c>
      <c r="D503" s="290" t="s">
        <v>1006</v>
      </c>
      <c r="E503" s="373" t="s">
        <v>1007</v>
      </c>
      <c r="F503" s="363" t="s">
        <v>2637</v>
      </c>
      <c r="G503" s="291" t="s">
        <v>2638</v>
      </c>
    </row>
    <row r="504" spans="1:7">
      <c r="A504" s="294" t="s">
        <v>671</v>
      </c>
      <c r="B504" s="1017" t="s">
        <v>672</v>
      </c>
      <c r="C504" s="247"/>
      <c r="D504" s="247"/>
      <c r="E504" s="372"/>
      <c r="F504" s="360"/>
      <c r="G504" s="248"/>
    </row>
    <row r="505" spans="1:7">
      <c r="A505" s="247"/>
      <c r="B505" s="1016" t="s">
        <v>673</v>
      </c>
      <c r="C505" s="247" t="s">
        <v>674</v>
      </c>
      <c r="D505" s="247" t="s">
        <v>675</v>
      </c>
      <c r="E505" s="372">
        <v>0.1</v>
      </c>
      <c r="F505" s="360">
        <f>F488</f>
        <v>100000</v>
      </c>
      <c r="G505" s="248">
        <f>F505*E505</f>
        <v>10000</v>
      </c>
    </row>
    <row r="506" spans="1:7">
      <c r="A506" s="247"/>
      <c r="B506" s="1016" t="s">
        <v>4460</v>
      </c>
      <c r="C506" s="247" t="s">
        <v>678</v>
      </c>
      <c r="D506" s="247" t="s">
        <v>675</v>
      </c>
      <c r="E506" s="372">
        <v>0.1</v>
      </c>
      <c r="F506" s="360">
        <f>F489</f>
        <v>140000</v>
      </c>
      <c r="G506" s="248">
        <f t="shared" ref="G506:G508" si="9">F506*E506</f>
        <v>14000</v>
      </c>
    </row>
    <row r="507" spans="1:7">
      <c r="A507" s="247"/>
      <c r="B507" s="1016" t="s">
        <v>680</v>
      </c>
      <c r="C507" s="247" t="s">
        <v>681</v>
      </c>
      <c r="D507" s="247" t="s">
        <v>675</v>
      </c>
      <c r="E507" s="372">
        <v>0.01</v>
      </c>
      <c r="F507" s="360">
        <f>F490</f>
        <v>150000</v>
      </c>
      <c r="G507" s="248">
        <f t="shared" si="9"/>
        <v>1500</v>
      </c>
    </row>
    <row r="508" spans="1:7">
      <c r="A508" s="247"/>
      <c r="B508" s="1016" t="s">
        <v>683</v>
      </c>
      <c r="C508" s="247" t="s">
        <v>684</v>
      </c>
      <c r="D508" s="247" t="s">
        <v>675</v>
      </c>
      <c r="E508" s="372">
        <v>1E-3</v>
      </c>
      <c r="F508" s="360">
        <f>F491</f>
        <v>140000</v>
      </c>
      <c r="G508" s="248">
        <f t="shared" si="9"/>
        <v>140</v>
      </c>
    </row>
    <row r="509" spans="1:7">
      <c r="A509" s="247"/>
      <c r="B509" s="1016"/>
      <c r="C509" s="247"/>
      <c r="D509" s="247"/>
      <c r="E509" s="1145" t="s">
        <v>685</v>
      </c>
      <c r="F509" s="1145"/>
      <c r="G509" s="248">
        <f>SUM(G505:G508)</f>
        <v>25640</v>
      </c>
    </row>
    <row r="510" spans="1:7">
      <c r="A510" s="294" t="s">
        <v>686</v>
      </c>
      <c r="B510" s="1017" t="s">
        <v>687</v>
      </c>
      <c r="C510" s="247"/>
      <c r="D510" s="247"/>
      <c r="E510" s="372"/>
      <c r="F510" s="360"/>
      <c r="G510" s="248"/>
    </row>
    <row r="511" spans="1:7">
      <c r="A511" s="247"/>
      <c r="B511" s="1047" t="s">
        <v>4473</v>
      </c>
      <c r="C511" s="247"/>
      <c r="D511" s="247" t="s">
        <v>1346</v>
      </c>
      <c r="E511" s="1048">
        <v>1</v>
      </c>
      <c r="F511" s="360">
        <f>'UPAD-BAHAN-ALAT Cetak'!I90</f>
        <v>45675</v>
      </c>
      <c r="G511" s="248">
        <f>F511*E511</f>
        <v>45675</v>
      </c>
    </row>
    <row r="512" spans="1:7">
      <c r="A512" s="247"/>
      <c r="B512" s="1047" t="s">
        <v>3655</v>
      </c>
      <c r="C512" s="247"/>
      <c r="D512" s="247" t="s">
        <v>1011</v>
      </c>
      <c r="E512" s="1048">
        <v>1</v>
      </c>
      <c r="F512" s="360">
        <v>1000</v>
      </c>
      <c r="G512" s="248">
        <f t="shared" ref="G512" si="10">F512*E512</f>
        <v>1000</v>
      </c>
    </row>
    <row r="513" spans="1:7">
      <c r="A513" s="247"/>
      <c r="B513" s="1018"/>
      <c r="C513" s="296"/>
      <c r="D513" s="296"/>
      <c r="E513" s="1146" t="s">
        <v>702</v>
      </c>
      <c r="F513" s="1146"/>
      <c r="G513" s="248">
        <f>SUM(G511:G512)</f>
        <v>46675</v>
      </c>
    </row>
    <row r="514" spans="1:7">
      <c r="A514" s="294" t="s">
        <v>703</v>
      </c>
      <c r="B514" s="1147" t="s">
        <v>3910</v>
      </c>
      <c r="C514" s="1147"/>
      <c r="D514" s="1147"/>
      <c r="E514" s="1147"/>
      <c r="F514" s="1147"/>
      <c r="G514" s="255">
        <f>G509+G513</f>
        <v>72315</v>
      </c>
    </row>
    <row r="515" spans="1:7">
      <c r="A515" s="294" t="s">
        <v>706</v>
      </c>
      <c r="B515" s="1148" t="s">
        <v>4876</v>
      </c>
      <c r="C515" s="1148"/>
      <c r="D515" s="1148"/>
      <c r="E515" s="1147" t="s">
        <v>4030</v>
      </c>
      <c r="F515" s="1147"/>
      <c r="G515" s="255">
        <f>G514*0.15</f>
        <v>10847.25</v>
      </c>
    </row>
    <row r="516" spans="1:7">
      <c r="A516" s="294" t="s">
        <v>708</v>
      </c>
      <c r="B516" s="1147" t="s">
        <v>3911</v>
      </c>
      <c r="C516" s="1147"/>
      <c r="D516" s="1147"/>
      <c r="E516" s="1147"/>
      <c r="F516" s="1147"/>
      <c r="G516" s="255">
        <f>ROUND(SUM(G514:G515),2)</f>
        <v>83162.25</v>
      </c>
    </row>
    <row r="517" spans="1:7">
      <c r="A517" s="276"/>
      <c r="B517" s="275"/>
      <c r="C517" s="276"/>
      <c r="D517" s="276"/>
      <c r="E517" s="383"/>
      <c r="F517" s="656"/>
      <c r="G517" s="264"/>
    </row>
    <row r="518" spans="1:7">
      <c r="A518" s="285" t="s">
        <v>4476</v>
      </c>
      <c r="B518" s="1044" t="s">
        <v>4477</v>
      </c>
      <c r="C518" s="276"/>
      <c r="D518" s="276"/>
      <c r="E518" s="383"/>
      <c r="F518" s="656"/>
      <c r="G518" s="264"/>
    </row>
    <row r="519" spans="1:7">
      <c r="A519" s="290" t="s">
        <v>1003</v>
      </c>
      <c r="B519" s="290" t="s">
        <v>1004</v>
      </c>
      <c r="C519" s="290" t="s">
        <v>1005</v>
      </c>
      <c r="D519" s="290" t="s">
        <v>1006</v>
      </c>
      <c r="E519" s="373" t="s">
        <v>1007</v>
      </c>
      <c r="F519" s="363" t="s">
        <v>2637</v>
      </c>
      <c r="G519" s="291" t="s">
        <v>2638</v>
      </c>
    </row>
    <row r="520" spans="1:7">
      <c r="A520" s="294" t="s">
        <v>671</v>
      </c>
      <c r="B520" s="1017" t="s">
        <v>672</v>
      </c>
      <c r="C520" s="247"/>
      <c r="D520" s="247"/>
      <c r="E520" s="372"/>
      <c r="F520" s="360"/>
      <c r="G520" s="248"/>
    </row>
    <row r="521" spans="1:7">
      <c r="A521" s="247"/>
      <c r="B521" s="1016" t="s">
        <v>673</v>
      </c>
      <c r="C521" s="247" t="s">
        <v>674</v>
      </c>
      <c r="D521" s="247" t="s">
        <v>675</v>
      </c>
      <c r="E521" s="372">
        <v>0.1</v>
      </c>
      <c r="F521" s="360">
        <f>F505</f>
        <v>100000</v>
      </c>
      <c r="G521" s="248">
        <f>F521*E521</f>
        <v>10000</v>
      </c>
    </row>
    <row r="522" spans="1:7">
      <c r="A522" s="247"/>
      <c r="B522" s="1016" t="s">
        <v>4460</v>
      </c>
      <c r="C522" s="247" t="s">
        <v>678</v>
      </c>
      <c r="D522" s="247" t="s">
        <v>675</v>
      </c>
      <c r="E522" s="372">
        <v>0.1</v>
      </c>
      <c r="F522" s="360">
        <f>F506</f>
        <v>140000</v>
      </c>
      <c r="G522" s="248">
        <f t="shared" ref="G522:G524" si="11">F522*E522</f>
        <v>14000</v>
      </c>
    </row>
    <row r="523" spans="1:7">
      <c r="A523" s="247"/>
      <c r="B523" s="1016" t="s">
        <v>680</v>
      </c>
      <c r="C523" s="247" t="s">
        <v>681</v>
      </c>
      <c r="D523" s="247" t="s">
        <v>675</v>
      </c>
      <c r="E523" s="372">
        <v>0.01</v>
      </c>
      <c r="F523" s="360">
        <f>F507</f>
        <v>150000</v>
      </c>
      <c r="G523" s="248">
        <f t="shared" si="11"/>
        <v>1500</v>
      </c>
    </row>
    <row r="524" spans="1:7">
      <c r="A524" s="247"/>
      <c r="B524" s="1016" t="s">
        <v>683</v>
      </c>
      <c r="C524" s="247" t="s">
        <v>684</v>
      </c>
      <c r="D524" s="247" t="s">
        <v>675</v>
      </c>
      <c r="E524" s="372">
        <v>1E-3</v>
      </c>
      <c r="F524" s="360">
        <f>F508</f>
        <v>140000</v>
      </c>
      <c r="G524" s="248">
        <f t="shared" si="11"/>
        <v>140</v>
      </c>
    </row>
    <row r="525" spans="1:7">
      <c r="A525" s="247"/>
      <c r="B525" s="1016"/>
      <c r="C525" s="247"/>
      <c r="D525" s="247"/>
      <c r="E525" s="1145" t="s">
        <v>685</v>
      </c>
      <c r="F525" s="1145"/>
      <c r="G525" s="248">
        <f>SUM(G521:G524)</f>
        <v>25640</v>
      </c>
    </row>
    <row r="526" spans="1:7">
      <c r="A526" s="294" t="s">
        <v>686</v>
      </c>
      <c r="B526" s="1017" t="s">
        <v>687</v>
      </c>
      <c r="C526" s="247"/>
      <c r="D526" s="247"/>
      <c r="E526" s="372"/>
      <c r="F526" s="360"/>
      <c r="G526" s="248"/>
    </row>
    <row r="527" spans="1:7">
      <c r="A527" s="247"/>
      <c r="B527" s="1047" t="s">
        <v>3663</v>
      </c>
      <c r="C527" s="247"/>
      <c r="D527" s="247" t="s">
        <v>1423</v>
      </c>
      <c r="E527" s="1048">
        <v>1</v>
      </c>
      <c r="F527" s="360">
        <f>'UPAD-BAHAN-ALAT Cetak'!I91</f>
        <v>15660</v>
      </c>
      <c r="G527" s="248">
        <f>F527*E527</f>
        <v>15660</v>
      </c>
    </row>
    <row r="528" spans="1:7">
      <c r="A528" s="247"/>
      <c r="B528" s="1047" t="s">
        <v>3655</v>
      </c>
      <c r="C528" s="247"/>
      <c r="D528" s="247" t="s">
        <v>1011</v>
      </c>
      <c r="E528" s="1048">
        <v>1</v>
      </c>
      <c r="F528" s="360">
        <v>1000</v>
      </c>
      <c r="G528" s="248">
        <f t="shared" ref="G528" si="12">F528*E528</f>
        <v>1000</v>
      </c>
    </row>
    <row r="529" spans="1:7">
      <c r="A529" s="247"/>
      <c r="B529" s="1018"/>
      <c r="C529" s="296"/>
      <c r="D529" s="296"/>
      <c r="E529" s="1146" t="s">
        <v>702</v>
      </c>
      <c r="F529" s="1146"/>
      <c r="G529" s="248">
        <f>SUM(G527:G528)</f>
        <v>16660</v>
      </c>
    </row>
    <row r="530" spans="1:7">
      <c r="A530" s="294" t="s">
        <v>703</v>
      </c>
      <c r="B530" s="1147" t="s">
        <v>3910</v>
      </c>
      <c r="C530" s="1147"/>
      <c r="D530" s="1147"/>
      <c r="E530" s="1147"/>
      <c r="F530" s="1147"/>
      <c r="G530" s="255">
        <f>G525+G529</f>
        <v>42300</v>
      </c>
    </row>
    <row r="531" spans="1:7">
      <c r="A531" s="294" t="s">
        <v>706</v>
      </c>
      <c r="B531" s="1148" t="s">
        <v>4876</v>
      </c>
      <c r="C531" s="1148"/>
      <c r="D531" s="1148"/>
      <c r="E531" s="1147" t="s">
        <v>4030</v>
      </c>
      <c r="F531" s="1147"/>
      <c r="G531" s="255">
        <f>G530*0.15</f>
        <v>6345</v>
      </c>
    </row>
    <row r="532" spans="1:7">
      <c r="A532" s="294" t="s">
        <v>708</v>
      </c>
      <c r="B532" s="1147" t="s">
        <v>3911</v>
      </c>
      <c r="C532" s="1147"/>
      <c r="D532" s="1147"/>
      <c r="E532" s="1147"/>
      <c r="F532" s="1147"/>
      <c r="G532" s="255">
        <f>ROUND(SUM(G530:G531),2)</f>
        <v>48645</v>
      </c>
    </row>
    <row r="533" spans="1:7">
      <c r="A533" s="276"/>
      <c r="B533" s="275"/>
      <c r="C533" s="276"/>
      <c r="D533" s="276"/>
      <c r="E533" s="383"/>
      <c r="F533" s="656"/>
      <c r="G533" s="264"/>
    </row>
    <row r="534" spans="1:7">
      <c r="A534" s="285" t="s">
        <v>4478</v>
      </c>
      <c r="B534" s="1044" t="s">
        <v>4479</v>
      </c>
      <c r="C534" s="276"/>
      <c r="D534" s="276"/>
      <c r="E534" s="383"/>
      <c r="F534" s="656"/>
      <c r="G534" s="264"/>
    </row>
    <row r="535" spans="1:7">
      <c r="A535" s="290" t="s">
        <v>1003</v>
      </c>
      <c r="B535" s="290" t="s">
        <v>1004</v>
      </c>
      <c r="C535" s="290" t="s">
        <v>1005</v>
      </c>
      <c r="D535" s="290" t="s">
        <v>1006</v>
      </c>
      <c r="E535" s="373" t="s">
        <v>1007</v>
      </c>
      <c r="F535" s="363" t="s">
        <v>2637</v>
      </c>
      <c r="G535" s="291" t="s">
        <v>2638</v>
      </c>
    </row>
    <row r="536" spans="1:7">
      <c r="A536" s="294" t="s">
        <v>671</v>
      </c>
      <c r="B536" s="1017" t="s">
        <v>672</v>
      </c>
      <c r="C536" s="247"/>
      <c r="D536" s="247"/>
      <c r="E536" s="372"/>
      <c r="F536" s="360"/>
      <c r="G536" s="248"/>
    </row>
    <row r="537" spans="1:7">
      <c r="A537" s="247"/>
      <c r="B537" s="1016" t="s">
        <v>673</v>
      </c>
      <c r="C537" s="247" t="s">
        <v>674</v>
      </c>
      <c r="D537" s="247" t="s">
        <v>675</v>
      </c>
      <c r="E537" s="372">
        <v>0.1</v>
      </c>
      <c r="F537" s="360">
        <f>F521</f>
        <v>100000</v>
      </c>
      <c r="G537" s="248">
        <f>F537*E537</f>
        <v>10000</v>
      </c>
    </row>
    <row r="538" spans="1:7">
      <c r="A538" s="247"/>
      <c r="B538" s="1016" t="s">
        <v>4460</v>
      </c>
      <c r="C538" s="247" t="s">
        <v>678</v>
      </c>
      <c r="D538" s="247" t="s">
        <v>675</v>
      </c>
      <c r="E538" s="372">
        <v>0.1</v>
      </c>
      <c r="F538" s="360">
        <f>F522</f>
        <v>140000</v>
      </c>
      <c r="G538" s="248">
        <f t="shared" ref="G538:G540" si="13">F538*E538</f>
        <v>14000</v>
      </c>
    </row>
    <row r="539" spans="1:7">
      <c r="A539" s="247"/>
      <c r="B539" s="1016" t="s">
        <v>680</v>
      </c>
      <c r="C539" s="247" t="s">
        <v>681</v>
      </c>
      <c r="D539" s="247" t="s">
        <v>675</v>
      </c>
      <c r="E539" s="372">
        <v>0.01</v>
      </c>
      <c r="F539" s="360">
        <f>F523</f>
        <v>150000</v>
      </c>
      <c r="G539" s="248">
        <f t="shared" si="13"/>
        <v>1500</v>
      </c>
    </row>
    <row r="540" spans="1:7">
      <c r="A540" s="247"/>
      <c r="B540" s="1016" t="s">
        <v>683</v>
      </c>
      <c r="C540" s="247" t="s">
        <v>684</v>
      </c>
      <c r="D540" s="247" t="s">
        <v>675</v>
      </c>
      <c r="E540" s="372">
        <v>1E-3</v>
      </c>
      <c r="F540" s="360">
        <f>F524</f>
        <v>140000</v>
      </c>
      <c r="G540" s="248">
        <f t="shared" si="13"/>
        <v>140</v>
      </c>
    </row>
    <row r="541" spans="1:7">
      <c r="A541" s="247"/>
      <c r="B541" s="1016"/>
      <c r="C541" s="247"/>
      <c r="D541" s="247"/>
      <c r="E541" s="1145" t="s">
        <v>685</v>
      </c>
      <c r="F541" s="1145"/>
      <c r="G541" s="248">
        <f>SUM(G537:G540)</f>
        <v>25640</v>
      </c>
    </row>
    <row r="542" spans="1:7">
      <c r="A542" s="294" t="s">
        <v>686</v>
      </c>
      <c r="B542" s="1017" t="s">
        <v>687</v>
      </c>
      <c r="C542" s="247"/>
      <c r="D542" s="247"/>
      <c r="E542" s="372"/>
      <c r="F542" s="360"/>
      <c r="G542" s="248"/>
    </row>
    <row r="543" spans="1:7">
      <c r="A543" s="247"/>
      <c r="B543" s="1047" t="s">
        <v>3664</v>
      </c>
      <c r="C543" s="247"/>
      <c r="D543" s="247" t="s">
        <v>1423</v>
      </c>
      <c r="E543" s="1048">
        <v>1</v>
      </c>
      <c r="F543" s="360">
        <f>'UPAD-BAHAN-ALAT Cetak'!I92</f>
        <v>24050</v>
      </c>
      <c r="G543" s="248">
        <f>F543*E543</f>
        <v>24050</v>
      </c>
    </row>
    <row r="544" spans="1:7">
      <c r="A544" s="247"/>
      <c r="B544" s="1047" t="s">
        <v>3655</v>
      </c>
      <c r="C544" s="247"/>
      <c r="D544" s="247" t="s">
        <v>1011</v>
      </c>
      <c r="E544" s="1048">
        <v>1</v>
      </c>
      <c r="F544" s="360">
        <v>1000</v>
      </c>
      <c r="G544" s="248">
        <f t="shared" ref="G544" si="14">F544*E544</f>
        <v>1000</v>
      </c>
    </row>
    <row r="545" spans="1:7">
      <c r="A545" s="247"/>
      <c r="B545" s="1018"/>
      <c r="C545" s="296"/>
      <c r="D545" s="296"/>
      <c r="E545" s="1146" t="s">
        <v>702</v>
      </c>
      <c r="F545" s="1146"/>
      <c r="G545" s="248">
        <f>SUM(G543:G544)</f>
        <v>25050</v>
      </c>
    </row>
    <row r="546" spans="1:7">
      <c r="A546" s="294" t="s">
        <v>703</v>
      </c>
      <c r="B546" s="1147" t="s">
        <v>3910</v>
      </c>
      <c r="C546" s="1147"/>
      <c r="D546" s="1147"/>
      <c r="E546" s="1147"/>
      <c r="F546" s="1147"/>
      <c r="G546" s="255">
        <f>G541+G545</f>
        <v>50690</v>
      </c>
    </row>
    <row r="547" spans="1:7">
      <c r="A547" s="294" t="s">
        <v>706</v>
      </c>
      <c r="B547" s="1148" t="s">
        <v>4876</v>
      </c>
      <c r="C547" s="1148"/>
      <c r="D547" s="1148"/>
      <c r="E547" s="1147" t="s">
        <v>4030</v>
      </c>
      <c r="F547" s="1147"/>
      <c r="G547" s="255">
        <f>G546*0.15</f>
        <v>7603.5</v>
      </c>
    </row>
    <row r="548" spans="1:7">
      <c r="A548" s="294" t="s">
        <v>708</v>
      </c>
      <c r="B548" s="1147" t="s">
        <v>3911</v>
      </c>
      <c r="C548" s="1147"/>
      <c r="D548" s="1147"/>
      <c r="E548" s="1147"/>
      <c r="F548" s="1147"/>
      <c r="G548" s="255">
        <f>ROUND(SUM(G546:G547),2)</f>
        <v>58293.5</v>
      </c>
    </row>
    <row r="549" spans="1:7">
      <c r="A549" s="276"/>
      <c r="B549" s="275"/>
      <c r="C549" s="276"/>
      <c r="D549" s="276"/>
      <c r="E549" s="383"/>
      <c r="F549" s="656"/>
      <c r="G549" s="264"/>
    </row>
    <row r="550" spans="1:7">
      <c r="A550" s="285" t="s">
        <v>4480</v>
      </c>
      <c r="B550" s="1044" t="s">
        <v>4481</v>
      </c>
      <c r="C550" s="276"/>
      <c r="D550" s="276"/>
      <c r="E550" s="383"/>
      <c r="F550" s="656"/>
      <c r="G550" s="264"/>
    </row>
    <row r="551" spans="1:7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7">
      <c r="A552" s="294" t="s">
        <v>671</v>
      </c>
      <c r="B552" s="1017" t="s">
        <v>672</v>
      </c>
      <c r="C552" s="247"/>
      <c r="D552" s="247"/>
      <c r="E552" s="372"/>
      <c r="F552" s="360"/>
      <c r="G552" s="248"/>
    </row>
    <row r="553" spans="1:7">
      <c r="A553" s="247"/>
      <c r="B553" s="1016" t="s">
        <v>673</v>
      </c>
      <c r="C553" s="247" t="s">
        <v>674</v>
      </c>
      <c r="D553" s="247" t="s">
        <v>675</v>
      </c>
      <c r="E553" s="372">
        <v>0.1</v>
      </c>
      <c r="F553" s="360">
        <f>F537</f>
        <v>100000</v>
      </c>
      <c r="G553" s="248">
        <f>F553*E553</f>
        <v>10000</v>
      </c>
    </row>
    <row r="554" spans="1:7">
      <c r="A554" s="247"/>
      <c r="B554" s="1016" t="s">
        <v>4460</v>
      </c>
      <c r="C554" s="247" t="s">
        <v>678</v>
      </c>
      <c r="D554" s="247" t="s">
        <v>675</v>
      </c>
      <c r="E554" s="372">
        <v>0.1</v>
      </c>
      <c r="F554" s="360">
        <f>F538</f>
        <v>140000</v>
      </c>
      <c r="G554" s="248">
        <f t="shared" ref="G554:G556" si="15">F554*E554</f>
        <v>14000</v>
      </c>
    </row>
    <row r="555" spans="1:7">
      <c r="A555" s="247"/>
      <c r="B555" s="1016" t="s">
        <v>680</v>
      </c>
      <c r="C555" s="247" t="s">
        <v>681</v>
      </c>
      <c r="D555" s="247" t="s">
        <v>675</v>
      </c>
      <c r="E555" s="372">
        <v>0.01</v>
      </c>
      <c r="F555" s="360">
        <f>F539</f>
        <v>150000</v>
      </c>
      <c r="G555" s="248">
        <f t="shared" si="15"/>
        <v>1500</v>
      </c>
    </row>
    <row r="556" spans="1:7">
      <c r="A556" s="247"/>
      <c r="B556" s="1016" t="s">
        <v>683</v>
      </c>
      <c r="C556" s="247" t="s">
        <v>684</v>
      </c>
      <c r="D556" s="247" t="s">
        <v>675</v>
      </c>
      <c r="E556" s="372">
        <v>1E-3</v>
      </c>
      <c r="F556" s="360">
        <f>F540</f>
        <v>140000</v>
      </c>
      <c r="G556" s="248">
        <f t="shared" si="15"/>
        <v>140</v>
      </c>
    </row>
    <row r="557" spans="1:7">
      <c r="A557" s="247"/>
      <c r="B557" s="1016"/>
      <c r="C557" s="247"/>
      <c r="D557" s="247"/>
      <c r="E557" s="1145" t="s">
        <v>685</v>
      </c>
      <c r="F557" s="1145"/>
      <c r="G557" s="248">
        <f>SUM(G553:G556)</f>
        <v>25640</v>
      </c>
    </row>
    <row r="558" spans="1:7">
      <c r="A558" s="294" t="s">
        <v>686</v>
      </c>
      <c r="B558" s="1017" t="s">
        <v>687</v>
      </c>
      <c r="C558" s="247"/>
      <c r="D558" s="247"/>
      <c r="E558" s="372"/>
      <c r="F558" s="360"/>
      <c r="G558" s="248"/>
    </row>
    <row r="559" spans="1:7">
      <c r="A559" s="247"/>
      <c r="B559" s="1047" t="s">
        <v>3665</v>
      </c>
      <c r="C559" s="247"/>
      <c r="D559" s="247" t="s">
        <v>1423</v>
      </c>
      <c r="E559" s="1048">
        <v>1</v>
      </c>
      <c r="F559" s="360">
        <f>'UPAD-BAHAN-ALAT Cetak'!I93</f>
        <v>45500</v>
      </c>
      <c r="G559" s="248">
        <f>F559*E559</f>
        <v>45500</v>
      </c>
    </row>
    <row r="560" spans="1:7">
      <c r="A560" s="247"/>
      <c r="B560" s="1047" t="s">
        <v>3655</v>
      </c>
      <c r="C560" s="247"/>
      <c r="D560" s="247" t="s">
        <v>1011</v>
      </c>
      <c r="E560" s="1048">
        <v>1</v>
      </c>
      <c r="F560" s="360">
        <v>1000</v>
      </c>
      <c r="G560" s="248">
        <f t="shared" ref="G560" si="16">F560*E560</f>
        <v>1000</v>
      </c>
    </row>
    <row r="561" spans="1:7">
      <c r="A561" s="247"/>
      <c r="B561" s="1018"/>
      <c r="C561" s="296"/>
      <c r="D561" s="296"/>
      <c r="E561" s="1146" t="s">
        <v>702</v>
      </c>
      <c r="F561" s="1146"/>
      <c r="G561" s="248">
        <f>SUM(G559:G560)</f>
        <v>46500</v>
      </c>
    </row>
    <row r="562" spans="1:7">
      <c r="A562" s="294" t="s">
        <v>703</v>
      </c>
      <c r="B562" s="1147" t="s">
        <v>3910</v>
      </c>
      <c r="C562" s="1147"/>
      <c r="D562" s="1147"/>
      <c r="E562" s="1147"/>
      <c r="F562" s="1147"/>
      <c r="G562" s="255">
        <f>G557+G561</f>
        <v>72140</v>
      </c>
    </row>
    <row r="563" spans="1:7">
      <c r="A563" s="294" t="s">
        <v>706</v>
      </c>
      <c r="B563" s="1148" t="s">
        <v>4876</v>
      </c>
      <c r="C563" s="1148"/>
      <c r="D563" s="1148"/>
      <c r="E563" s="1147" t="s">
        <v>4030</v>
      </c>
      <c r="F563" s="1147"/>
      <c r="G563" s="255">
        <f>G562*0.15</f>
        <v>10821</v>
      </c>
    </row>
    <row r="564" spans="1:7">
      <c r="A564" s="294" t="s">
        <v>708</v>
      </c>
      <c r="B564" s="1147" t="s">
        <v>3911</v>
      </c>
      <c r="C564" s="1147"/>
      <c r="D564" s="1147"/>
      <c r="E564" s="1147"/>
      <c r="F564" s="1147"/>
      <c r="G564" s="255">
        <f>ROUND(SUM(G562:G563),2)</f>
        <v>82961</v>
      </c>
    </row>
    <row r="565" spans="1:7">
      <c r="A565" s="276"/>
      <c r="B565" s="275"/>
      <c r="C565" s="276"/>
      <c r="D565" s="276"/>
      <c r="E565" s="383"/>
      <c r="F565" s="656"/>
      <c r="G565" s="264"/>
    </row>
    <row r="566" spans="1:7">
      <c r="A566" s="285" t="s">
        <v>4482</v>
      </c>
      <c r="B566" s="1044" t="s">
        <v>4483</v>
      </c>
      <c r="C566" s="276"/>
      <c r="D566" s="276"/>
      <c r="E566" s="383"/>
      <c r="F566" s="656"/>
      <c r="G566" s="264"/>
    </row>
    <row r="567" spans="1:7">
      <c r="A567" s="290" t="s">
        <v>1003</v>
      </c>
      <c r="B567" s="290" t="s">
        <v>1004</v>
      </c>
      <c r="C567" s="290" t="s">
        <v>1005</v>
      </c>
      <c r="D567" s="290" t="s">
        <v>1006</v>
      </c>
      <c r="E567" s="373" t="s">
        <v>1007</v>
      </c>
      <c r="F567" s="363" t="s">
        <v>2637</v>
      </c>
      <c r="G567" s="291" t="s">
        <v>2638</v>
      </c>
    </row>
    <row r="568" spans="1:7">
      <c r="A568" s="294" t="s">
        <v>671</v>
      </c>
      <c r="B568" s="1017" t="s">
        <v>672</v>
      </c>
      <c r="C568" s="247"/>
      <c r="D568" s="247"/>
      <c r="E568" s="372"/>
      <c r="F568" s="360"/>
      <c r="G568" s="248"/>
    </row>
    <row r="569" spans="1:7">
      <c r="A569" s="247"/>
      <c r="B569" s="1016" t="s">
        <v>673</v>
      </c>
      <c r="C569" s="247" t="s">
        <v>674</v>
      </c>
      <c r="D569" s="247" t="s">
        <v>675</v>
      </c>
      <c r="E569" s="372">
        <v>0.1</v>
      </c>
      <c r="F569" s="360">
        <f>F553</f>
        <v>100000</v>
      </c>
      <c r="G569" s="248">
        <f>F569*E569</f>
        <v>10000</v>
      </c>
    </row>
    <row r="570" spans="1:7">
      <c r="A570" s="247"/>
      <c r="B570" s="1016" t="s">
        <v>4460</v>
      </c>
      <c r="C570" s="247" t="s">
        <v>678</v>
      </c>
      <c r="D570" s="247" t="s">
        <v>675</v>
      </c>
      <c r="E570" s="372">
        <v>0.1</v>
      </c>
      <c r="F570" s="360">
        <f>F554</f>
        <v>140000</v>
      </c>
      <c r="G570" s="248">
        <f t="shared" ref="G570:G572" si="17">F570*E570</f>
        <v>14000</v>
      </c>
    </row>
    <row r="571" spans="1:7">
      <c r="A571" s="247"/>
      <c r="B571" s="1016" t="s">
        <v>680</v>
      </c>
      <c r="C571" s="247" t="s">
        <v>681</v>
      </c>
      <c r="D571" s="247" t="s">
        <v>675</v>
      </c>
      <c r="E571" s="372">
        <v>0.01</v>
      </c>
      <c r="F571" s="360">
        <f>F555</f>
        <v>150000</v>
      </c>
      <c r="G571" s="248">
        <f t="shared" si="17"/>
        <v>1500</v>
      </c>
    </row>
    <row r="572" spans="1:7">
      <c r="A572" s="247"/>
      <c r="B572" s="1016" t="s">
        <v>683</v>
      </c>
      <c r="C572" s="247" t="s">
        <v>684</v>
      </c>
      <c r="D572" s="247" t="s">
        <v>675</v>
      </c>
      <c r="E572" s="372">
        <v>1E-3</v>
      </c>
      <c r="F572" s="360">
        <f>F556</f>
        <v>140000</v>
      </c>
      <c r="G572" s="248">
        <f t="shared" si="17"/>
        <v>140</v>
      </c>
    </row>
    <row r="573" spans="1:7">
      <c r="A573" s="247"/>
      <c r="B573" s="1016"/>
      <c r="C573" s="247"/>
      <c r="D573" s="247"/>
      <c r="E573" s="1145" t="s">
        <v>685</v>
      </c>
      <c r="F573" s="1145"/>
      <c r="G573" s="248">
        <f>SUM(G569:G572)</f>
        <v>25640</v>
      </c>
    </row>
    <row r="574" spans="1:7">
      <c r="A574" s="294" t="s">
        <v>686</v>
      </c>
      <c r="B574" s="1017" t="s">
        <v>687</v>
      </c>
      <c r="C574" s="247"/>
      <c r="D574" s="247"/>
      <c r="E574" s="372"/>
      <c r="F574" s="360"/>
      <c r="G574" s="248"/>
    </row>
    <row r="575" spans="1:7">
      <c r="A575" s="247"/>
      <c r="B575" s="1047" t="s">
        <v>3666</v>
      </c>
      <c r="C575" s="247"/>
      <c r="D575" s="247" t="s">
        <v>1423</v>
      </c>
      <c r="E575" s="1048">
        <v>1</v>
      </c>
      <c r="F575" s="360">
        <f>'UPAD-BAHAN-ALAT Cetak'!I94</f>
        <v>19500</v>
      </c>
      <c r="G575" s="248">
        <f>F575*E575</f>
        <v>19500</v>
      </c>
    </row>
    <row r="576" spans="1:7">
      <c r="A576" s="247"/>
      <c r="B576" s="1047" t="s">
        <v>3655</v>
      </c>
      <c r="C576" s="247"/>
      <c r="D576" s="247" t="s">
        <v>1011</v>
      </c>
      <c r="E576" s="1048">
        <v>1</v>
      </c>
      <c r="F576" s="360">
        <v>1000</v>
      </c>
      <c r="G576" s="248">
        <f t="shared" ref="G576" si="18">F576*E576</f>
        <v>1000</v>
      </c>
    </row>
    <row r="577" spans="1:7">
      <c r="A577" s="247"/>
      <c r="B577" s="1018"/>
      <c r="C577" s="296"/>
      <c r="D577" s="296"/>
      <c r="E577" s="1146" t="s">
        <v>702</v>
      </c>
      <c r="F577" s="1146"/>
      <c r="G577" s="248">
        <f>SUM(G575:G576)</f>
        <v>20500</v>
      </c>
    </row>
    <row r="578" spans="1:7">
      <c r="A578" s="294" t="s">
        <v>703</v>
      </c>
      <c r="B578" s="1147" t="s">
        <v>3910</v>
      </c>
      <c r="C578" s="1147"/>
      <c r="D578" s="1147"/>
      <c r="E578" s="1147"/>
      <c r="F578" s="1147"/>
      <c r="G578" s="255">
        <f>G573+G577</f>
        <v>46140</v>
      </c>
    </row>
    <row r="579" spans="1:7">
      <c r="A579" s="294" t="s">
        <v>706</v>
      </c>
      <c r="B579" s="1148" t="s">
        <v>4876</v>
      </c>
      <c r="C579" s="1148"/>
      <c r="D579" s="1148"/>
      <c r="E579" s="1147" t="s">
        <v>4030</v>
      </c>
      <c r="F579" s="1147"/>
      <c r="G579" s="255">
        <f>G578*0.15</f>
        <v>6921</v>
      </c>
    </row>
    <row r="580" spans="1:7">
      <c r="A580" s="294" t="s">
        <v>708</v>
      </c>
      <c r="B580" s="1147" t="s">
        <v>3911</v>
      </c>
      <c r="C580" s="1147"/>
      <c r="D580" s="1147"/>
      <c r="E580" s="1147"/>
      <c r="F580" s="1147"/>
      <c r="G580" s="255">
        <f>ROUND(SUM(G578:G579),2)</f>
        <v>53061</v>
      </c>
    </row>
    <row r="581" spans="1:7">
      <c r="A581" s="276"/>
      <c r="B581" s="275"/>
      <c r="C581" s="276"/>
      <c r="D581" s="276"/>
      <c r="E581" s="383"/>
      <c r="F581" s="656"/>
      <c r="G581" s="264"/>
    </row>
    <row r="582" spans="1:7">
      <c r="A582" s="285" t="s">
        <v>4385</v>
      </c>
      <c r="B582" s="263" t="s">
        <v>2721</v>
      </c>
      <c r="C582" s="276"/>
      <c r="D582" s="276"/>
      <c r="E582" s="383"/>
      <c r="F582" s="656"/>
      <c r="G582" s="264"/>
    </row>
    <row r="583" spans="1:7">
      <c r="A583" s="290" t="s">
        <v>1003</v>
      </c>
      <c r="B583" s="290" t="s">
        <v>1004</v>
      </c>
      <c r="C583" s="290" t="s">
        <v>1005</v>
      </c>
      <c r="D583" s="747" t="s">
        <v>1006</v>
      </c>
      <c r="E583" s="373" t="s">
        <v>1007</v>
      </c>
      <c r="F583" s="363" t="s">
        <v>2637</v>
      </c>
      <c r="G583" s="291" t="s">
        <v>2638</v>
      </c>
    </row>
    <row r="584" spans="1:7">
      <c r="A584" s="294" t="s">
        <v>671</v>
      </c>
      <c r="B584" s="1016" t="s">
        <v>672</v>
      </c>
      <c r="C584" s="247"/>
      <c r="D584" s="715"/>
      <c r="E584" s="372"/>
      <c r="F584" s="360"/>
      <c r="G584" s="248"/>
    </row>
    <row r="585" spans="1:7">
      <c r="A585" s="294"/>
      <c r="B585" s="1016" t="s">
        <v>673</v>
      </c>
      <c r="C585" s="247" t="s">
        <v>674</v>
      </c>
      <c r="D585" s="247" t="s">
        <v>675</v>
      </c>
      <c r="E585" s="372">
        <v>3.5999999999999997E-2</v>
      </c>
      <c r="F585" s="360">
        <f>F569</f>
        <v>100000</v>
      </c>
      <c r="G585" s="248">
        <f>F585*E585</f>
        <v>3599.9999999999995</v>
      </c>
    </row>
    <row r="586" spans="1:7">
      <c r="A586" s="294"/>
      <c r="B586" s="1016" t="s">
        <v>731</v>
      </c>
      <c r="C586" s="247" t="s">
        <v>678</v>
      </c>
      <c r="D586" s="247" t="s">
        <v>675</v>
      </c>
      <c r="E586" s="372">
        <v>0.06</v>
      </c>
      <c r="F586" s="360">
        <f>F570</f>
        <v>140000</v>
      </c>
      <c r="G586" s="248">
        <f>F586*E586</f>
        <v>8400</v>
      </c>
    </row>
    <row r="587" spans="1:7">
      <c r="A587" s="294"/>
      <c r="B587" s="1016" t="s">
        <v>751</v>
      </c>
      <c r="C587" s="247" t="s">
        <v>681</v>
      </c>
      <c r="D587" s="247" t="s">
        <v>675</v>
      </c>
      <c r="E587" s="372">
        <v>6.0000000000000001E-3</v>
      </c>
      <c r="F587" s="360">
        <f>F571</f>
        <v>150000</v>
      </c>
      <c r="G587" s="248">
        <f>F587*E587</f>
        <v>900</v>
      </c>
    </row>
    <row r="588" spans="1:7">
      <c r="A588" s="294"/>
      <c r="B588" s="1016" t="s">
        <v>683</v>
      </c>
      <c r="C588" s="247" t="s">
        <v>684</v>
      </c>
      <c r="D588" s="247" t="s">
        <v>675</v>
      </c>
      <c r="E588" s="372">
        <v>2E-3</v>
      </c>
      <c r="F588" s="360">
        <f>F572</f>
        <v>140000</v>
      </c>
      <c r="G588" s="248">
        <f>F588*E588</f>
        <v>280</v>
      </c>
    </row>
    <row r="589" spans="1:7">
      <c r="A589" s="294"/>
      <c r="B589" s="1016"/>
      <c r="C589" s="247"/>
      <c r="D589" s="247"/>
      <c r="E589" s="1146" t="s">
        <v>685</v>
      </c>
      <c r="F589" s="1146"/>
      <c r="G589" s="248">
        <f>SUM(G585:G588)</f>
        <v>13180</v>
      </c>
    </row>
    <row r="590" spans="1:7">
      <c r="A590" s="294" t="s">
        <v>686</v>
      </c>
      <c r="B590" s="1016" t="s">
        <v>687</v>
      </c>
      <c r="C590" s="247"/>
      <c r="D590" s="247"/>
      <c r="E590" s="372"/>
      <c r="F590" s="360"/>
      <c r="G590" s="248"/>
    </row>
    <row r="591" spans="1:7">
      <c r="A591" s="294"/>
      <c r="B591" s="1016" t="s">
        <v>3625</v>
      </c>
      <c r="C591" s="247"/>
      <c r="D591" s="247" t="s">
        <v>1452</v>
      </c>
      <c r="E591" s="372">
        <v>1.2</v>
      </c>
      <c r="F591" s="360">
        <f>'UPAD-BAHAN-ALAT Cetak'!I95</f>
        <v>10875</v>
      </c>
      <c r="G591" s="248">
        <f>F591*E591</f>
        <v>13050</v>
      </c>
    </row>
    <row r="592" spans="1:7">
      <c r="A592" s="247"/>
      <c r="B592" s="1016" t="s">
        <v>1406</v>
      </c>
      <c r="C592" s="247"/>
      <c r="D592" s="247" t="s">
        <v>1411</v>
      </c>
      <c r="E592" s="372" t="s">
        <v>1453</v>
      </c>
      <c r="F592" s="360">
        <f>35%*G591</f>
        <v>4567.5</v>
      </c>
      <c r="G592" s="248">
        <f>F592</f>
        <v>4567.5</v>
      </c>
    </row>
    <row r="593" spans="1:7">
      <c r="A593" s="247"/>
      <c r="B593" s="1016"/>
      <c r="C593" s="247"/>
      <c r="D593" s="247"/>
      <c r="E593" s="1155" t="s">
        <v>702</v>
      </c>
      <c r="F593" s="1155"/>
      <c r="G593" s="248">
        <f>SUM(G591:G592)</f>
        <v>17617.5</v>
      </c>
    </row>
    <row r="594" spans="1:7">
      <c r="A594" s="294" t="s">
        <v>703</v>
      </c>
      <c r="B594" s="1151" t="s">
        <v>3910</v>
      </c>
      <c r="C594" s="1151"/>
      <c r="D594" s="1151"/>
      <c r="E594" s="1151"/>
      <c r="F594" s="1151"/>
      <c r="G594" s="255">
        <f>G589+G593</f>
        <v>30797.5</v>
      </c>
    </row>
    <row r="595" spans="1:7">
      <c r="A595" s="294" t="s">
        <v>706</v>
      </c>
      <c r="B595" s="1148" t="s">
        <v>4876</v>
      </c>
      <c r="C595" s="1148"/>
      <c r="D595" s="1148"/>
      <c r="E595" s="1147" t="s">
        <v>4030</v>
      </c>
      <c r="F595" s="1147"/>
      <c r="G595" s="255">
        <f>G594*0.15</f>
        <v>4619.625</v>
      </c>
    </row>
    <row r="596" spans="1:7">
      <c r="A596" s="294" t="s">
        <v>708</v>
      </c>
      <c r="B596" s="1149" t="s">
        <v>3911</v>
      </c>
      <c r="C596" s="1149"/>
      <c r="D596" s="1149"/>
      <c r="E596" s="1149"/>
      <c r="F596" s="1149"/>
      <c r="G596" s="255">
        <f>ROUND(SUM(G594:G595),2)</f>
        <v>35417.129999999997</v>
      </c>
    </row>
    <row r="597" spans="1:7">
      <c r="A597" s="276"/>
      <c r="B597" s="275"/>
      <c r="C597" s="276"/>
      <c r="D597" s="276"/>
      <c r="E597" s="383"/>
      <c r="F597" s="656"/>
      <c r="G597" s="264"/>
    </row>
    <row r="598" spans="1:7">
      <c r="A598" s="285" t="s">
        <v>4391</v>
      </c>
      <c r="B598" s="263" t="s">
        <v>2715</v>
      </c>
      <c r="C598" s="276"/>
      <c r="D598" s="276"/>
      <c r="E598" s="383"/>
      <c r="F598" s="656"/>
      <c r="G598" s="264"/>
    </row>
    <row r="599" spans="1:7">
      <c r="A599" s="290" t="s">
        <v>1003</v>
      </c>
      <c r="B599" s="290" t="s">
        <v>1004</v>
      </c>
      <c r="C599" s="290" t="s">
        <v>1005</v>
      </c>
      <c r="D599" s="290" t="s">
        <v>1006</v>
      </c>
      <c r="E599" s="373" t="s">
        <v>1007</v>
      </c>
      <c r="F599" s="363" t="s">
        <v>2637</v>
      </c>
      <c r="G599" s="291" t="s">
        <v>2638</v>
      </c>
    </row>
    <row r="600" spans="1:7">
      <c r="A600" s="294" t="s">
        <v>671</v>
      </c>
      <c r="B600" s="1016" t="s">
        <v>672</v>
      </c>
      <c r="C600" s="247"/>
      <c r="D600" s="247"/>
      <c r="E600" s="372"/>
      <c r="F600" s="360"/>
      <c r="G600" s="248"/>
    </row>
    <row r="601" spans="1:7">
      <c r="A601" s="294"/>
      <c r="B601" s="1016" t="s">
        <v>673</v>
      </c>
      <c r="C601" s="247" t="s">
        <v>674</v>
      </c>
      <c r="D601" s="247" t="s">
        <v>675</v>
      </c>
      <c r="E601" s="372">
        <v>8.1000000000000003E-2</v>
      </c>
      <c r="F601" s="360">
        <f>'[44]UPAD-BAHAN-ALAT'!$I$12</f>
        <v>110000</v>
      </c>
      <c r="G601" s="248">
        <f>F601*E601</f>
        <v>8910</v>
      </c>
    </row>
    <row r="602" spans="1:7">
      <c r="A602" s="294"/>
      <c r="B602" s="1016" t="s">
        <v>731</v>
      </c>
      <c r="C602" s="247" t="s">
        <v>678</v>
      </c>
      <c r="D602" s="247" t="s">
        <v>675</v>
      </c>
      <c r="E602" s="372">
        <v>0.13500000000000001</v>
      </c>
      <c r="F602" s="360">
        <f>'[44]UPAD-BAHAN-ALAT'!$I$13</f>
        <v>140000</v>
      </c>
      <c r="G602" s="248">
        <f>F602*E602</f>
        <v>18900</v>
      </c>
    </row>
    <row r="603" spans="1:7">
      <c r="A603" s="294"/>
      <c r="B603" s="1016" t="s">
        <v>751</v>
      </c>
      <c r="C603" s="247" t="s">
        <v>681</v>
      </c>
      <c r="D603" s="247" t="s">
        <v>675</v>
      </c>
      <c r="E603" s="372">
        <v>1.35E-2</v>
      </c>
      <c r="F603" s="360">
        <f>'[44]UPAD-BAHAN-ALAT'!$I$15</f>
        <v>150000</v>
      </c>
      <c r="G603" s="248">
        <f>F603*E603</f>
        <v>2025</v>
      </c>
    </row>
    <row r="604" spans="1:7">
      <c r="A604" s="294"/>
      <c r="B604" s="1016" t="s">
        <v>683</v>
      </c>
      <c r="C604" s="247" t="s">
        <v>684</v>
      </c>
      <c r="D604" s="247" t="s">
        <v>675</v>
      </c>
      <c r="E604" s="372">
        <v>4.0000000000000001E-3</v>
      </c>
      <c r="F604" s="360">
        <f>F588</f>
        <v>140000</v>
      </c>
      <c r="G604" s="248">
        <f>F604*E604</f>
        <v>560</v>
      </c>
    </row>
    <row r="605" spans="1:7">
      <c r="A605" s="294"/>
      <c r="B605" s="1016"/>
      <c r="C605" s="247"/>
      <c r="D605" s="247"/>
      <c r="E605" s="1146" t="s">
        <v>685</v>
      </c>
      <c r="F605" s="1146"/>
      <c r="G605" s="248">
        <f>SUM(G601:G604)</f>
        <v>30395</v>
      </c>
    </row>
    <row r="606" spans="1:7">
      <c r="A606" s="294" t="s">
        <v>686</v>
      </c>
      <c r="B606" s="1016" t="s">
        <v>687</v>
      </c>
      <c r="C606" s="247"/>
      <c r="D606" s="247"/>
      <c r="E606" s="372"/>
      <c r="F606" s="360"/>
      <c r="G606" s="248"/>
    </row>
    <row r="607" spans="1:7">
      <c r="A607" s="247"/>
      <c r="B607" s="1016" t="s">
        <v>3682</v>
      </c>
      <c r="C607" s="247"/>
      <c r="D607" s="247" t="s">
        <v>1452</v>
      </c>
      <c r="E607" s="372">
        <v>1.2</v>
      </c>
      <c r="F607" s="360">
        <f>'UPAD-BAHAN-ALAT Cetak'!I96</f>
        <v>108750</v>
      </c>
      <c r="G607" s="248">
        <f>F607*E607</f>
        <v>130500</v>
      </c>
    </row>
    <row r="608" spans="1:7">
      <c r="A608" s="247"/>
      <c r="B608" s="1016" t="s">
        <v>1406</v>
      </c>
      <c r="C608" s="247"/>
      <c r="D608" s="247" t="s">
        <v>1411</v>
      </c>
      <c r="E608" s="372" t="s">
        <v>1453</v>
      </c>
      <c r="F608" s="360">
        <f>35%*G607</f>
        <v>45675</v>
      </c>
      <c r="G608" s="248">
        <f>F608</f>
        <v>45675</v>
      </c>
    </row>
    <row r="609" spans="1:7">
      <c r="A609" s="247"/>
      <c r="B609" s="1018"/>
      <c r="C609" s="296"/>
      <c r="D609" s="296"/>
      <c r="E609" s="1146" t="s">
        <v>702</v>
      </c>
      <c r="F609" s="1146"/>
      <c r="G609" s="248">
        <f>SUM(G607:G608)</f>
        <v>176175</v>
      </c>
    </row>
    <row r="610" spans="1:7">
      <c r="A610" s="294" t="s">
        <v>703</v>
      </c>
      <c r="B610" s="1147" t="s">
        <v>3910</v>
      </c>
      <c r="C610" s="1147"/>
      <c r="D610" s="1147"/>
      <c r="E610" s="1147"/>
      <c r="F610" s="1147"/>
      <c r="G610" s="255">
        <f>G605+G609</f>
        <v>206570</v>
      </c>
    </row>
    <row r="611" spans="1:7">
      <c r="A611" s="294" t="s">
        <v>706</v>
      </c>
      <c r="B611" s="1148" t="s">
        <v>4876</v>
      </c>
      <c r="C611" s="1148"/>
      <c r="D611" s="1148"/>
      <c r="E611" s="1147" t="s">
        <v>4030</v>
      </c>
      <c r="F611" s="1147"/>
      <c r="G611" s="255">
        <f>G610*0.15</f>
        <v>30985.5</v>
      </c>
    </row>
    <row r="612" spans="1:7">
      <c r="A612" s="294" t="s">
        <v>708</v>
      </c>
      <c r="B612" s="1149" t="s">
        <v>3911</v>
      </c>
      <c r="C612" s="1149"/>
      <c r="D612" s="1149"/>
      <c r="E612" s="1149"/>
      <c r="F612" s="1149"/>
      <c r="G612" s="255">
        <f>ROUND(SUM(G610:G611),2)</f>
        <v>237555.5</v>
      </c>
    </row>
    <row r="613" spans="1:7">
      <c r="A613" s="276"/>
      <c r="B613" s="275"/>
      <c r="C613" s="276"/>
      <c r="D613" s="276"/>
      <c r="E613" s="383"/>
      <c r="F613" s="656"/>
      <c r="G613" s="264"/>
    </row>
    <row r="614" spans="1:7">
      <c r="A614" s="285" t="s">
        <v>4390</v>
      </c>
      <c r="B614" s="1001" t="s">
        <v>2716</v>
      </c>
      <c r="C614" s="252"/>
      <c r="D614" s="252"/>
      <c r="E614" s="374"/>
      <c r="F614" s="361"/>
      <c r="G614" s="253"/>
    </row>
    <row r="615" spans="1:7">
      <c r="A615" s="290" t="s">
        <v>1003</v>
      </c>
      <c r="B615" s="290" t="s">
        <v>1004</v>
      </c>
      <c r="C615" s="290" t="s">
        <v>1005</v>
      </c>
      <c r="D615" s="290" t="s">
        <v>1006</v>
      </c>
      <c r="E615" s="373" t="s">
        <v>1007</v>
      </c>
      <c r="F615" s="363" t="s">
        <v>2637</v>
      </c>
      <c r="G615" s="291" t="s">
        <v>2638</v>
      </c>
    </row>
    <row r="616" spans="1:7">
      <c r="A616" s="294" t="s">
        <v>671</v>
      </c>
      <c r="B616" s="1016" t="s">
        <v>672</v>
      </c>
      <c r="C616" s="247"/>
      <c r="D616" s="247"/>
      <c r="E616" s="372"/>
      <c r="F616" s="360"/>
      <c r="G616" s="248"/>
    </row>
    <row r="617" spans="1:7">
      <c r="A617" s="294"/>
      <c r="B617" s="1016" t="s">
        <v>673</v>
      </c>
      <c r="C617" s="247" t="s">
        <v>674</v>
      </c>
      <c r="D617" s="247" t="s">
        <v>675</v>
      </c>
      <c r="E617" s="372">
        <v>8.1000000000000003E-2</v>
      </c>
      <c r="F617" s="360">
        <f>'[44]UPAD-BAHAN-ALAT'!$I$12</f>
        <v>110000</v>
      </c>
      <c r="G617" s="248">
        <f>F617*E617</f>
        <v>8910</v>
      </c>
    </row>
    <row r="618" spans="1:7">
      <c r="A618" s="294"/>
      <c r="B618" s="1016" t="s">
        <v>731</v>
      </c>
      <c r="C618" s="247" t="s">
        <v>678</v>
      </c>
      <c r="D618" s="247" t="s">
        <v>675</v>
      </c>
      <c r="E618" s="372">
        <v>0.13500000000000001</v>
      </c>
      <c r="F618" s="360">
        <f>'[44]UPAD-BAHAN-ALAT'!$I$13</f>
        <v>140000</v>
      </c>
      <c r="G618" s="248">
        <f>F618*E618</f>
        <v>18900</v>
      </c>
    </row>
    <row r="619" spans="1:7">
      <c r="A619" s="294"/>
      <c r="B619" s="1016" t="s">
        <v>751</v>
      </c>
      <c r="C619" s="247" t="s">
        <v>681</v>
      </c>
      <c r="D619" s="247" t="s">
        <v>675</v>
      </c>
      <c r="E619" s="372">
        <v>1.35E-2</v>
      </c>
      <c r="F619" s="360">
        <f>'[44]UPAD-BAHAN-ALAT'!$I$15</f>
        <v>150000</v>
      </c>
      <c r="G619" s="248">
        <f>F619*E619</f>
        <v>2025</v>
      </c>
    </row>
    <row r="620" spans="1:7">
      <c r="A620" s="294"/>
      <c r="B620" s="1016" t="s">
        <v>683</v>
      </c>
      <c r="C620" s="247" t="s">
        <v>684</v>
      </c>
      <c r="D620" s="247" t="s">
        <v>675</v>
      </c>
      <c r="E620" s="372">
        <v>4.0000000000000001E-3</v>
      </c>
      <c r="F620" s="360">
        <f>F604</f>
        <v>140000</v>
      </c>
      <c r="G620" s="248">
        <f>F620*E620</f>
        <v>560</v>
      </c>
    </row>
    <row r="621" spans="1:7">
      <c r="A621" s="294"/>
      <c r="B621" s="1016"/>
      <c r="C621" s="247"/>
      <c r="D621" s="247"/>
      <c r="E621" s="1146" t="s">
        <v>685</v>
      </c>
      <c r="F621" s="1146"/>
      <c r="G621" s="248">
        <f>SUM(G617:G620)</f>
        <v>30395</v>
      </c>
    </row>
    <row r="622" spans="1:7">
      <c r="A622" s="294" t="s">
        <v>686</v>
      </c>
      <c r="B622" s="1016" t="s">
        <v>687</v>
      </c>
      <c r="C622" s="247"/>
      <c r="D622" s="247"/>
      <c r="E622" s="372"/>
      <c r="F622" s="360"/>
      <c r="G622" s="248"/>
    </row>
    <row r="623" spans="1:7">
      <c r="A623" s="294"/>
      <c r="B623" s="1016" t="s">
        <v>1471</v>
      </c>
      <c r="C623" s="247"/>
      <c r="D623" s="247" t="s">
        <v>1452</v>
      </c>
      <c r="E623" s="372">
        <v>1.2</v>
      </c>
      <c r="F623" s="360">
        <f>'UPAD-BAHAN-ALAT Cetak'!I97</f>
        <v>65250</v>
      </c>
      <c r="G623" s="248">
        <f>F623*E623</f>
        <v>78300</v>
      </c>
    </row>
    <row r="624" spans="1:7">
      <c r="A624" s="294"/>
      <c r="B624" s="1016" t="s">
        <v>1406</v>
      </c>
      <c r="C624" s="247"/>
      <c r="D624" s="247" t="s">
        <v>1411</v>
      </c>
      <c r="E624" s="372" t="s">
        <v>1453</v>
      </c>
      <c r="F624" s="360">
        <f>35%*G623</f>
        <v>27405</v>
      </c>
      <c r="G624" s="248">
        <f>F624</f>
        <v>27405</v>
      </c>
    </row>
    <row r="625" spans="1:7">
      <c r="A625" s="247"/>
      <c r="B625" s="1018"/>
      <c r="C625" s="296"/>
      <c r="D625" s="296"/>
      <c r="E625" s="1146" t="s">
        <v>702</v>
      </c>
      <c r="F625" s="1146"/>
      <c r="G625" s="248">
        <f>SUM(G623:G624)</f>
        <v>105705</v>
      </c>
    </row>
    <row r="626" spans="1:7">
      <c r="A626" s="294" t="s">
        <v>703</v>
      </c>
      <c r="B626" s="1147" t="s">
        <v>3910</v>
      </c>
      <c r="C626" s="1147"/>
      <c r="D626" s="1147"/>
      <c r="E626" s="1147"/>
      <c r="F626" s="1147"/>
      <c r="G626" s="255">
        <f>G621+G625</f>
        <v>136100</v>
      </c>
    </row>
    <row r="627" spans="1:7">
      <c r="A627" s="294" t="s">
        <v>706</v>
      </c>
      <c r="B627" s="1148" t="s">
        <v>4876</v>
      </c>
      <c r="C627" s="1148"/>
      <c r="D627" s="1148"/>
      <c r="E627" s="1147" t="s">
        <v>4030</v>
      </c>
      <c r="F627" s="1147"/>
      <c r="G627" s="255">
        <f>G626*0.15</f>
        <v>20415</v>
      </c>
    </row>
    <row r="628" spans="1:7">
      <c r="A628" s="294" t="s">
        <v>708</v>
      </c>
      <c r="B628" s="1149" t="s">
        <v>3911</v>
      </c>
      <c r="C628" s="1149"/>
      <c r="D628" s="1149"/>
      <c r="E628" s="1149"/>
      <c r="F628" s="1149"/>
      <c r="G628" s="255">
        <f>ROUND(SUM(G626:G627),2)</f>
        <v>156515</v>
      </c>
    </row>
    <row r="629" spans="1:7">
      <c r="A629" s="276"/>
      <c r="B629" s="275"/>
      <c r="C629" s="276"/>
      <c r="D629" s="276"/>
      <c r="E629" s="383"/>
      <c r="F629" s="656"/>
      <c r="G629" s="264"/>
    </row>
    <row r="630" spans="1:7">
      <c r="A630" s="285" t="s">
        <v>4376</v>
      </c>
      <c r="B630" s="263" t="s">
        <v>2728</v>
      </c>
      <c r="C630" s="276"/>
      <c r="D630" s="276"/>
      <c r="E630" s="383"/>
      <c r="F630" s="656"/>
      <c r="G630" s="264"/>
    </row>
    <row r="631" spans="1:7">
      <c r="A631" s="290" t="s">
        <v>1003</v>
      </c>
      <c r="B631" s="290" t="s">
        <v>1004</v>
      </c>
      <c r="C631" s="290" t="s">
        <v>1005</v>
      </c>
      <c r="D631" s="290" t="s">
        <v>1006</v>
      </c>
      <c r="E631" s="373" t="s">
        <v>1007</v>
      </c>
      <c r="F631" s="363" t="s">
        <v>2637</v>
      </c>
      <c r="G631" s="291" t="s">
        <v>2638</v>
      </c>
    </row>
    <row r="632" spans="1:7">
      <c r="A632" s="294" t="s">
        <v>671</v>
      </c>
      <c r="B632" s="1016" t="s">
        <v>672</v>
      </c>
      <c r="C632" s="247"/>
      <c r="D632" s="247"/>
      <c r="E632" s="372"/>
      <c r="F632" s="360"/>
      <c r="G632" s="248"/>
    </row>
    <row r="633" spans="1:7">
      <c r="A633" s="294"/>
      <c r="B633" s="1016" t="s">
        <v>673</v>
      </c>
      <c r="C633" s="247" t="s">
        <v>674</v>
      </c>
      <c r="D633" s="247" t="s">
        <v>675</v>
      </c>
      <c r="E633" s="372">
        <v>0.01</v>
      </c>
      <c r="F633" s="360">
        <f>'[44]UPAD-BAHAN-ALAT'!$I$12</f>
        <v>110000</v>
      </c>
      <c r="G633" s="248">
        <f>F633*E633</f>
        <v>1100</v>
      </c>
    </row>
    <row r="634" spans="1:7">
      <c r="A634" s="294"/>
      <c r="B634" s="1016" t="s">
        <v>731</v>
      </c>
      <c r="C634" s="247" t="s">
        <v>678</v>
      </c>
      <c r="D634" s="247" t="s">
        <v>675</v>
      </c>
      <c r="E634" s="372">
        <v>0.1</v>
      </c>
      <c r="F634" s="360">
        <f>'[44]UPAD-BAHAN-ALAT'!$I$13</f>
        <v>140000</v>
      </c>
      <c r="G634" s="248">
        <f>F634*E634</f>
        <v>14000</v>
      </c>
    </row>
    <row r="635" spans="1:7">
      <c r="A635" s="294"/>
      <c r="B635" s="1016" t="s">
        <v>751</v>
      </c>
      <c r="C635" s="247" t="s">
        <v>681</v>
      </c>
      <c r="D635" s="247" t="s">
        <v>675</v>
      </c>
      <c r="E635" s="372">
        <v>0.01</v>
      </c>
      <c r="F635" s="360">
        <f>'[44]UPAD-BAHAN-ALAT'!$I$15</f>
        <v>150000</v>
      </c>
      <c r="G635" s="248">
        <f>F635*E635</f>
        <v>1500</v>
      </c>
    </row>
    <row r="636" spans="1:7">
      <c r="A636" s="294"/>
      <c r="B636" s="1016" t="s">
        <v>683</v>
      </c>
      <c r="C636" s="247" t="s">
        <v>684</v>
      </c>
      <c r="D636" s="247" t="s">
        <v>675</v>
      </c>
      <c r="E636" s="372">
        <v>5.0000000000000001E-3</v>
      </c>
      <c r="F636" s="360">
        <f>F620</f>
        <v>140000</v>
      </c>
      <c r="G636" s="248">
        <f>F636*E636</f>
        <v>700</v>
      </c>
    </row>
    <row r="637" spans="1:7">
      <c r="A637" s="294"/>
      <c r="B637" s="1016"/>
      <c r="C637" s="247"/>
      <c r="D637" s="247"/>
      <c r="E637" s="1146" t="s">
        <v>685</v>
      </c>
      <c r="F637" s="1146"/>
      <c r="G637" s="248">
        <f>SUM(G633:G636)</f>
        <v>17300</v>
      </c>
    </row>
    <row r="638" spans="1:7">
      <c r="A638" s="294" t="s">
        <v>686</v>
      </c>
      <c r="B638" s="1016" t="s">
        <v>687</v>
      </c>
      <c r="C638" s="247"/>
      <c r="D638" s="247"/>
      <c r="E638" s="372"/>
      <c r="F638" s="360"/>
      <c r="G638" s="248"/>
    </row>
    <row r="639" spans="1:7">
      <c r="A639" s="247"/>
      <c r="B639" s="1021" t="s">
        <v>1435</v>
      </c>
      <c r="C639" s="247"/>
      <c r="D639" s="247" t="s">
        <v>1405</v>
      </c>
      <c r="E639" s="372">
        <v>1</v>
      </c>
      <c r="F639" s="360">
        <f>'UPAD-BAHAN-ALAT Cetak'!I98</f>
        <v>75000</v>
      </c>
      <c r="G639" s="248">
        <f>F639*E639</f>
        <v>75000</v>
      </c>
    </row>
    <row r="640" spans="1:7">
      <c r="A640" s="247"/>
      <c r="B640" s="1018"/>
      <c r="C640" s="296"/>
      <c r="D640" s="296"/>
      <c r="E640" s="1146" t="s">
        <v>702</v>
      </c>
      <c r="F640" s="1146"/>
      <c r="G640" s="248">
        <f>SUM(G639)</f>
        <v>75000</v>
      </c>
    </row>
    <row r="641" spans="1:7">
      <c r="A641" s="294" t="s">
        <v>703</v>
      </c>
      <c r="B641" s="1147" t="s">
        <v>3910</v>
      </c>
      <c r="C641" s="1147"/>
      <c r="D641" s="1147"/>
      <c r="E641" s="1147"/>
      <c r="F641" s="1147"/>
      <c r="G641" s="255">
        <f>G637+G640</f>
        <v>92300</v>
      </c>
    </row>
    <row r="642" spans="1:7">
      <c r="A642" s="294" t="s">
        <v>706</v>
      </c>
      <c r="B642" s="1148" t="s">
        <v>4876</v>
      </c>
      <c r="C642" s="1148"/>
      <c r="D642" s="1148"/>
      <c r="E642" s="1147" t="s">
        <v>4030</v>
      </c>
      <c r="F642" s="1147"/>
      <c r="G642" s="255">
        <f>G641*0.15</f>
        <v>13845</v>
      </c>
    </row>
    <row r="643" spans="1:7">
      <c r="A643" s="294" t="s">
        <v>708</v>
      </c>
      <c r="B643" s="1149" t="s">
        <v>3911</v>
      </c>
      <c r="C643" s="1149"/>
      <c r="D643" s="1149"/>
      <c r="E643" s="1149"/>
      <c r="F643" s="1149"/>
      <c r="G643" s="255">
        <f>ROUND(SUM(G641:G642),2)</f>
        <v>106145</v>
      </c>
    </row>
    <row r="644" spans="1:7">
      <c r="A644" s="276"/>
      <c r="B644" s="275"/>
      <c r="C644" s="276"/>
      <c r="D644" s="276"/>
      <c r="E644" s="383"/>
      <c r="F644" s="656"/>
      <c r="G644" s="264"/>
    </row>
    <row r="645" spans="1:7">
      <c r="A645" s="285" t="s">
        <v>4377</v>
      </c>
      <c r="B645" s="1001" t="s">
        <v>4662</v>
      </c>
      <c r="C645" s="252"/>
      <c r="D645" s="252"/>
      <c r="E645" s="374"/>
      <c r="F645" s="361"/>
      <c r="G645" s="253"/>
    </row>
    <row r="646" spans="1:7">
      <c r="A646" s="290" t="s">
        <v>1003</v>
      </c>
      <c r="B646" s="290" t="s">
        <v>1004</v>
      </c>
      <c r="C646" s="290" t="s">
        <v>1005</v>
      </c>
      <c r="D646" s="290" t="s">
        <v>1006</v>
      </c>
      <c r="E646" s="373" t="s">
        <v>1007</v>
      </c>
      <c r="F646" s="363" t="s">
        <v>2637</v>
      </c>
      <c r="G646" s="291" t="s">
        <v>2638</v>
      </c>
    </row>
    <row r="647" spans="1:7">
      <c r="A647" s="294" t="s">
        <v>671</v>
      </c>
      <c r="B647" s="1016" t="s">
        <v>1332</v>
      </c>
      <c r="C647" s="247"/>
      <c r="D647" s="247"/>
      <c r="E647" s="372"/>
      <c r="F647" s="360"/>
      <c r="G647" s="248"/>
    </row>
    <row r="648" spans="1:7">
      <c r="A648" s="294"/>
      <c r="B648" s="1016" t="s">
        <v>673</v>
      </c>
      <c r="C648" s="247" t="s">
        <v>674</v>
      </c>
      <c r="D648" s="247" t="s">
        <v>675</v>
      </c>
      <c r="E648" s="372">
        <v>0.01</v>
      </c>
      <c r="F648" s="360">
        <f>'[44]UPAD-BAHAN-ALAT'!$I$12</f>
        <v>110000</v>
      </c>
      <c r="G648" s="248">
        <f>F648*E648</f>
        <v>1100</v>
      </c>
    </row>
    <row r="649" spans="1:7">
      <c r="A649" s="294"/>
      <c r="B649" s="1016" t="s">
        <v>731</v>
      </c>
      <c r="C649" s="247" t="s">
        <v>678</v>
      </c>
      <c r="D649" s="247" t="s">
        <v>675</v>
      </c>
      <c r="E649" s="372">
        <v>0.4</v>
      </c>
      <c r="F649" s="360">
        <f>'[44]UPAD-BAHAN-ALAT'!$I$13</f>
        <v>140000</v>
      </c>
      <c r="G649" s="248">
        <f>F649*E649</f>
        <v>56000</v>
      </c>
    </row>
    <row r="650" spans="1:7">
      <c r="A650" s="294"/>
      <c r="B650" s="1016" t="s">
        <v>751</v>
      </c>
      <c r="C650" s="247" t="s">
        <v>681</v>
      </c>
      <c r="D650" s="247" t="s">
        <v>675</v>
      </c>
      <c r="E650" s="372">
        <v>0.04</v>
      </c>
      <c r="F650" s="360">
        <f>'[44]UPAD-BAHAN-ALAT'!$I$15</f>
        <v>150000</v>
      </c>
      <c r="G650" s="248">
        <f>F650*E650</f>
        <v>6000</v>
      </c>
    </row>
    <row r="651" spans="1:7">
      <c r="A651" s="294"/>
      <c r="B651" s="1016" t="s">
        <v>683</v>
      </c>
      <c r="C651" s="247" t="s">
        <v>684</v>
      </c>
      <c r="D651" s="247" t="s">
        <v>675</v>
      </c>
      <c r="E651" s="372">
        <v>5.0000000000000001E-3</v>
      </c>
      <c r="F651" s="360">
        <f>F636</f>
        <v>140000</v>
      </c>
      <c r="G651" s="248">
        <f>F651*E651</f>
        <v>700</v>
      </c>
    </row>
    <row r="652" spans="1:7">
      <c r="A652" s="294"/>
      <c r="B652" s="1016"/>
      <c r="C652" s="247"/>
      <c r="D652" s="247"/>
      <c r="E652" s="1146" t="s">
        <v>685</v>
      </c>
      <c r="F652" s="1146"/>
      <c r="G652" s="248">
        <f>SUM(G648:G651)</f>
        <v>63800</v>
      </c>
    </row>
    <row r="653" spans="1:7">
      <c r="A653" s="294" t="s">
        <v>686</v>
      </c>
      <c r="B653" s="1016" t="s">
        <v>687</v>
      </c>
      <c r="C653" s="247"/>
      <c r="D653" s="247"/>
      <c r="E653" s="372"/>
      <c r="F653" s="360"/>
      <c r="G653" s="248"/>
    </row>
    <row r="654" spans="1:7">
      <c r="A654" s="294"/>
      <c r="B654" s="1016" t="s">
        <v>1455</v>
      </c>
      <c r="C654" s="247"/>
      <c r="D654" s="247" t="s">
        <v>866</v>
      </c>
      <c r="E654" s="372">
        <v>1</v>
      </c>
      <c r="F654" s="360">
        <f>'UPAD-BAHAN-ALAT Cetak'!I99</f>
        <v>78300</v>
      </c>
      <c r="G654" s="248">
        <f>F654*E654</f>
        <v>78300</v>
      </c>
    </row>
    <row r="655" spans="1:7">
      <c r="A655" s="247"/>
      <c r="B655" s="1016" t="s">
        <v>1456</v>
      </c>
      <c r="C655" s="247"/>
      <c r="D655" s="247" t="s">
        <v>866</v>
      </c>
      <c r="E655" s="372">
        <v>2.5000000000000001E-2</v>
      </c>
      <c r="F655" s="360">
        <f>'[44]UPAD-BAHAN-ALAT'!$I$416</f>
        <v>4000</v>
      </c>
      <c r="G655" s="248">
        <f>F655*E655</f>
        <v>100</v>
      </c>
    </row>
    <row r="656" spans="1:7">
      <c r="A656" s="247"/>
      <c r="B656" s="1018"/>
      <c r="C656" s="296"/>
      <c r="D656" s="296"/>
      <c r="E656" s="1146" t="s">
        <v>702</v>
      </c>
      <c r="F656" s="1146"/>
      <c r="G656" s="248">
        <f>SUM(G654:G655)</f>
        <v>78400</v>
      </c>
    </row>
    <row r="657" spans="1:7">
      <c r="A657" s="294" t="s">
        <v>703</v>
      </c>
      <c r="B657" s="1147" t="s">
        <v>3910</v>
      </c>
      <c r="C657" s="1147"/>
      <c r="D657" s="1147"/>
      <c r="E657" s="1147"/>
      <c r="F657" s="1147"/>
      <c r="G657" s="255">
        <f>G652+G656</f>
        <v>142200</v>
      </c>
    </row>
    <row r="658" spans="1:7">
      <c r="A658" s="294" t="s">
        <v>706</v>
      </c>
      <c r="B658" s="1148" t="s">
        <v>4876</v>
      </c>
      <c r="C658" s="1148"/>
      <c r="D658" s="1148"/>
      <c r="E658" s="1147" t="s">
        <v>4030</v>
      </c>
      <c r="F658" s="1147"/>
      <c r="G658" s="255">
        <f>G657*0.15</f>
        <v>21330</v>
      </c>
    </row>
    <row r="659" spans="1:7">
      <c r="A659" s="294" t="s">
        <v>708</v>
      </c>
      <c r="B659" s="1149" t="s">
        <v>3911</v>
      </c>
      <c r="C659" s="1149"/>
      <c r="D659" s="1149"/>
      <c r="E659" s="1149"/>
      <c r="F659" s="1149"/>
      <c r="G659" s="255">
        <f>ROUND(SUM(G657:G658),2)</f>
        <v>163530</v>
      </c>
    </row>
    <row r="660" spans="1:7">
      <c r="A660" s="276"/>
      <c r="B660" s="275"/>
      <c r="C660" s="276"/>
      <c r="D660" s="276"/>
      <c r="E660" s="383"/>
      <c r="F660" s="656"/>
      <c r="G660" s="264"/>
    </row>
    <row r="661" spans="1:7">
      <c r="A661" s="285" t="s">
        <v>4365</v>
      </c>
      <c r="B661" s="263" t="s">
        <v>2737</v>
      </c>
      <c r="C661" s="276"/>
      <c r="D661" s="276"/>
      <c r="E661" s="383"/>
      <c r="F661" s="656"/>
      <c r="G661" s="264"/>
    </row>
    <row r="662" spans="1:7">
      <c r="A662" s="290" t="s">
        <v>1003</v>
      </c>
      <c r="B662" s="290" t="s">
        <v>1004</v>
      </c>
      <c r="C662" s="290" t="s">
        <v>1005</v>
      </c>
      <c r="D662" s="290" t="s">
        <v>1006</v>
      </c>
      <c r="E662" s="373" t="s">
        <v>1007</v>
      </c>
      <c r="F662" s="363" t="s">
        <v>2637</v>
      </c>
      <c r="G662" s="291" t="s">
        <v>2638</v>
      </c>
    </row>
    <row r="663" spans="1:7">
      <c r="A663" s="294" t="s">
        <v>671</v>
      </c>
      <c r="B663" s="1016" t="s">
        <v>672</v>
      </c>
      <c r="C663" s="247"/>
      <c r="D663" s="247"/>
      <c r="E663" s="372"/>
      <c r="F663" s="360"/>
      <c r="G663" s="248"/>
    </row>
    <row r="664" spans="1:7">
      <c r="A664" s="294"/>
      <c r="B664" s="1016" t="s">
        <v>673</v>
      </c>
      <c r="C664" s="247" t="s">
        <v>674</v>
      </c>
      <c r="D664" s="247" t="s">
        <v>675</v>
      </c>
      <c r="E664" s="372">
        <v>1</v>
      </c>
      <c r="F664" s="360">
        <f>'[44]UPAD-BAHAN-ALAT'!$I$12</f>
        <v>110000</v>
      </c>
      <c r="G664" s="248">
        <f>F664*E664</f>
        <v>110000</v>
      </c>
    </row>
    <row r="665" spans="1:7">
      <c r="A665" s="294"/>
      <c r="B665" s="1016" t="s">
        <v>731</v>
      </c>
      <c r="C665" s="247" t="s">
        <v>678</v>
      </c>
      <c r="D665" s="247" t="s">
        <v>675</v>
      </c>
      <c r="E665" s="372">
        <v>1.5</v>
      </c>
      <c r="F665" s="360">
        <f>'[44]UPAD-BAHAN-ALAT'!$I$13</f>
        <v>140000</v>
      </c>
      <c r="G665" s="248">
        <f>F665*E665</f>
        <v>210000</v>
      </c>
    </row>
    <row r="666" spans="1:7">
      <c r="A666" s="294"/>
      <c r="B666" s="1016" t="s">
        <v>751</v>
      </c>
      <c r="C666" s="247" t="s">
        <v>681</v>
      </c>
      <c r="D666" s="247" t="s">
        <v>675</v>
      </c>
      <c r="E666" s="372">
        <v>0.15</v>
      </c>
      <c r="F666" s="360">
        <f>'[44]UPAD-BAHAN-ALAT'!$I$15</f>
        <v>150000</v>
      </c>
      <c r="G666" s="248">
        <f>F666*E666</f>
        <v>22500</v>
      </c>
    </row>
    <row r="667" spans="1:7">
      <c r="A667" s="294"/>
      <c r="B667" s="1016" t="s">
        <v>683</v>
      </c>
      <c r="C667" s="247" t="s">
        <v>684</v>
      </c>
      <c r="D667" s="247" t="s">
        <v>675</v>
      </c>
      <c r="E667" s="372">
        <v>0.16</v>
      </c>
      <c r="F667" s="360">
        <f>F651</f>
        <v>140000</v>
      </c>
      <c r="G667" s="248">
        <f>F667*E667</f>
        <v>22400</v>
      </c>
    </row>
    <row r="668" spans="1:7">
      <c r="A668" s="294"/>
      <c r="B668" s="1016"/>
      <c r="C668" s="247"/>
      <c r="D668" s="247"/>
      <c r="E668" s="1146" t="s">
        <v>685</v>
      </c>
      <c r="F668" s="1146"/>
      <c r="G668" s="248">
        <f>SUM(G664:G667)</f>
        <v>364900</v>
      </c>
    </row>
    <row r="669" spans="1:7">
      <c r="A669" s="294" t="s">
        <v>686</v>
      </c>
      <c r="B669" s="1016" t="s">
        <v>687</v>
      </c>
      <c r="C669" s="247"/>
      <c r="D669" s="247"/>
      <c r="E669" s="372"/>
      <c r="F669" s="360"/>
      <c r="G669" s="248"/>
    </row>
    <row r="670" spans="1:7">
      <c r="A670" s="247"/>
      <c r="B670" s="1016" t="s">
        <v>1408</v>
      </c>
      <c r="C670" s="247"/>
      <c r="D670" s="247" t="s">
        <v>1405</v>
      </c>
      <c r="E670" s="372">
        <v>1</v>
      </c>
      <c r="F670" s="360">
        <v>300000</v>
      </c>
      <c r="G670" s="248">
        <f>F670*E670</f>
        <v>300000</v>
      </c>
    </row>
    <row r="671" spans="1:7">
      <c r="A671" s="247"/>
      <c r="B671" s="1016" t="s">
        <v>738</v>
      </c>
      <c r="C671" s="247"/>
      <c r="D671" s="247" t="s">
        <v>690</v>
      </c>
      <c r="E671" s="372">
        <v>6</v>
      </c>
      <c r="F671" s="360">
        <f>'[44]UPAD-BAHAN-ALAT'!$I$77</f>
        <v>1625</v>
      </c>
      <c r="G671" s="248">
        <f>F671*E671</f>
        <v>9750</v>
      </c>
    </row>
    <row r="672" spans="1:7">
      <c r="A672" s="247"/>
      <c r="B672" s="1016" t="s">
        <v>739</v>
      </c>
      <c r="C672" s="247"/>
      <c r="D672" s="247" t="s">
        <v>881</v>
      </c>
      <c r="E672" s="372">
        <v>0.01</v>
      </c>
      <c r="F672" s="360">
        <f>'UPAD-BAHAN-ALAT Cetak'!I46</f>
        <v>175000</v>
      </c>
      <c r="G672" s="248">
        <f>F672*E672</f>
        <v>1750</v>
      </c>
    </row>
    <row r="673" spans="1:7">
      <c r="A673" s="247"/>
      <c r="B673" s="1018"/>
      <c r="C673" s="296"/>
      <c r="D673" s="296"/>
      <c r="E673" s="1146" t="s">
        <v>702</v>
      </c>
      <c r="F673" s="1146"/>
      <c r="G673" s="248">
        <f>SUM(G670:G672)</f>
        <v>311500</v>
      </c>
    </row>
    <row r="674" spans="1:7">
      <c r="A674" s="294" t="s">
        <v>703</v>
      </c>
      <c r="B674" s="1147" t="s">
        <v>3910</v>
      </c>
      <c r="C674" s="1147"/>
      <c r="D674" s="1147"/>
      <c r="E674" s="1147"/>
      <c r="F674" s="1147"/>
      <c r="G674" s="255">
        <f>G668+G673</f>
        <v>676400</v>
      </c>
    </row>
    <row r="675" spans="1:7">
      <c r="A675" s="294" t="s">
        <v>706</v>
      </c>
      <c r="B675" s="1148" t="s">
        <v>4876</v>
      </c>
      <c r="C675" s="1148"/>
      <c r="D675" s="1148"/>
      <c r="E675" s="1147" t="s">
        <v>4030</v>
      </c>
      <c r="F675" s="1147"/>
      <c r="G675" s="255">
        <f>G674*0.15</f>
        <v>101460</v>
      </c>
    </row>
    <row r="676" spans="1:7">
      <c r="A676" s="294" t="s">
        <v>708</v>
      </c>
      <c r="B676" s="1149" t="s">
        <v>3911</v>
      </c>
      <c r="C676" s="1149"/>
      <c r="D676" s="1149"/>
      <c r="E676" s="1149"/>
      <c r="F676" s="1149"/>
      <c r="G676" s="255">
        <f>ROUND(SUM(G674:G675),2)</f>
        <v>777860</v>
      </c>
    </row>
    <row r="677" spans="1:7">
      <c r="A677" s="276"/>
      <c r="B677" s="275"/>
      <c r="C677" s="276"/>
      <c r="D677" s="276"/>
      <c r="E677" s="383"/>
      <c r="F677" s="656"/>
      <c r="G677" s="264"/>
    </row>
    <row r="678" spans="1:7">
      <c r="A678" s="285" t="s">
        <v>4226</v>
      </c>
      <c r="B678" s="1001" t="s">
        <v>4018</v>
      </c>
      <c r="C678" s="252"/>
      <c r="D678" s="252"/>
      <c r="E678" s="374"/>
      <c r="F678" s="361"/>
      <c r="G678" s="253"/>
    </row>
    <row r="679" spans="1:7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7">
      <c r="A680" s="294" t="s">
        <v>671</v>
      </c>
      <c r="B680" s="1016" t="s">
        <v>672</v>
      </c>
      <c r="C680" s="247"/>
      <c r="D680" s="247"/>
      <c r="E680" s="372"/>
      <c r="F680" s="360"/>
      <c r="G680" s="248"/>
    </row>
    <row r="681" spans="1:7">
      <c r="A681" s="294"/>
      <c r="B681" s="1016" t="s">
        <v>673</v>
      </c>
      <c r="C681" s="247" t="s">
        <v>674</v>
      </c>
      <c r="D681" s="247" t="s">
        <v>675</v>
      </c>
      <c r="E681" s="372">
        <v>0.3</v>
      </c>
      <c r="F681" s="360">
        <f>'[44]UPAD-BAHAN-ALAT'!$I$12</f>
        <v>110000</v>
      </c>
      <c r="G681" s="248">
        <f>F681*E681</f>
        <v>33000</v>
      </c>
    </row>
    <row r="682" spans="1:7">
      <c r="A682" s="294"/>
      <c r="B682" s="1016" t="s">
        <v>816</v>
      </c>
      <c r="C682" s="247" t="s">
        <v>678</v>
      </c>
      <c r="D682" s="247" t="s">
        <v>675</v>
      </c>
      <c r="E682" s="372">
        <v>0.35</v>
      </c>
      <c r="F682" s="360">
        <f>'[44]UPAD-BAHAN-ALAT'!$I$13</f>
        <v>140000</v>
      </c>
      <c r="G682" s="248">
        <f>F682*E682</f>
        <v>49000</v>
      </c>
    </row>
    <row r="683" spans="1:7">
      <c r="A683" s="294"/>
      <c r="B683" s="1016" t="s">
        <v>751</v>
      </c>
      <c r="C683" s="247" t="s">
        <v>681</v>
      </c>
      <c r="D683" s="247" t="s">
        <v>675</v>
      </c>
      <c r="E683" s="372">
        <v>0.05</v>
      </c>
      <c r="F683" s="360">
        <f>'[44]UPAD-BAHAN-ALAT'!$I$15</f>
        <v>150000</v>
      </c>
      <c r="G683" s="248">
        <f>F683*E683</f>
        <v>7500</v>
      </c>
    </row>
    <row r="684" spans="1:7">
      <c r="A684" s="294"/>
      <c r="B684" s="1016" t="s">
        <v>683</v>
      </c>
      <c r="C684" s="247" t="s">
        <v>684</v>
      </c>
      <c r="D684" s="247" t="s">
        <v>675</v>
      </c>
      <c r="E684" s="372">
        <v>1.2999999999999999E-3</v>
      </c>
      <c r="F684" s="360">
        <f>F667</f>
        <v>140000</v>
      </c>
      <c r="G684" s="248">
        <f>F684*E684</f>
        <v>182</v>
      </c>
    </row>
    <row r="685" spans="1:7">
      <c r="A685" s="294"/>
      <c r="B685" s="1016"/>
      <c r="C685" s="247"/>
      <c r="D685" s="247"/>
      <c r="E685" s="1146" t="s">
        <v>685</v>
      </c>
      <c r="F685" s="1146"/>
      <c r="G685" s="248">
        <f>SUM(G681:G684)</f>
        <v>89682</v>
      </c>
    </row>
    <row r="686" spans="1:7">
      <c r="A686" s="294" t="s">
        <v>686</v>
      </c>
      <c r="B686" s="1016" t="s">
        <v>687</v>
      </c>
      <c r="C686" s="247"/>
      <c r="D686" s="247"/>
      <c r="E686" s="372"/>
      <c r="F686" s="360"/>
      <c r="G686" s="248"/>
    </row>
    <row r="687" spans="1:7">
      <c r="A687" s="294"/>
      <c r="B687" s="1016" t="s">
        <v>3646</v>
      </c>
      <c r="C687" s="247"/>
      <c r="D687" s="247" t="s">
        <v>2647</v>
      </c>
      <c r="E687" s="372">
        <v>1.01</v>
      </c>
      <c r="F687" s="360">
        <f>'UPAD-BAHAN-ALAT Cetak'!I101*42</f>
        <v>105000</v>
      </c>
      <c r="G687" s="248">
        <f>F687*E687</f>
        <v>106050</v>
      </c>
    </row>
    <row r="688" spans="1:7">
      <c r="A688" s="294"/>
      <c r="B688" s="1016" t="s">
        <v>691</v>
      </c>
      <c r="C688" s="247"/>
      <c r="D688" s="247" t="s">
        <v>2646</v>
      </c>
      <c r="E688" s="372">
        <v>0.05</v>
      </c>
      <c r="F688" s="360">
        <f>F672</f>
        <v>175000</v>
      </c>
      <c r="G688" s="248">
        <f>F688*E688</f>
        <v>8750</v>
      </c>
    </row>
    <row r="689" spans="1:7">
      <c r="A689" s="294"/>
      <c r="B689" s="1018"/>
      <c r="C689" s="296"/>
      <c r="D689" s="296"/>
      <c r="E689" s="1146" t="s">
        <v>702</v>
      </c>
      <c r="F689" s="1146"/>
      <c r="G689" s="248">
        <f>SUM(G687:G688)</f>
        <v>114800</v>
      </c>
    </row>
    <row r="690" spans="1:7">
      <c r="A690" s="294" t="s">
        <v>703</v>
      </c>
      <c r="B690" s="1147" t="s">
        <v>3910</v>
      </c>
      <c r="C690" s="1147"/>
      <c r="D690" s="1147"/>
      <c r="E690" s="1147"/>
      <c r="F690" s="1147"/>
      <c r="G690" s="255">
        <f>G685+G689</f>
        <v>204482</v>
      </c>
    </row>
    <row r="691" spans="1:7">
      <c r="A691" s="294" t="s">
        <v>706</v>
      </c>
      <c r="B691" s="1148" t="s">
        <v>4876</v>
      </c>
      <c r="C691" s="1148"/>
      <c r="D691" s="1148"/>
      <c r="E691" s="1147" t="s">
        <v>4030</v>
      </c>
      <c r="F691" s="1147"/>
      <c r="G691" s="255">
        <f>G690*0.15</f>
        <v>30672.3</v>
      </c>
    </row>
    <row r="692" spans="1:7">
      <c r="A692" s="294" t="s">
        <v>708</v>
      </c>
      <c r="B692" s="1149" t="s">
        <v>3911</v>
      </c>
      <c r="C692" s="1149"/>
      <c r="D692" s="1149"/>
      <c r="E692" s="1149"/>
      <c r="F692" s="1149"/>
      <c r="G692" s="255">
        <f>ROUND(SUM(G690:G691),2)</f>
        <v>235154.3</v>
      </c>
    </row>
    <row r="693" spans="1:7">
      <c r="A693" s="276"/>
      <c r="B693" s="275"/>
      <c r="C693" s="276"/>
      <c r="D693" s="276"/>
      <c r="E693" s="383"/>
      <c r="F693" s="656"/>
      <c r="G693" s="264"/>
    </row>
    <row r="694" spans="1:7">
      <c r="A694" s="285" t="s">
        <v>4881</v>
      </c>
      <c r="B694" s="263" t="s">
        <v>4882</v>
      </c>
      <c r="C694" s="276"/>
      <c r="D694" s="276"/>
      <c r="E694" s="383"/>
      <c r="F694" s="656"/>
      <c r="G694" s="264"/>
    </row>
    <row r="695" spans="1:7">
      <c r="A695" s="290" t="s">
        <v>1003</v>
      </c>
      <c r="B695" s="290" t="s">
        <v>1004</v>
      </c>
      <c r="C695" s="293" t="s">
        <v>1005</v>
      </c>
      <c r="D695" s="293" t="s">
        <v>1006</v>
      </c>
      <c r="E695" s="379" t="s">
        <v>1007</v>
      </c>
      <c r="F695" s="389" t="s">
        <v>2637</v>
      </c>
      <c r="G695" s="291" t="s">
        <v>2638</v>
      </c>
    </row>
    <row r="696" spans="1:7">
      <c r="A696" s="294" t="s">
        <v>671</v>
      </c>
      <c r="B696" s="1017" t="s">
        <v>672</v>
      </c>
      <c r="C696" s="283"/>
      <c r="D696" s="283"/>
      <c r="E696" s="428"/>
      <c r="F696" s="429"/>
      <c r="G696" s="248"/>
    </row>
    <row r="697" spans="1:7">
      <c r="A697" s="247"/>
      <c r="B697" s="1016" t="s">
        <v>673</v>
      </c>
      <c r="C697" s="283" t="s">
        <v>674</v>
      </c>
      <c r="D697" s="283" t="s">
        <v>675</v>
      </c>
      <c r="E697" s="428">
        <v>1.05</v>
      </c>
      <c r="F697" s="360">
        <f>'[44]UPAD-BAHAN-ALAT'!$I$12</f>
        <v>110000</v>
      </c>
      <c r="G697" s="248">
        <f>F697*E697</f>
        <v>115500</v>
      </c>
    </row>
    <row r="698" spans="1:7">
      <c r="A698" s="247"/>
      <c r="B698" s="1016" t="s">
        <v>949</v>
      </c>
      <c r="C698" s="283" t="s">
        <v>678</v>
      </c>
      <c r="D698" s="283" t="s">
        <v>675</v>
      </c>
      <c r="E698" s="428">
        <v>1.05</v>
      </c>
      <c r="F698" s="360">
        <f>'[44]UPAD-BAHAN-ALAT'!$I$13</f>
        <v>140000</v>
      </c>
      <c r="G698" s="248">
        <f>F698*E698</f>
        <v>147000</v>
      </c>
    </row>
    <row r="699" spans="1:7">
      <c r="A699" s="247"/>
      <c r="B699" s="1016" t="s">
        <v>751</v>
      </c>
      <c r="C699" s="283" t="s">
        <v>681</v>
      </c>
      <c r="D699" s="283" t="s">
        <v>675</v>
      </c>
      <c r="E699" s="428">
        <v>0.105</v>
      </c>
      <c r="F699" s="360">
        <f>'[44]UPAD-BAHAN-ALAT'!$I$15</f>
        <v>150000</v>
      </c>
      <c r="G699" s="248">
        <f>F699*E699</f>
        <v>15750</v>
      </c>
    </row>
    <row r="700" spans="1:7">
      <c r="A700" s="247"/>
      <c r="B700" s="1016" t="s">
        <v>683</v>
      </c>
      <c r="C700" s="283" t="s">
        <v>684</v>
      </c>
      <c r="D700" s="283" t="s">
        <v>675</v>
      </c>
      <c r="E700" s="428">
        <v>5.1999999999999998E-2</v>
      </c>
      <c r="F700" s="360">
        <f>F684</f>
        <v>140000</v>
      </c>
      <c r="G700" s="248">
        <f>F700*E700</f>
        <v>7280</v>
      </c>
    </row>
    <row r="701" spans="1:7">
      <c r="A701" s="247"/>
      <c r="B701" s="1016"/>
      <c r="C701" s="283"/>
      <c r="D701" s="283"/>
      <c r="E701" s="428" t="s">
        <v>685</v>
      </c>
      <c r="F701" s="429"/>
      <c r="G701" s="248">
        <f>SUM(G697:G700)</f>
        <v>285530</v>
      </c>
    </row>
    <row r="702" spans="1:7">
      <c r="A702" s="294" t="s">
        <v>686</v>
      </c>
      <c r="B702" s="1017" t="s">
        <v>687</v>
      </c>
      <c r="C702" s="283"/>
      <c r="D702" s="283"/>
      <c r="E702" s="428"/>
      <c r="F702" s="429"/>
      <c r="G702" s="248"/>
    </row>
    <row r="703" spans="1:7">
      <c r="A703" s="247"/>
      <c r="B703" s="1016" t="s">
        <v>4883</v>
      </c>
      <c r="C703" s="283"/>
      <c r="D703" s="283" t="s">
        <v>690</v>
      </c>
      <c r="E703" s="428">
        <v>16.3</v>
      </c>
      <c r="F703" s="429">
        <f>'UPAD-BAHAN-ALAT Cetak'!I102</f>
        <v>30000</v>
      </c>
      <c r="G703" s="248">
        <f>F703*E703</f>
        <v>489000</v>
      </c>
    </row>
    <row r="704" spans="1:7">
      <c r="A704" s="247"/>
      <c r="B704" s="1016" t="s">
        <v>953</v>
      </c>
      <c r="C704" s="288"/>
      <c r="D704" s="283" t="s">
        <v>690</v>
      </c>
      <c r="E704" s="428">
        <v>32.799999999999997</v>
      </c>
      <c r="F704" s="429">
        <f>'UPAD-BAHAN-ALAT Cetak'!I103</f>
        <v>25830.078125</v>
      </c>
      <c r="G704" s="248">
        <f>F704*E704</f>
        <v>847226.56249999988</v>
      </c>
    </row>
    <row r="705" spans="1:7">
      <c r="A705" s="247"/>
      <c r="B705" s="1016" t="s">
        <v>954</v>
      </c>
      <c r="C705" s="247"/>
      <c r="D705" s="283" t="s">
        <v>690</v>
      </c>
      <c r="E705" s="428">
        <v>0.05</v>
      </c>
      <c r="F705" s="429">
        <f>'[44]UPAD-BAHAN-ALAT'!$I$121</f>
        <v>44000</v>
      </c>
      <c r="G705" s="248">
        <f>F705*E705</f>
        <v>2200</v>
      </c>
    </row>
    <row r="706" spans="1:7">
      <c r="A706" s="247"/>
      <c r="B706" s="1016"/>
      <c r="C706" s="247"/>
      <c r="D706" s="283"/>
      <c r="E706" s="428" t="s">
        <v>702</v>
      </c>
      <c r="F706" s="429"/>
      <c r="G706" s="248">
        <f>SUM(G703:G705)</f>
        <v>1338426.5625</v>
      </c>
    </row>
    <row r="707" spans="1:7">
      <c r="A707" s="294" t="s">
        <v>703</v>
      </c>
      <c r="B707" s="357" t="s">
        <v>3910</v>
      </c>
      <c r="C707" s="610"/>
      <c r="D707" s="610"/>
      <c r="E707" s="611"/>
      <c r="F707" s="639"/>
      <c r="G707" s="255">
        <f>G701+G706</f>
        <v>1623956.5625</v>
      </c>
    </row>
    <row r="708" spans="1:7">
      <c r="A708" s="294" t="s">
        <v>706</v>
      </c>
      <c r="B708" s="617" t="s">
        <v>4876</v>
      </c>
      <c r="C708" s="618"/>
      <c r="D708" s="633"/>
      <c r="E708" s="613" t="s">
        <v>4030</v>
      </c>
      <c r="F708" s="639"/>
      <c r="G708" s="255">
        <f>G707*0.15</f>
        <v>243593.484375</v>
      </c>
    </row>
    <row r="709" spans="1:7">
      <c r="A709" s="294" t="s">
        <v>708</v>
      </c>
      <c r="B709" s="1149" t="s">
        <v>3911</v>
      </c>
      <c r="C709" s="1149"/>
      <c r="D709" s="1149"/>
      <c r="E709" s="1149"/>
      <c r="F709" s="1149"/>
      <c r="G709" s="255">
        <f>ROUND(SUM(G707:G708),2)</f>
        <v>1867550.05</v>
      </c>
    </row>
    <row r="710" spans="1:7">
      <c r="A710" s="276"/>
      <c r="B710" s="275"/>
      <c r="C710" s="276"/>
      <c r="D710" s="276"/>
      <c r="E710" s="383"/>
      <c r="F710" s="656"/>
      <c r="G710" s="264"/>
    </row>
    <row r="711" spans="1:7">
      <c r="A711" s="285" t="s">
        <v>4119</v>
      </c>
      <c r="B711" s="1001" t="s">
        <v>4725</v>
      </c>
      <c r="C711" s="252"/>
      <c r="D711" s="252"/>
      <c r="E711" s="374"/>
      <c r="F711" s="361"/>
      <c r="G711" s="253"/>
    </row>
    <row r="712" spans="1:7">
      <c r="A712" s="290" t="s">
        <v>1003</v>
      </c>
      <c r="B712" s="290" t="s">
        <v>1004</v>
      </c>
      <c r="C712" s="293" t="s">
        <v>1005</v>
      </c>
      <c r="D712" s="293" t="s">
        <v>1006</v>
      </c>
      <c r="E712" s="379" t="s">
        <v>1007</v>
      </c>
      <c r="F712" s="427" t="s">
        <v>2637</v>
      </c>
      <c r="G712" s="291" t="s">
        <v>2638</v>
      </c>
    </row>
    <row r="713" spans="1:7">
      <c r="A713" s="294" t="s">
        <v>671</v>
      </c>
      <c r="B713" s="1017" t="s">
        <v>672</v>
      </c>
      <c r="C713" s="283"/>
      <c r="D713" s="283"/>
      <c r="E713" s="428"/>
      <c r="F713" s="429"/>
      <c r="G713" s="248"/>
    </row>
    <row r="714" spans="1:7">
      <c r="A714" s="247"/>
      <c r="B714" s="1016" t="s">
        <v>673</v>
      </c>
      <c r="C714" s="283" t="s">
        <v>674</v>
      </c>
      <c r="D714" s="283" t="s">
        <v>675</v>
      </c>
      <c r="E714" s="428">
        <v>0.1</v>
      </c>
      <c r="F714" s="360">
        <f>'[44]UPAD-BAHAN-ALAT'!$I$12</f>
        <v>110000</v>
      </c>
      <c r="G714" s="248">
        <f>F714*E714</f>
        <v>11000</v>
      </c>
    </row>
    <row r="715" spans="1:7">
      <c r="A715" s="247"/>
      <c r="B715" s="256" t="s">
        <v>3536</v>
      </c>
      <c r="C715" s="283" t="s">
        <v>681</v>
      </c>
      <c r="D715" s="430" t="s">
        <v>675</v>
      </c>
      <c r="E715" s="428">
        <v>0.1</v>
      </c>
      <c r="F715" s="360">
        <f>'[44]UPAD-BAHAN-ALAT'!$I$15</f>
        <v>150000</v>
      </c>
      <c r="G715" s="248">
        <f>F715*E715</f>
        <v>15000</v>
      </c>
    </row>
    <row r="716" spans="1:7">
      <c r="A716" s="247"/>
      <c r="B716" s="1016" t="s">
        <v>751</v>
      </c>
      <c r="C716" s="283" t="s">
        <v>681</v>
      </c>
      <c r="D716" s="283" t="s">
        <v>675</v>
      </c>
      <c r="E716" s="428">
        <v>1E-3</v>
      </c>
      <c r="F716" s="360">
        <f>'[44]UPAD-BAHAN-ALAT'!$I$15</f>
        <v>150000</v>
      </c>
      <c r="G716" s="248">
        <f>F716*E716</f>
        <v>150</v>
      </c>
    </row>
    <row r="717" spans="1:7">
      <c r="A717" s="247"/>
      <c r="B717" s="1016" t="s">
        <v>683</v>
      </c>
      <c r="C717" s="283" t="s">
        <v>684</v>
      </c>
      <c r="D717" s="283" t="s">
        <v>675</v>
      </c>
      <c r="E717" s="428">
        <v>5.0000000000000001E-3</v>
      </c>
      <c r="F717" s="360">
        <f>F700</f>
        <v>140000</v>
      </c>
      <c r="G717" s="248">
        <f>F717*E717</f>
        <v>700</v>
      </c>
    </row>
    <row r="718" spans="1:7">
      <c r="A718" s="247"/>
      <c r="B718" s="1016"/>
      <c r="C718" s="288"/>
      <c r="D718" s="283"/>
      <c r="E718" s="428" t="s">
        <v>685</v>
      </c>
      <c r="F718" s="429"/>
      <c r="G718" s="248">
        <f>SUM(G714:G717)</f>
        <v>26850</v>
      </c>
    </row>
    <row r="719" spans="1:7">
      <c r="A719" s="294" t="s">
        <v>686</v>
      </c>
      <c r="B719" s="1017" t="s">
        <v>687</v>
      </c>
      <c r="C719" s="288"/>
      <c r="D719" s="283"/>
      <c r="E719" s="428"/>
      <c r="F719" s="429"/>
      <c r="G719" s="248"/>
    </row>
    <row r="720" spans="1:7">
      <c r="A720" s="247"/>
      <c r="B720" s="1016" t="s">
        <v>926</v>
      </c>
      <c r="C720" s="288"/>
      <c r="D720" s="283" t="s">
        <v>701</v>
      </c>
      <c r="E720" s="428">
        <v>1</v>
      </c>
      <c r="F720" s="429">
        <v>10000</v>
      </c>
      <c r="G720" s="248">
        <f>F720*E720</f>
        <v>10000</v>
      </c>
    </row>
    <row r="721" spans="1:7">
      <c r="A721" s="247"/>
      <c r="B721" s="1016" t="s">
        <v>947</v>
      </c>
      <c r="C721" s="288"/>
      <c r="D721" s="283" t="s">
        <v>701</v>
      </c>
      <c r="E721" s="428">
        <v>0.1</v>
      </c>
      <c r="F721" s="429">
        <f>'[44]UPAD-BAHAN-ALAT'!$I$513</f>
        <v>50000</v>
      </c>
      <c r="G721" s="248">
        <f>F721*E721</f>
        <v>5000</v>
      </c>
    </row>
    <row r="722" spans="1:7">
      <c r="A722" s="247"/>
      <c r="B722" s="1016"/>
      <c r="C722" s="288"/>
      <c r="D722" s="283"/>
      <c r="E722" s="428" t="s">
        <v>702</v>
      </c>
      <c r="F722" s="429"/>
      <c r="G722" s="248">
        <f>SUM(G720:G721)</f>
        <v>15000</v>
      </c>
    </row>
    <row r="723" spans="1:7">
      <c r="A723" s="294" t="s">
        <v>703</v>
      </c>
      <c r="B723" s="357" t="s">
        <v>3910</v>
      </c>
      <c r="C723" s="610"/>
      <c r="D723" s="610"/>
      <c r="E723" s="611"/>
      <c r="F723" s="639"/>
      <c r="G723" s="255">
        <f>G718+G722</f>
        <v>41850</v>
      </c>
    </row>
    <row r="724" spans="1:7">
      <c r="A724" s="294" t="s">
        <v>706</v>
      </c>
      <c r="B724" s="617" t="s">
        <v>4876</v>
      </c>
      <c r="C724" s="618"/>
      <c r="D724" s="633"/>
      <c r="E724" s="613" t="s">
        <v>4030</v>
      </c>
      <c r="F724" s="639"/>
      <c r="G724" s="255">
        <f>G723*0.15</f>
        <v>6277.5</v>
      </c>
    </row>
    <row r="725" spans="1:7">
      <c r="A725" s="294" t="s">
        <v>708</v>
      </c>
      <c r="B725" s="1149" t="s">
        <v>3911</v>
      </c>
      <c r="C725" s="1149"/>
      <c r="D725" s="1149"/>
      <c r="E725" s="1149"/>
      <c r="F725" s="1149"/>
      <c r="G725" s="255">
        <f>ROUND(SUM(G723:G724),2)</f>
        <v>48127.5</v>
      </c>
    </row>
    <row r="726" spans="1:7">
      <c r="A726" s="276"/>
      <c r="B726" s="275"/>
      <c r="C726" s="276"/>
      <c r="D726" s="276"/>
      <c r="E726" s="383"/>
      <c r="F726" s="656"/>
      <c r="G726" s="264"/>
    </row>
    <row r="727" spans="1:7">
      <c r="A727" s="285" t="s">
        <v>4136</v>
      </c>
      <c r="B727" s="263" t="s">
        <v>2880</v>
      </c>
      <c r="C727" s="276"/>
      <c r="D727" s="276"/>
      <c r="E727" s="383"/>
      <c r="F727" s="656"/>
      <c r="G727" s="264"/>
    </row>
    <row r="728" spans="1:7">
      <c r="A728" s="290" t="s">
        <v>1003</v>
      </c>
      <c r="B728" s="290" t="s">
        <v>1004</v>
      </c>
      <c r="C728" s="290" t="s">
        <v>1005</v>
      </c>
      <c r="D728" s="290" t="s">
        <v>1006</v>
      </c>
      <c r="E728" s="379" t="s">
        <v>1007</v>
      </c>
      <c r="F728" s="363" t="s">
        <v>2637</v>
      </c>
      <c r="G728" s="291" t="s">
        <v>2638</v>
      </c>
    </row>
    <row r="729" spans="1:7">
      <c r="A729" s="294" t="s">
        <v>671</v>
      </c>
      <c r="B729" s="1017" t="s">
        <v>672</v>
      </c>
      <c r="C729" s="247"/>
      <c r="D729" s="247"/>
      <c r="E729" s="428"/>
      <c r="F729" s="360"/>
      <c r="G729" s="248"/>
    </row>
    <row r="730" spans="1:7">
      <c r="A730" s="247"/>
      <c r="B730" s="1016" t="s">
        <v>673</v>
      </c>
      <c r="C730" s="247" t="s">
        <v>674</v>
      </c>
      <c r="D730" s="247" t="s">
        <v>675</v>
      </c>
      <c r="E730" s="428">
        <v>0.1</v>
      </c>
      <c r="F730" s="360">
        <f>'[44]UPAD-BAHAN-ALAT'!$I$12</f>
        <v>110000</v>
      </c>
      <c r="G730" s="248">
        <f>F730*E730</f>
        <v>11000</v>
      </c>
    </row>
    <row r="731" spans="1:7">
      <c r="A731" s="247"/>
      <c r="B731" s="1016" t="s">
        <v>782</v>
      </c>
      <c r="C731" s="247" t="s">
        <v>678</v>
      </c>
      <c r="D731" s="247" t="s">
        <v>675</v>
      </c>
      <c r="E731" s="428">
        <v>0.1</v>
      </c>
      <c r="F731" s="360">
        <f>'[44]UPAD-BAHAN-ALAT'!$I$13</f>
        <v>140000</v>
      </c>
      <c r="G731" s="248">
        <f>F731*E731</f>
        <v>14000</v>
      </c>
    </row>
    <row r="732" spans="1:7">
      <c r="A732" s="247"/>
      <c r="B732" s="1016" t="s">
        <v>751</v>
      </c>
      <c r="C732" s="247" t="s">
        <v>681</v>
      </c>
      <c r="D732" s="247" t="s">
        <v>675</v>
      </c>
      <c r="E732" s="428">
        <v>0.01</v>
      </c>
      <c r="F732" s="360">
        <f>'[44]UPAD-BAHAN-ALAT'!$I$15</f>
        <v>150000</v>
      </c>
      <c r="G732" s="248">
        <f>F732*E732</f>
        <v>1500</v>
      </c>
    </row>
    <row r="733" spans="1:7">
      <c r="A733" s="247"/>
      <c r="B733" s="1016" t="s">
        <v>683</v>
      </c>
      <c r="C733" s="247" t="s">
        <v>684</v>
      </c>
      <c r="D733" s="247" t="s">
        <v>675</v>
      </c>
      <c r="E733" s="428">
        <v>5.0000000000000001E-3</v>
      </c>
      <c r="F733" s="360">
        <f>F717</f>
        <v>140000</v>
      </c>
      <c r="G733" s="248">
        <f>F733*E733</f>
        <v>700</v>
      </c>
    </row>
    <row r="734" spans="1:7">
      <c r="A734" s="247"/>
      <c r="B734" s="1016"/>
      <c r="C734" s="247"/>
      <c r="D734" s="247"/>
      <c r="E734" s="428" t="s">
        <v>685</v>
      </c>
      <c r="F734" s="390"/>
      <c r="G734" s="248">
        <f>SUM(G730:G733)</f>
        <v>27200</v>
      </c>
    </row>
    <row r="735" spans="1:7">
      <c r="A735" s="294" t="s">
        <v>686</v>
      </c>
      <c r="B735" s="1017" t="s">
        <v>687</v>
      </c>
      <c r="C735" s="247"/>
      <c r="D735" s="247"/>
      <c r="E735" s="428"/>
      <c r="F735" s="360"/>
      <c r="G735" s="248"/>
    </row>
    <row r="736" spans="1:7">
      <c r="A736" s="247"/>
      <c r="B736" s="1016" t="s">
        <v>3459</v>
      </c>
      <c r="C736" s="247"/>
      <c r="D736" s="247" t="s">
        <v>2647</v>
      </c>
      <c r="E736" s="428">
        <v>1.1000000000000001</v>
      </c>
      <c r="F736" s="360">
        <f>'UPAD-BAHAN-ALAT Cetak'!I104</f>
        <v>125000</v>
      </c>
      <c r="G736" s="248">
        <f>F736*E736</f>
        <v>137500</v>
      </c>
    </row>
    <row r="737" spans="1:7">
      <c r="A737" s="247"/>
      <c r="B737" s="1016" t="s">
        <v>958</v>
      </c>
      <c r="C737" s="247"/>
      <c r="D737" s="247" t="s">
        <v>959</v>
      </c>
      <c r="E737" s="428">
        <v>11.11</v>
      </c>
      <c r="F737" s="360">
        <v>4491</v>
      </c>
      <c r="G737" s="248">
        <f>F737*E737</f>
        <v>49895.009999999995</v>
      </c>
    </row>
    <row r="738" spans="1:7">
      <c r="A738" s="247"/>
      <c r="B738" s="1016" t="s">
        <v>2652</v>
      </c>
      <c r="C738" s="247"/>
      <c r="D738" s="247" t="s">
        <v>773</v>
      </c>
      <c r="E738" s="428">
        <v>1.716</v>
      </c>
      <c r="F738" s="360">
        <f>'UPAD-BAHAN-ALAT Cetak'!I105</f>
        <v>25220</v>
      </c>
      <c r="G738" s="248">
        <f>F738*E738</f>
        <v>43277.52</v>
      </c>
    </row>
    <row r="739" spans="1:7">
      <c r="A739" s="247"/>
      <c r="B739" s="1016"/>
      <c r="C739" s="247"/>
      <c r="D739" s="247"/>
      <c r="E739" s="428" t="s">
        <v>702</v>
      </c>
      <c r="F739" s="390"/>
      <c r="G739" s="248">
        <f>SUM(G736:G738)</f>
        <v>230672.53</v>
      </c>
    </row>
    <row r="740" spans="1:7">
      <c r="A740" s="294" t="s">
        <v>703</v>
      </c>
      <c r="B740" s="357" t="s">
        <v>3910</v>
      </c>
      <c r="C740" s="610"/>
      <c r="D740" s="610"/>
      <c r="E740" s="611"/>
      <c r="F740" s="612"/>
      <c r="G740" s="255">
        <f>G734+G739</f>
        <v>257872.53</v>
      </c>
    </row>
    <row r="741" spans="1:7">
      <c r="A741" s="294" t="s">
        <v>706</v>
      </c>
      <c r="B741" s="617" t="s">
        <v>4876</v>
      </c>
      <c r="C741" s="618"/>
      <c r="D741" s="633"/>
      <c r="E741" s="613" t="s">
        <v>4030</v>
      </c>
      <c r="F741" s="612"/>
      <c r="G741" s="255">
        <f>G740*0.15</f>
        <v>38680.879499999995</v>
      </c>
    </row>
    <row r="742" spans="1:7">
      <c r="A742" s="294" t="s">
        <v>708</v>
      </c>
      <c r="B742" s="1149" t="s">
        <v>3911</v>
      </c>
      <c r="C742" s="1149"/>
      <c r="D742" s="1149"/>
      <c r="E742" s="1149"/>
      <c r="F742" s="1149"/>
      <c r="G742" s="255">
        <f>ROUND(SUM(G740:G741),2)</f>
        <v>296553.40999999997</v>
      </c>
    </row>
    <row r="743" spans="1:7">
      <c r="A743" s="276"/>
      <c r="B743" s="275"/>
      <c r="C743" s="276"/>
      <c r="D743" s="276"/>
      <c r="E743" s="383"/>
      <c r="F743" s="656"/>
      <c r="G743" s="264"/>
    </row>
    <row r="744" spans="1:7">
      <c r="A744" s="285" t="s">
        <v>4183</v>
      </c>
      <c r="B744" s="263" t="s">
        <v>2820</v>
      </c>
      <c r="C744" s="276"/>
      <c r="D744" s="276"/>
      <c r="E744" s="383"/>
      <c r="F744" s="656"/>
      <c r="G744" s="264"/>
    </row>
    <row r="745" spans="1:7">
      <c r="A745" s="298" t="s">
        <v>1003</v>
      </c>
      <c r="B745" s="298" t="s">
        <v>1004</v>
      </c>
      <c r="C745" s="698" t="s">
        <v>1005</v>
      </c>
      <c r="D745" s="698" t="s">
        <v>1006</v>
      </c>
      <c r="E745" s="699" t="s">
        <v>1007</v>
      </c>
      <c r="F745" s="389" t="s">
        <v>2637</v>
      </c>
      <c r="G745" s="291" t="s">
        <v>2638</v>
      </c>
    </row>
    <row r="746" spans="1:7">
      <c r="A746" s="294" t="s">
        <v>671</v>
      </c>
      <c r="B746" s="1016" t="s">
        <v>672</v>
      </c>
      <c r="C746" s="283"/>
      <c r="D746" s="283"/>
      <c r="E746" s="428"/>
      <c r="F746" s="624"/>
      <c r="G746" s="248"/>
    </row>
    <row r="747" spans="1:7">
      <c r="A747" s="294"/>
      <c r="B747" s="1016" t="s">
        <v>673</v>
      </c>
      <c r="C747" s="283" t="s">
        <v>674</v>
      </c>
      <c r="D747" s="283" t="s">
        <v>675</v>
      </c>
      <c r="E747" s="428">
        <v>0.2</v>
      </c>
      <c r="F747" s="360">
        <f>F730</f>
        <v>110000</v>
      </c>
      <c r="G747" s="248">
        <f>F747*E747</f>
        <v>22000</v>
      </c>
    </row>
    <row r="748" spans="1:7">
      <c r="A748" s="294"/>
      <c r="B748" s="1016" t="s">
        <v>816</v>
      </c>
      <c r="C748" s="283" t="s">
        <v>681</v>
      </c>
      <c r="D748" s="283" t="s">
        <v>675</v>
      </c>
      <c r="E748" s="428">
        <v>0.1</v>
      </c>
      <c r="F748" s="360">
        <f>F731</f>
        <v>140000</v>
      </c>
      <c r="G748" s="248">
        <f>F748*E748</f>
        <v>14000</v>
      </c>
    </row>
    <row r="749" spans="1:7">
      <c r="A749" s="294"/>
      <c r="B749" s="1016" t="s">
        <v>680</v>
      </c>
      <c r="C749" s="283" t="s">
        <v>681</v>
      </c>
      <c r="D749" s="283" t="s">
        <v>675</v>
      </c>
      <c r="E749" s="428">
        <v>0.01</v>
      </c>
      <c r="F749" s="360">
        <f>F732</f>
        <v>150000</v>
      </c>
      <c r="G749" s="248">
        <f>F749*E749</f>
        <v>1500</v>
      </c>
    </row>
    <row r="750" spans="1:7">
      <c r="A750" s="294"/>
      <c r="B750" s="1016" t="s">
        <v>683</v>
      </c>
      <c r="C750" s="283" t="s">
        <v>684</v>
      </c>
      <c r="D750" s="283" t="s">
        <v>675</v>
      </c>
      <c r="E750" s="428">
        <v>0.01</v>
      </c>
      <c r="F750" s="360">
        <f>F733</f>
        <v>140000</v>
      </c>
      <c r="G750" s="248">
        <f>F750*E750</f>
        <v>1400</v>
      </c>
    </row>
    <row r="751" spans="1:7">
      <c r="A751" s="294"/>
      <c r="B751" s="1016"/>
      <c r="C751" s="283"/>
      <c r="D751" s="283"/>
      <c r="E751" s="428" t="s">
        <v>685</v>
      </c>
      <c r="F751" s="663"/>
      <c r="G751" s="248">
        <f>SUM(G747:G750)</f>
        <v>38900</v>
      </c>
    </row>
    <row r="752" spans="1:7">
      <c r="A752" s="294" t="s">
        <v>686</v>
      </c>
      <c r="B752" s="1016" t="s">
        <v>687</v>
      </c>
      <c r="C752" s="283"/>
      <c r="D752" s="283"/>
      <c r="E752" s="428"/>
      <c r="F752" s="624"/>
      <c r="G752" s="248"/>
    </row>
    <row r="753" spans="1:7">
      <c r="A753" s="294"/>
      <c r="B753" s="1016" t="s">
        <v>790</v>
      </c>
      <c r="C753" s="283"/>
      <c r="D753" s="283" t="s">
        <v>690</v>
      </c>
      <c r="E753" s="428">
        <v>3.25</v>
      </c>
      <c r="F753" s="360">
        <f>'[44]UPAD-BAHAN-ALAT Cetak'!I45</f>
        <v>1625</v>
      </c>
      <c r="G753" s="248">
        <f>F753*E753</f>
        <v>5281.25</v>
      </c>
    </row>
    <row r="754" spans="1:7">
      <c r="A754" s="294"/>
      <c r="B754" s="1016"/>
      <c r="C754" s="283"/>
      <c r="D754" s="283"/>
      <c r="E754" s="428" t="s">
        <v>702</v>
      </c>
      <c r="F754" s="663"/>
      <c r="G754" s="248">
        <f>SUM(G753)</f>
        <v>5281.25</v>
      </c>
    </row>
    <row r="755" spans="1:7">
      <c r="A755" s="294" t="s">
        <v>703</v>
      </c>
      <c r="B755" s="357" t="s">
        <v>3910</v>
      </c>
      <c r="C755" s="610"/>
      <c r="D755" s="610"/>
      <c r="E755" s="611"/>
      <c r="F755" s="616"/>
      <c r="G755" s="255">
        <f>G751+G754</f>
        <v>44181.25</v>
      </c>
    </row>
    <row r="756" spans="1:7">
      <c r="A756" s="294" t="s">
        <v>706</v>
      </c>
      <c r="B756" s="617" t="s">
        <v>876</v>
      </c>
      <c r="C756" s="618"/>
      <c r="D756" s="618"/>
      <c r="E756" s="613" t="s">
        <v>4030</v>
      </c>
      <c r="F756" s="616"/>
      <c r="G756" s="255">
        <f>G755*0.15</f>
        <v>6627.1875</v>
      </c>
    </row>
    <row r="757" spans="1:7">
      <c r="A757" s="294" t="s">
        <v>708</v>
      </c>
      <c r="B757" s="357" t="s">
        <v>3911</v>
      </c>
      <c r="C757" s="610"/>
      <c r="D757" s="610"/>
      <c r="E757" s="611"/>
      <c r="F757" s="616"/>
      <c r="G757" s="255">
        <f>ROUND(SUM(G755:G756),2)</f>
        <v>50808.44</v>
      </c>
    </row>
    <row r="758" spans="1:7">
      <c r="A758" s="276"/>
      <c r="B758" s="275"/>
      <c r="C758" s="276"/>
      <c r="D758" s="276"/>
      <c r="E758" s="383"/>
      <c r="F758" s="656"/>
      <c r="G758" s="264"/>
    </row>
  </sheetData>
  <mergeCells count="250">
    <mergeCell ref="B692:F692"/>
    <mergeCell ref="B709:F709"/>
    <mergeCell ref="B725:F725"/>
    <mergeCell ref="B742:F742"/>
    <mergeCell ref="E76:F76"/>
    <mergeCell ref="E79:F79"/>
    <mergeCell ref="B80:F80"/>
    <mergeCell ref="B81:D81"/>
    <mergeCell ref="E81:F81"/>
    <mergeCell ref="B82:F82"/>
    <mergeCell ref="E673:F673"/>
    <mergeCell ref="B674:F674"/>
    <mergeCell ref="B675:D675"/>
    <mergeCell ref="E675:F675"/>
    <mergeCell ref="B676:F676"/>
    <mergeCell ref="E685:F685"/>
    <mergeCell ref="E689:F689"/>
    <mergeCell ref="B690:F690"/>
    <mergeCell ref="B691:D691"/>
    <mergeCell ref="E691:F691"/>
    <mergeCell ref="B610:F610"/>
    <mergeCell ref="B611:D611"/>
    <mergeCell ref="E611:F611"/>
    <mergeCell ref="B612:F612"/>
    <mergeCell ref="E621:F621"/>
    <mergeCell ref="E625:F625"/>
    <mergeCell ref="B626:F626"/>
    <mergeCell ref="B627:D627"/>
    <mergeCell ref="E627:F627"/>
    <mergeCell ref="B580:F580"/>
    <mergeCell ref="E589:F589"/>
    <mergeCell ref="E593:F593"/>
    <mergeCell ref="B594:F594"/>
    <mergeCell ref="B595:D595"/>
    <mergeCell ref="E595:F595"/>
    <mergeCell ref="B596:F596"/>
    <mergeCell ref="E605:F605"/>
    <mergeCell ref="E609:F609"/>
    <mergeCell ref="B562:F562"/>
    <mergeCell ref="B563:D563"/>
    <mergeCell ref="E563:F563"/>
    <mergeCell ref="B564:F564"/>
    <mergeCell ref="E573:F573"/>
    <mergeCell ref="E577:F577"/>
    <mergeCell ref="B578:F578"/>
    <mergeCell ref="B579:D579"/>
    <mergeCell ref="E579:F579"/>
    <mergeCell ref="B532:F532"/>
    <mergeCell ref="E541:F541"/>
    <mergeCell ref="E545:F545"/>
    <mergeCell ref="B546:F546"/>
    <mergeCell ref="B547:D547"/>
    <mergeCell ref="E547:F547"/>
    <mergeCell ref="B548:F548"/>
    <mergeCell ref="E557:F557"/>
    <mergeCell ref="E561:F561"/>
    <mergeCell ref="A1:G1"/>
    <mergeCell ref="E53:F53"/>
    <mergeCell ref="E237:F237"/>
    <mergeCell ref="E241:F241"/>
    <mergeCell ref="E41:F41"/>
    <mergeCell ref="B42:F42"/>
    <mergeCell ref="B43:D43"/>
    <mergeCell ref="E43:F43"/>
    <mergeCell ref="B44:F44"/>
    <mergeCell ref="E190:F190"/>
    <mergeCell ref="B194:F194"/>
    <mergeCell ref="E203:F203"/>
    <mergeCell ref="E207:F207"/>
    <mergeCell ref="B208:F208"/>
    <mergeCell ref="E132:F132"/>
    <mergeCell ref="B133:F133"/>
    <mergeCell ref="B134:D134"/>
    <mergeCell ref="E134:F134"/>
    <mergeCell ref="B135:F135"/>
    <mergeCell ref="E114:F114"/>
    <mergeCell ref="E126:F126"/>
    <mergeCell ref="B117:F117"/>
    <mergeCell ref="E169:F169"/>
    <mergeCell ref="B56:F56"/>
    <mergeCell ref="E91:F91"/>
    <mergeCell ref="E97:F97"/>
    <mergeCell ref="B98:F98"/>
    <mergeCell ref="B99:D99"/>
    <mergeCell ref="E99:F99"/>
    <mergeCell ref="E39:F39"/>
    <mergeCell ref="E51:F51"/>
    <mergeCell ref="B54:F54"/>
    <mergeCell ref="B55:D55"/>
    <mergeCell ref="E55:F55"/>
    <mergeCell ref="E63:F63"/>
    <mergeCell ref="E66:F66"/>
    <mergeCell ref="B67:F67"/>
    <mergeCell ref="B68:D68"/>
    <mergeCell ref="E68:F68"/>
    <mergeCell ref="B69:F69"/>
    <mergeCell ref="E144:F144"/>
    <mergeCell ref="E149:F149"/>
    <mergeCell ref="B150:F150"/>
    <mergeCell ref="B151:D151"/>
    <mergeCell ref="E151:F151"/>
    <mergeCell ref="B100:F100"/>
    <mergeCell ref="E109:F109"/>
    <mergeCell ref="B115:F115"/>
    <mergeCell ref="B116:D116"/>
    <mergeCell ref="E116:F116"/>
    <mergeCell ref="B173:F173"/>
    <mergeCell ref="E182:F182"/>
    <mergeCell ref="B192:F192"/>
    <mergeCell ref="B193:D193"/>
    <mergeCell ref="E193:F193"/>
    <mergeCell ref="B152:F152"/>
    <mergeCell ref="E161:F161"/>
    <mergeCell ref="B171:F171"/>
    <mergeCell ref="B172:D172"/>
    <mergeCell ref="E172:F172"/>
    <mergeCell ref="E225:F225"/>
    <mergeCell ref="B226:F226"/>
    <mergeCell ref="B227:D227"/>
    <mergeCell ref="E227:F227"/>
    <mergeCell ref="B228:F228"/>
    <mergeCell ref="B209:D209"/>
    <mergeCell ref="E209:F209"/>
    <mergeCell ref="B210:F210"/>
    <mergeCell ref="B211:F211"/>
    <mergeCell ref="E220:F220"/>
    <mergeCell ref="E259:F259"/>
    <mergeCell ref="B260:F260"/>
    <mergeCell ref="B261:D261"/>
    <mergeCell ref="E261:F261"/>
    <mergeCell ref="B262:F262"/>
    <mergeCell ref="B242:F242"/>
    <mergeCell ref="B243:D243"/>
    <mergeCell ref="E243:F243"/>
    <mergeCell ref="B244:F244"/>
    <mergeCell ref="E253:F253"/>
    <mergeCell ref="B280:F280"/>
    <mergeCell ref="E289:F289"/>
    <mergeCell ref="E295:F295"/>
    <mergeCell ref="B296:F296"/>
    <mergeCell ref="B297:D297"/>
    <mergeCell ref="E297:F297"/>
    <mergeCell ref="E271:F271"/>
    <mergeCell ref="E277:F277"/>
    <mergeCell ref="B278:F278"/>
    <mergeCell ref="B279:D279"/>
    <mergeCell ref="E279:F279"/>
    <mergeCell ref="B316:F316"/>
    <mergeCell ref="E325:F325"/>
    <mergeCell ref="B298:F298"/>
    <mergeCell ref="E307:F307"/>
    <mergeCell ref="E313:F313"/>
    <mergeCell ref="B314:F314"/>
    <mergeCell ref="B315:D315"/>
    <mergeCell ref="E315:F315"/>
    <mergeCell ref="E331:F331"/>
    <mergeCell ref="B332:F332"/>
    <mergeCell ref="B333:D333"/>
    <mergeCell ref="E333:F333"/>
    <mergeCell ref="B334:F334"/>
    <mergeCell ref="E343:F343"/>
    <mergeCell ref="E348:F348"/>
    <mergeCell ref="B349:F349"/>
    <mergeCell ref="B350:D350"/>
    <mergeCell ref="E350:F350"/>
    <mergeCell ref="B351:F351"/>
    <mergeCell ref="E360:F360"/>
    <mergeCell ref="E364:F364"/>
    <mergeCell ref="B365:F365"/>
    <mergeCell ref="B366:D366"/>
    <mergeCell ref="E366:F366"/>
    <mergeCell ref="B367:F367"/>
    <mergeCell ref="E376:F376"/>
    <mergeCell ref="E380:F380"/>
    <mergeCell ref="B381:F381"/>
    <mergeCell ref="B382:D382"/>
    <mergeCell ref="E382:F382"/>
    <mergeCell ref="B383:F383"/>
    <mergeCell ref="E392:F392"/>
    <mergeCell ref="E396:F396"/>
    <mergeCell ref="E429:F429"/>
    <mergeCell ref="B430:F430"/>
    <mergeCell ref="B431:D431"/>
    <mergeCell ref="E431:F431"/>
    <mergeCell ref="B397:F397"/>
    <mergeCell ref="B398:D398"/>
    <mergeCell ref="E398:F398"/>
    <mergeCell ref="B399:F399"/>
    <mergeCell ref="B414:F414"/>
    <mergeCell ref="B415:D415"/>
    <mergeCell ref="E415:F415"/>
    <mergeCell ref="B416:F416"/>
    <mergeCell ref="E425:F425"/>
    <mergeCell ref="B432:F432"/>
    <mergeCell ref="E439:F439"/>
    <mergeCell ref="E442:F442"/>
    <mergeCell ref="B443:F443"/>
    <mergeCell ref="B444:D444"/>
    <mergeCell ref="E444:F444"/>
    <mergeCell ref="B445:F445"/>
    <mergeCell ref="E454:F454"/>
    <mergeCell ref="E459:F459"/>
    <mergeCell ref="B642:D642"/>
    <mergeCell ref="E642:F642"/>
    <mergeCell ref="B643:F643"/>
    <mergeCell ref="E652:F652"/>
    <mergeCell ref="E656:F656"/>
    <mergeCell ref="B657:F657"/>
    <mergeCell ref="B460:F460"/>
    <mergeCell ref="E509:F509"/>
    <mergeCell ref="E513:F513"/>
    <mergeCell ref="B514:F514"/>
    <mergeCell ref="B515:D515"/>
    <mergeCell ref="E515:F515"/>
    <mergeCell ref="B516:F516"/>
    <mergeCell ref="E525:F525"/>
    <mergeCell ref="E529:F529"/>
    <mergeCell ref="B461:D461"/>
    <mergeCell ref="E461:F461"/>
    <mergeCell ref="B462:F462"/>
    <mergeCell ref="E492:F492"/>
    <mergeCell ref="E497:F497"/>
    <mergeCell ref="B498:F498"/>
    <mergeCell ref="B499:D499"/>
    <mergeCell ref="E499:F499"/>
    <mergeCell ref="B500:F500"/>
    <mergeCell ref="E8:F8"/>
    <mergeCell ref="B658:D658"/>
    <mergeCell ref="E658:F658"/>
    <mergeCell ref="B659:F659"/>
    <mergeCell ref="E668:F668"/>
    <mergeCell ref="B628:F628"/>
    <mergeCell ref="E637:F637"/>
    <mergeCell ref="E640:F640"/>
    <mergeCell ref="B641:F641"/>
    <mergeCell ref="E10:F10"/>
    <mergeCell ref="B11:F11"/>
    <mergeCell ref="B12:D12"/>
    <mergeCell ref="E12:F12"/>
    <mergeCell ref="B13:F13"/>
    <mergeCell ref="E22:F22"/>
    <mergeCell ref="E27:F27"/>
    <mergeCell ref="B28:F28"/>
    <mergeCell ref="B29:D29"/>
    <mergeCell ref="E29:F29"/>
    <mergeCell ref="B30:F30"/>
    <mergeCell ref="B31:F31"/>
    <mergeCell ref="B530:F530"/>
    <mergeCell ref="B531:D531"/>
    <mergeCell ref="E531:F531"/>
  </mergeCells>
  <pageMargins left="1.06" right="0.15" top="0.28999999999999998" bottom="0.67" header="0.2" footer="0.31496062992126"/>
  <pageSetup paperSize="9" scale="80" orientation="portrait" horizontalDpi="4294967294" verticalDpi="36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8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8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8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2297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.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8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7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7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1332" t="s">
        <v>702</v>
      </c>
      <c r="F36" s="1332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2" t="s">
        <v>705</v>
      </c>
      <c r="F39" s="1332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2" t="s">
        <v>707</v>
      </c>
      <c r="C41" s="1332"/>
      <c r="D41" s="1332"/>
      <c r="E41" s="1332"/>
      <c r="F41" s="1332"/>
      <c r="G41" s="5"/>
    </row>
    <row r="42" spans="1:7" ht="12" customHeight="1">
      <c r="A42" s="3" t="s">
        <v>708</v>
      </c>
      <c r="B42" s="1329" t="s">
        <v>876</v>
      </c>
      <c r="C42" s="1329"/>
      <c r="D42" s="1329"/>
      <c r="E42" s="1330" t="s">
        <v>710</v>
      </c>
      <c r="F42" s="1330"/>
      <c r="G42" s="5"/>
    </row>
    <row r="43" spans="1:7" ht="12.2" customHeight="1">
      <c r="A43" s="3" t="s">
        <v>711</v>
      </c>
      <c r="B43" s="1331" t="s">
        <v>712</v>
      </c>
      <c r="C43" s="1331"/>
      <c r="D43" s="1331"/>
      <c r="E43" s="1331"/>
      <c r="F43" s="1331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2301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1332" t="s">
        <v>702</v>
      </c>
      <c r="F34" s="1332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2" t="s">
        <v>705</v>
      </c>
      <c r="F37" s="1332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2" t="s">
        <v>707</v>
      </c>
      <c r="C39" s="1332"/>
      <c r="D39" s="1332"/>
      <c r="E39" s="1332"/>
      <c r="F39" s="1332"/>
      <c r="G39" s="5"/>
    </row>
    <row r="40" spans="1:7" ht="12" customHeight="1">
      <c r="A40" s="3" t="s">
        <v>708</v>
      </c>
      <c r="B40" s="1329" t="s">
        <v>876</v>
      </c>
      <c r="C40" s="1329"/>
      <c r="D40" s="1329"/>
      <c r="E40" s="1330" t="s">
        <v>710</v>
      </c>
      <c r="F40" s="1330"/>
      <c r="G40" s="5"/>
    </row>
    <row r="41" spans="1:7" ht="12" customHeight="1">
      <c r="A41" s="3" t="s">
        <v>711</v>
      </c>
      <c r="B41" s="1331" t="s">
        <v>712</v>
      </c>
      <c r="C41" s="1331"/>
      <c r="D41" s="1331"/>
      <c r="E41" s="1331"/>
      <c r="F41" s="1331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7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7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1332" t="s">
        <v>702</v>
      </c>
      <c r="F16" s="1332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2" t="s">
        <v>705</v>
      </c>
      <c r="F19" s="1332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1332" t="s">
        <v>707</v>
      </c>
      <c r="C21" s="1332"/>
      <c r="D21" s="1332"/>
      <c r="E21" s="1332"/>
      <c r="F21" s="1332"/>
      <c r="G21" s="5"/>
    </row>
    <row r="22" spans="1:7" ht="12" customHeight="1">
      <c r="A22" s="3" t="s">
        <v>708</v>
      </c>
      <c r="B22" s="1329" t="s">
        <v>876</v>
      </c>
      <c r="C22" s="1329"/>
      <c r="D22" s="1329"/>
      <c r="E22" s="1330" t="s">
        <v>710</v>
      </c>
      <c r="F22" s="1330"/>
      <c r="G22" s="5"/>
    </row>
    <row r="23" spans="1:7" ht="12" customHeight="1">
      <c r="A23" s="3" t="s">
        <v>711</v>
      </c>
      <c r="B23" s="1331" t="s">
        <v>712</v>
      </c>
      <c r="C23" s="1331"/>
      <c r="D23" s="1331"/>
      <c r="E23" s="1331"/>
      <c r="F23" s="1331"/>
      <c r="G23" s="5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12" customHeight="1">
      <c r="A25" s="64" t="s">
        <v>2303</v>
      </c>
      <c r="B25" s="30"/>
      <c r="C25" s="30"/>
      <c r="D25" s="30"/>
      <c r="E25" s="30"/>
      <c r="F25" s="30"/>
      <c r="G25" s="28"/>
    </row>
    <row r="26" spans="1:7" ht="12" customHeight="1">
      <c r="A26" s="26"/>
      <c r="B26" s="30"/>
      <c r="C26" s="30"/>
      <c r="D26" s="30"/>
      <c r="E26" s="30"/>
      <c r="F26" s="30"/>
      <c r="G26" s="28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7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1332" t="s">
        <v>685</v>
      </c>
      <c r="F33" s="1332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7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1332" t="s">
        <v>702</v>
      </c>
      <c r="F38" s="1332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2" t="s">
        <v>705</v>
      </c>
      <c r="F41" s="1332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32" t="s">
        <v>707</v>
      </c>
      <c r="C43" s="1332"/>
      <c r="D43" s="1332"/>
      <c r="E43" s="1332"/>
      <c r="F43" s="1332"/>
      <c r="G43" s="5"/>
    </row>
    <row r="44" spans="1:7" ht="12" customHeight="1">
      <c r="A44" s="3" t="s">
        <v>708</v>
      </c>
      <c r="B44" s="1329" t="s">
        <v>876</v>
      </c>
      <c r="C44" s="1329"/>
      <c r="D44" s="1329"/>
      <c r="E44" s="1330" t="s">
        <v>710</v>
      </c>
      <c r="F44" s="1330"/>
      <c r="G44" s="5"/>
    </row>
    <row r="45" spans="1:7" ht="12" customHeight="1">
      <c r="A45" s="3" t="s">
        <v>711</v>
      </c>
      <c r="B45" s="1331" t="s">
        <v>712</v>
      </c>
      <c r="C45" s="1331"/>
      <c r="D45" s="1331"/>
      <c r="E45" s="1331"/>
      <c r="F45" s="1331"/>
      <c r="G45" s="5"/>
    </row>
  </sheetData>
  <mergeCells count="14">
    <mergeCell ref="E9:F9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2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2" t="s">
        <v>685</v>
      </c>
      <c r="F9" s="1332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32" t="s">
        <v>702</v>
      </c>
      <c r="F13" s="1332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2" t="s">
        <v>705</v>
      </c>
      <c r="F16" s="1332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2" t="s">
        <v>707</v>
      </c>
      <c r="C18" s="1332"/>
      <c r="D18" s="1332"/>
      <c r="E18" s="1332"/>
      <c r="F18" s="1332"/>
      <c r="G18" s="5"/>
    </row>
    <row r="19" spans="1:7" ht="12" customHeight="1">
      <c r="A19" s="3" t="s">
        <v>708</v>
      </c>
      <c r="B19" s="1329" t="s">
        <v>876</v>
      </c>
      <c r="C19" s="1329"/>
      <c r="D19" s="1329"/>
      <c r="E19" s="1330" t="s">
        <v>710</v>
      </c>
      <c r="F19" s="1330"/>
      <c r="G19" s="5"/>
    </row>
    <row r="20" spans="1:7" ht="12" customHeight="1">
      <c r="A20" s="3" t="s">
        <v>711</v>
      </c>
      <c r="B20" s="1331" t="s">
        <v>712</v>
      </c>
      <c r="C20" s="1331"/>
      <c r="D20" s="1331"/>
      <c r="E20" s="1331"/>
      <c r="F20" s="1331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5" t="s">
        <v>2305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2" t="s">
        <v>685</v>
      </c>
      <c r="F30" s="1332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7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1332" t="s">
        <v>702</v>
      </c>
      <c r="F35" s="1332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2" t="s">
        <v>705</v>
      </c>
      <c r="F38" s="1332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2" t="s">
        <v>707</v>
      </c>
      <c r="C40" s="1332"/>
      <c r="D40" s="1332"/>
      <c r="E40" s="1332"/>
      <c r="F40" s="1332"/>
      <c r="G40" s="5"/>
    </row>
    <row r="41" spans="1:7" ht="12" customHeight="1">
      <c r="A41" s="3" t="s">
        <v>708</v>
      </c>
      <c r="B41" s="1329" t="s">
        <v>876</v>
      </c>
      <c r="C41" s="1329"/>
      <c r="D41" s="1329"/>
      <c r="E41" s="1330" t="s">
        <v>710</v>
      </c>
      <c r="F41" s="1330"/>
      <c r="G41" s="5"/>
    </row>
    <row r="42" spans="1:7" ht="12" customHeight="1">
      <c r="A42" s="3" t="s">
        <v>711</v>
      </c>
      <c r="B42" s="1331" t="s">
        <v>712</v>
      </c>
      <c r="C42" s="1331"/>
      <c r="D42" s="1331"/>
      <c r="E42" s="1331"/>
      <c r="F42" s="1331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267</vt:i4>
      </vt:variant>
      <vt:variant>
        <vt:lpstr>Named Ranges</vt:lpstr>
      </vt:variant>
      <vt:variant>
        <vt:i4>12</vt:i4>
      </vt:variant>
    </vt:vector>
  </HeadingPairs>
  <TitlesOfParts>
    <vt:vector size="279" baseType="lpstr">
      <vt:lpstr>page 370</vt:lpstr>
      <vt:lpstr>page 372</vt:lpstr>
      <vt:lpstr>analisa 2019</vt:lpstr>
      <vt:lpstr>UPAD-BAHAN-ALAT</vt:lpstr>
      <vt:lpstr>Rekapitulasi</vt:lpstr>
      <vt:lpstr>RAB</vt:lpstr>
      <vt:lpstr>UPAD-BAHAN-ALAT Cetak</vt:lpstr>
      <vt:lpstr>BECKUP data</vt:lpstr>
      <vt:lpstr>analisa 2019 cetak</vt:lpstr>
      <vt:lpstr>Rekap Analisa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'analisa 2019'!Print_Area</vt:lpstr>
      <vt:lpstr>'analisa 2019 cetak'!Print_Area</vt:lpstr>
      <vt:lpstr>'BECKUP data'!Print_Area</vt:lpstr>
      <vt:lpstr>dihitung!Print_Area</vt:lpstr>
      <vt:lpstr>RAB!Print_Area</vt:lpstr>
      <vt:lpstr>'Rekap Analisa'!Print_Area</vt:lpstr>
      <vt:lpstr>Rekapitulasi!Print_Area</vt:lpstr>
      <vt:lpstr>'UPAD-BAHAN-ALAT'!Print_Area</vt:lpstr>
      <vt:lpstr>'UPAD-BAHAN-ALAT Cetak'!Print_Area</vt:lpstr>
      <vt:lpstr>'Rekap Analisa'!Print_Titles</vt:lpstr>
      <vt:lpstr>'UPAD-BAHAN-ALAT'!Print_Titles</vt:lpstr>
      <vt:lpstr>'UPAD-BAHAN-ALAT Cetak'!Print_Titles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Lenovo</cp:lastModifiedBy>
  <cp:lastPrinted>2021-03-22T14:44:48Z</cp:lastPrinted>
  <dcterms:created xsi:type="dcterms:W3CDTF">2017-02-14T09:57:47Z</dcterms:created>
  <dcterms:modified xsi:type="dcterms:W3CDTF">2023-05-09T01:49:22Z</dcterms:modified>
</cp:coreProperties>
</file>