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DATA\DATA PERKAPDIST\2023\REHAB JEMBATAN PENGHUBUNG\"/>
    </mc:Choice>
  </mc:AlternateContent>
  <bookViews>
    <workbookView xWindow="0" yWindow="0" windowWidth="21570" windowHeight="7965"/>
  </bookViews>
  <sheets>
    <sheet name="EE" sheetId="3" r:id="rId1"/>
    <sheet name="ANALISA" sheetId="7" r:id="rId2"/>
    <sheet name="UPAH &amp; BAHAN" sheetId="5" r:id="rId3"/>
  </sheets>
  <externalReferences>
    <externalReference r:id="rId4"/>
  </externalReferences>
  <definedNames>
    <definedName name="_xlnm.Print_Area" localSheetId="1">ANALISA!$A$1:$I$30,ANALISA!$K$7:$R$30,ANALISA!$T$7:$AA$30,ANALISA!$K$32:$R$66,ANALISA!$A$68:$I$97,ANALISA!$K$68:$R$97,ANALISA!$T$68:$AA$97,ANALISA!$A$99:$I$127,ANALISA!$K$99:$R$131,ANALISA!$T$99:$AA$129,ANALISA!$A$133:$I$163,ANALISA!$K$133:$R$163,ANALISA!$T$133:$AA$163,ANALISA!$A$165:$I$195,ANALISA!$K$165:$R$195,ANALISA!$T$165:$AA$195,ANALISA!$A$197:$I$226,ANALISA!$K$197:$R$226,ANALISA!$T$197:$AA$235</definedName>
    <definedName name="_xlnm.Print_Area" localSheetId="0">EE!$A$2:$H$59,EE!$J$2:$S$67,EE!$J$69:$S$99</definedName>
    <definedName name="_xlnm.Print_Area" localSheetId="2">'UPAH &amp; BAHAN'!$B$1:$J$42,'UPAH &amp; BAHAN'!$M$1:$V$67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8" i="3" l="1"/>
  <c r="H81" i="7"/>
  <c r="H80" i="7"/>
  <c r="H79" i="7"/>
  <c r="H78" i="7"/>
  <c r="Q45" i="7"/>
  <c r="Q44" i="7"/>
  <c r="Q43" i="7"/>
  <c r="Q42" i="7"/>
  <c r="O76" i="3"/>
  <c r="T84" i="3"/>
  <c r="T67" i="3"/>
  <c r="T66" i="3"/>
  <c r="T65" i="3"/>
  <c r="T63" i="3"/>
  <c r="T62" i="3"/>
  <c r="T64" i="3"/>
  <c r="Q53" i="7"/>
  <c r="Q52" i="7"/>
  <c r="Q51" i="7"/>
  <c r="R58" i="7"/>
  <c r="R60" i="7"/>
  <c r="R51" i="7"/>
  <c r="R18" i="5"/>
  <c r="P26" i="3"/>
  <c r="O26" i="3"/>
  <c r="Q49" i="7"/>
  <c r="R49" i="7"/>
  <c r="T18" i="5"/>
  <c r="R53" i="7"/>
  <c r="R52" i="7"/>
  <c r="Q50" i="7"/>
  <c r="R50" i="7"/>
  <c r="G15" i="7"/>
  <c r="G16" i="7"/>
  <c r="V214" i="7"/>
  <c r="R47" i="5"/>
  <c r="R46" i="5"/>
  <c r="V181" i="7"/>
  <c r="R45" i="5"/>
  <c r="Q181" i="7"/>
  <c r="P181" i="7"/>
  <c r="M181" i="7"/>
  <c r="Z216" i="7"/>
  <c r="T11" i="5"/>
  <c r="Q120" i="7"/>
  <c r="Z214" i="7"/>
  <c r="Q213" i="7"/>
  <c r="Q214" i="7"/>
  <c r="Q215" i="7"/>
  <c r="H211" i="7"/>
  <c r="Z181" i="7"/>
  <c r="Q182" i="7"/>
  <c r="H182" i="7"/>
  <c r="Z150" i="7"/>
  <c r="Z151" i="7"/>
  <c r="AA151" i="7"/>
  <c r="Q150" i="7"/>
  <c r="Q149" i="7"/>
  <c r="H149" i="7"/>
  <c r="H150" i="7"/>
  <c r="H151" i="7"/>
  <c r="H152" i="7"/>
  <c r="Z116" i="7"/>
  <c r="Z115" i="7"/>
  <c r="Z117" i="7"/>
  <c r="Q116" i="7"/>
  <c r="Q117" i="7"/>
  <c r="Q118" i="7"/>
  <c r="Q119" i="7"/>
  <c r="H114" i="7"/>
  <c r="T38" i="5"/>
  <c r="Q54" i="7"/>
  <c r="R54" i="7"/>
  <c r="R56" i="7"/>
  <c r="Q84" i="7"/>
  <c r="Z84" i="7"/>
  <c r="AA84" i="7"/>
  <c r="Q85" i="7"/>
  <c r="R85" i="7"/>
  <c r="Q86" i="7"/>
  <c r="R86" i="7"/>
  <c r="Q87" i="7"/>
  <c r="Z87" i="7"/>
  <c r="AA87" i="7"/>
  <c r="H84" i="7"/>
  <c r="I84" i="7"/>
  <c r="G23" i="5"/>
  <c r="I36" i="5"/>
  <c r="S65" i="5"/>
  <c r="I37" i="5"/>
  <c r="S66" i="5"/>
  <c r="Z232" i="7"/>
  <c r="Z233" i="7"/>
  <c r="D4" i="7"/>
  <c r="D5" i="7"/>
  <c r="D6" i="7"/>
  <c r="B4" i="7"/>
  <c r="B5" i="7"/>
  <c r="B6" i="7"/>
  <c r="Q90" i="3"/>
  <c r="I31" i="5"/>
  <c r="S60" i="5"/>
  <c r="N95" i="3"/>
  <c r="N96" i="3"/>
  <c r="Q91" i="3"/>
  <c r="I32" i="5"/>
  <c r="S61" i="5"/>
  <c r="B20" i="3"/>
  <c r="C20" i="3"/>
  <c r="C18" i="3"/>
  <c r="B18" i="3"/>
  <c r="B16" i="3"/>
  <c r="C16" i="3"/>
  <c r="C14" i="3"/>
  <c r="C12" i="3"/>
  <c r="B14" i="3"/>
  <c r="B12" i="3"/>
  <c r="E4" i="3"/>
  <c r="E5" i="3"/>
  <c r="E6" i="3"/>
  <c r="B4" i="3"/>
  <c r="B5" i="3"/>
  <c r="B6" i="3"/>
  <c r="O75" i="3"/>
  <c r="O57" i="3"/>
  <c r="AA92" i="7"/>
  <c r="O56" i="3"/>
  <c r="R92" i="7"/>
  <c r="O55" i="3"/>
  <c r="I91" i="7"/>
  <c r="I85" i="7"/>
  <c r="O51" i="3"/>
  <c r="AA157" i="7"/>
  <c r="AA156" i="7"/>
  <c r="AA152" i="7"/>
  <c r="Y150" i="7"/>
  <c r="O50" i="3"/>
  <c r="R151" i="7"/>
  <c r="R152" i="7"/>
  <c r="I87" i="7"/>
  <c r="Z229" i="7"/>
  <c r="Z228" i="7"/>
  <c r="R84" i="7"/>
  <c r="R87" i="7"/>
  <c r="Z85" i="7"/>
  <c r="AA85" i="7"/>
  <c r="Z86" i="7"/>
  <c r="AA86" i="7"/>
  <c r="AA158" i="7"/>
  <c r="AA150" i="7"/>
  <c r="AA154" i="7"/>
  <c r="R88" i="7"/>
  <c r="AA88" i="7"/>
  <c r="R155" i="7"/>
  <c r="R156" i="7"/>
  <c r="R150" i="7"/>
  <c r="O48" i="3"/>
  <c r="O49" i="3"/>
  <c r="I156" i="7"/>
  <c r="I157" i="7"/>
  <c r="I152" i="7"/>
  <c r="I151" i="7"/>
  <c r="I150" i="7"/>
  <c r="G149" i="7"/>
  <c r="O43" i="3"/>
  <c r="I215" i="7"/>
  <c r="I217" i="7"/>
  <c r="I211" i="7"/>
  <c r="I213" i="7"/>
  <c r="AA219" i="7"/>
  <c r="AA221" i="7"/>
  <c r="AA216" i="7"/>
  <c r="AA215" i="7"/>
  <c r="AA214" i="7"/>
  <c r="AA213" i="7"/>
  <c r="O42" i="3"/>
  <c r="R220" i="7"/>
  <c r="R215" i="7"/>
  <c r="R214" i="7"/>
  <c r="R213" i="7"/>
  <c r="O39" i="3"/>
  <c r="AA123" i="7"/>
  <c r="AA117" i="7"/>
  <c r="AA116" i="7"/>
  <c r="AA115" i="7"/>
  <c r="R117" i="7"/>
  <c r="X17" i="3"/>
  <c r="W17" i="3"/>
  <c r="V17" i="3"/>
  <c r="U17" i="3"/>
  <c r="O38" i="3"/>
  <c r="R124" i="7"/>
  <c r="R126" i="7"/>
  <c r="R119" i="7"/>
  <c r="R118" i="7"/>
  <c r="R116" i="7"/>
  <c r="O37" i="3"/>
  <c r="I121" i="7"/>
  <c r="I114" i="7"/>
  <c r="Z182" i="7"/>
  <c r="AA182" i="7"/>
  <c r="O30" i="3"/>
  <c r="AA189" i="7"/>
  <c r="AA181" i="7"/>
  <c r="R189" i="7"/>
  <c r="O29" i="3"/>
  <c r="I149" i="7"/>
  <c r="I154" i="7"/>
  <c r="AA185" i="7"/>
  <c r="R149" i="7"/>
  <c r="R153" i="7"/>
  <c r="R217" i="7"/>
  <c r="AA119" i="7"/>
  <c r="R122" i="7"/>
  <c r="H115" i="7"/>
  <c r="I115" i="7"/>
  <c r="I117" i="7"/>
  <c r="R182" i="7"/>
  <c r="R181" i="7"/>
  <c r="O28" i="3"/>
  <c r="H178" i="7"/>
  <c r="I178" i="7"/>
  <c r="H177" i="7"/>
  <c r="H175" i="7"/>
  <c r="I182" i="7"/>
  <c r="I185" i="7"/>
  <c r="H187" i="7"/>
  <c r="I187" i="7"/>
  <c r="I189" i="7"/>
  <c r="O21" i="3"/>
  <c r="O20" i="3"/>
  <c r="O17" i="3"/>
  <c r="S14" i="3"/>
  <c r="R185" i="7"/>
  <c r="H15" i="7"/>
  <c r="Q109" i="7"/>
  <c r="H108" i="7"/>
  <c r="Q206" i="7"/>
  <c r="Q111" i="7"/>
  <c r="H110" i="7"/>
  <c r="Q208" i="7"/>
  <c r="H16" i="7"/>
  <c r="Q112" i="7"/>
  <c r="H111" i="7"/>
  <c r="Q209" i="7"/>
  <c r="I177" i="7"/>
  <c r="Q177" i="7"/>
  <c r="Q174" i="7"/>
  <c r="Q176" i="7"/>
  <c r="I175" i="7"/>
  <c r="I111" i="7"/>
  <c r="I108" i="7"/>
  <c r="I110" i="7"/>
  <c r="R208" i="7"/>
  <c r="Z208" i="7"/>
  <c r="AA208" i="7"/>
  <c r="H144" i="7"/>
  <c r="R209" i="7"/>
  <c r="H207" i="7"/>
  <c r="I207" i="7"/>
  <c r="Z209" i="7"/>
  <c r="AA209" i="7"/>
  <c r="H145" i="7"/>
  <c r="R206" i="7"/>
  <c r="H142" i="7"/>
  <c r="H206" i="7"/>
  <c r="I206" i="7"/>
  <c r="Z206" i="7"/>
  <c r="AA206" i="7"/>
  <c r="Q17" i="7"/>
  <c r="Z17" i="7"/>
  <c r="Z110" i="7"/>
  <c r="AA110" i="7"/>
  <c r="R111" i="7"/>
  <c r="Z108" i="7"/>
  <c r="AA108" i="7"/>
  <c r="R109" i="7"/>
  <c r="R112" i="7"/>
  <c r="Z111" i="7"/>
  <c r="AA111" i="7"/>
  <c r="Z16" i="7"/>
  <c r="Q16" i="7"/>
  <c r="R177" i="7"/>
  <c r="Z177" i="7"/>
  <c r="AA177" i="7"/>
  <c r="R176" i="7"/>
  <c r="Z176" i="7"/>
  <c r="AA176" i="7"/>
  <c r="R174" i="7"/>
  <c r="Z174" i="7"/>
  <c r="AA174" i="7"/>
  <c r="I209" i="7"/>
  <c r="I219" i="7"/>
  <c r="I220" i="7"/>
  <c r="I221" i="7"/>
  <c r="I222" i="7"/>
  <c r="Q145" i="7"/>
  <c r="R145" i="7"/>
  <c r="Z146" i="7"/>
  <c r="AA146" i="7"/>
  <c r="R45" i="7"/>
  <c r="Q144" i="7"/>
  <c r="R144" i="7"/>
  <c r="Z145" i="7"/>
  <c r="AA145" i="7"/>
  <c r="R44" i="7"/>
  <c r="R42" i="7"/>
  <c r="Z143" i="7"/>
  <c r="AA143" i="7"/>
  <c r="I145" i="7"/>
  <c r="I144" i="7"/>
  <c r="Q142" i="7"/>
  <c r="R142" i="7"/>
  <c r="I142" i="7"/>
  <c r="Z212" i="7"/>
  <c r="AA212" i="7"/>
  <c r="AA217" i="7"/>
  <c r="I78" i="7"/>
  <c r="Q78" i="7"/>
  <c r="Z78" i="7"/>
  <c r="I80" i="7"/>
  <c r="Q80" i="7"/>
  <c r="Z80" i="7"/>
  <c r="I81" i="7"/>
  <c r="Q81" i="7"/>
  <c r="Z81" i="7"/>
  <c r="R80" i="7"/>
  <c r="AA80" i="7"/>
  <c r="R81" i="7"/>
  <c r="AA81" i="7"/>
  <c r="R78" i="7"/>
  <c r="AA78" i="7"/>
  <c r="AA23" i="7"/>
  <c r="AA24" i="7"/>
  <c r="AA21" i="7"/>
  <c r="AA17" i="7"/>
  <c r="AA16" i="7"/>
  <c r="I23" i="7"/>
  <c r="I24" i="7"/>
  <c r="I20" i="7"/>
  <c r="I21" i="7"/>
  <c r="I16" i="7"/>
  <c r="I15" i="7"/>
  <c r="AA18" i="7"/>
  <c r="AA26" i="7"/>
  <c r="AA27" i="7"/>
  <c r="AA28" i="7"/>
  <c r="AA29" i="7"/>
  <c r="R21" i="3"/>
  <c r="I18" i="7"/>
  <c r="I26" i="7"/>
  <c r="I27" i="7"/>
  <c r="I28" i="7"/>
  <c r="I29" i="7"/>
  <c r="R17" i="3"/>
  <c r="R23" i="7"/>
  <c r="R24" i="7"/>
  <c r="R21" i="7"/>
  <c r="R17" i="7"/>
  <c r="R16" i="7"/>
  <c r="R18" i="7"/>
  <c r="R26" i="7"/>
  <c r="R27" i="7"/>
  <c r="R28" i="7"/>
  <c r="R29" i="7"/>
  <c r="R20" i="3"/>
  <c r="P51" i="3"/>
  <c r="V46" i="3"/>
  <c r="U46" i="3"/>
  <c r="P49" i="3"/>
  <c r="X53" i="3"/>
  <c r="W53" i="3"/>
  <c r="V53" i="3"/>
  <c r="U53" i="3"/>
  <c r="P52" i="3"/>
  <c r="P76" i="3"/>
  <c r="K18" i="3"/>
  <c r="K19" i="3"/>
  <c r="K20" i="3"/>
  <c r="K21" i="3"/>
  <c r="K22" i="3"/>
  <c r="P48" i="3"/>
  <c r="P17" i="3"/>
  <c r="S17" i="3"/>
  <c r="P43" i="3"/>
  <c r="P39" i="3"/>
  <c r="P38" i="3"/>
  <c r="P37" i="3"/>
  <c r="P33" i="3"/>
  <c r="H26" i="5"/>
  <c r="F3" i="5"/>
  <c r="P3" i="5"/>
  <c r="F4" i="5"/>
  <c r="P4" i="5"/>
  <c r="F5" i="5"/>
  <c r="P5" i="5"/>
  <c r="C3" i="5"/>
  <c r="O3" i="5"/>
  <c r="C4" i="5"/>
  <c r="O4" i="5"/>
  <c r="C5" i="5"/>
  <c r="O5" i="5"/>
  <c r="J27" i="5"/>
  <c r="I27" i="5"/>
  <c r="J26" i="5"/>
  <c r="I26" i="5"/>
  <c r="J25" i="5"/>
  <c r="I25" i="5"/>
  <c r="J24" i="5"/>
  <c r="I24" i="5"/>
  <c r="J22" i="5"/>
  <c r="J23" i="5"/>
  <c r="H22" i="5"/>
  <c r="H23" i="5"/>
  <c r="J21" i="5"/>
  <c r="H21" i="5"/>
  <c r="J20" i="5"/>
  <c r="H20" i="5"/>
  <c r="H176" i="7"/>
  <c r="J19" i="5"/>
  <c r="H19" i="5"/>
  <c r="J18" i="5"/>
  <c r="H18" i="5"/>
  <c r="J17" i="5"/>
  <c r="H17" i="5"/>
  <c r="J16" i="5"/>
  <c r="H16" i="5"/>
  <c r="J15" i="5"/>
  <c r="H15" i="5"/>
  <c r="J14" i="5"/>
  <c r="H14" i="5"/>
  <c r="J13" i="5"/>
  <c r="H13" i="5"/>
  <c r="J12" i="5"/>
  <c r="I12" i="5"/>
  <c r="I21" i="5"/>
  <c r="I11" i="5"/>
  <c r="I176" i="7"/>
  <c r="I180" i="7"/>
  <c r="I191" i="7"/>
  <c r="I192" i="7"/>
  <c r="I193" i="7"/>
  <c r="I194" i="7"/>
  <c r="R28" i="3"/>
  <c r="Q110" i="7"/>
  <c r="H109" i="7"/>
  <c r="Q175" i="7"/>
  <c r="I15" i="5"/>
  <c r="I19" i="5"/>
  <c r="I20" i="5"/>
  <c r="I18" i="5"/>
  <c r="I22" i="5"/>
  <c r="I23" i="5"/>
  <c r="I16" i="5"/>
  <c r="I14" i="5"/>
  <c r="I13" i="5"/>
  <c r="I17" i="5"/>
  <c r="R110" i="7"/>
  <c r="R114" i="7"/>
  <c r="R128" i="7"/>
  <c r="R129" i="7"/>
  <c r="R130" i="7"/>
  <c r="R131" i="7"/>
  <c r="R38" i="3"/>
  <c r="Z109" i="7"/>
  <c r="AA109" i="7"/>
  <c r="AA113" i="7"/>
  <c r="AA125" i="7"/>
  <c r="AA126" i="7"/>
  <c r="AA127" i="7"/>
  <c r="AA128" i="7"/>
  <c r="R39" i="3"/>
  <c r="Z175" i="7"/>
  <c r="AA175" i="7"/>
  <c r="AA179" i="7"/>
  <c r="AA191" i="7"/>
  <c r="AA192" i="7"/>
  <c r="AA193" i="7"/>
  <c r="AA194" i="7"/>
  <c r="R30" i="3"/>
  <c r="R175" i="7"/>
  <c r="R179" i="7"/>
  <c r="R191" i="7"/>
  <c r="R192" i="7"/>
  <c r="R193" i="7"/>
  <c r="R194" i="7"/>
  <c r="R29" i="3"/>
  <c r="Q207" i="7"/>
  <c r="I109" i="7"/>
  <c r="I112" i="7"/>
  <c r="I123" i="7"/>
  <c r="I124" i="7"/>
  <c r="I125" i="7"/>
  <c r="I126" i="7"/>
  <c r="R37" i="3"/>
  <c r="R72" i="3"/>
  <c r="R66" i="3"/>
  <c r="R65" i="3"/>
  <c r="R64" i="3"/>
  <c r="R63" i="3"/>
  <c r="R62" i="3"/>
  <c r="R61" i="3"/>
  <c r="R207" i="7"/>
  <c r="R211" i="7"/>
  <c r="R222" i="7"/>
  <c r="R223" i="7"/>
  <c r="R224" i="7"/>
  <c r="R225" i="7"/>
  <c r="R76" i="3"/>
  <c r="Z207" i="7"/>
  <c r="AA207" i="7"/>
  <c r="AA210" i="7"/>
  <c r="AA222" i="7"/>
  <c r="AA223" i="7"/>
  <c r="AA224" i="7"/>
  <c r="AA225" i="7"/>
  <c r="R43" i="3"/>
  <c r="S43" i="3"/>
  <c r="H143" i="7"/>
  <c r="R82" i="3"/>
  <c r="S82" i="3"/>
  <c r="P60" i="3"/>
  <c r="S60" i="3"/>
  <c r="S83" i="3"/>
  <c r="S80" i="3"/>
  <c r="S66" i="3"/>
  <c r="S65" i="3"/>
  <c r="S64" i="3"/>
  <c r="S63" i="3"/>
  <c r="S62" i="3"/>
  <c r="S61" i="3"/>
  <c r="S52" i="3"/>
  <c r="S30" i="3"/>
  <c r="S39" i="3"/>
  <c r="S38" i="3"/>
  <c r="S37" i="3"/>
  <c r="S36" i="3"/>
  <c r="S33" i="3"/>
  <c r="S34" i="3"/>
  <c r="S19" i="3"/>
  <c r="S18" i="3"/>
  <c r="S13" i="3"/>
  <c r="S12" i="3"/>
  <c r="P72" i="3"/>
  <c r="P22" i="3"/>
  <c r="S22" i="3"/>
  <c r="P57" i="3"/>
  <c r="S76" i="3"/>
  <c r="P29" i="3"/>
  <c r="P28" i="3"/>
  <c r="P75" i="3"/>
  <c r="P42" i="3"/>
  <c r="S84" i="3"/>
  <c r="H20" i="3"/>
  <c r="S67" i="3"/>
  <c r="S15" i="3"/>
  <c r="Z144" i="7"/>
  <c r="AA144" i="7"/>
  <c r="AA148" i="7"/>
  <c r="AA160" i="7"/>
  <c r="AA161" i="7"/>
  <c r="AA162" i="7"/>
  <c r="AA163" i="7"/>
  <c r="R51" i="3"/>
  <c r="S51" i="3"/>
  <c r="I143" i="7"/>
  <c r="I147" i="7"/>
  <c r="I159" i="7"/>
  <c r="I160" i="7"/>
  <c r="I161" i="7"/>
  <c r="I162" i="7"/>
  <c r="R48" i="3"/>
  <c r="R43" i="7"/>
  <c r="R47" i="7"/>
  <c r="R62" i="7"/>
  <c r="Q143" i="7"/>
  <c r="R143" i="7"/>
  <c r="R147" i="7"/>
  <c r="R158" i="7"/>
  <c r="R159" i="7"/>
  <c r="R160" i="7"/>
  <c r="R161" i="7"/>
  <c r="R50" i="3"/>
  <c r="S50" i="3"/>
  <c r="R42" i="3"/>
  <c r="S42" i="3"/>
  <c r="S44" i="3"/>
  <c r="R75" i="3"/>
  <c r="S75" i="3"/>
  <c r="S77" i="3"/>
  <c r="S40" i="3"/>
  <c r="H12" i="3"/>
  <c r="S29" i="3"/>
  <c r="P21" i="3"/>
  <c r="S21" i="3"/>
  <c r="S72" i="3"/>
  <c r="S73" i="3"/>
  <c r="P55" i="3"/>
  <c r="P20" i="3"/>
  <c r="S20" i="3"/>
  <c r="S28" i="3"/>
  <c r="R63" i="7"/>
  <c r="R64" i="7"/>
  <c r="R65" i="7"/>
  <c r="R26" i="3"/>
  <c r="S26" i="3"/>
  <c r="S31" i="3"/>
  <c r="R49" i="3"/>
  <c r="S49" i="3"/>
  <c r="S48" i="3"/>
  <c r="S23" i="3"/>
  <c r="H14" i="3"/>
  <c r="S53" i="3"/>
  <c r="S45" i="3"/>
  <c r="H16" i="3"/>
  <c r="I79" i="7"/>
  <c r="I82" i="7"/>
  <c r="I93" i="7"/>
  <c r="I94" i="7"/>
  <c r="I95" i="7"/>
  <c r="I96" i="7"/>
  <c r="R55" i="3"/>
  <c r="S55" i="3"/>
  <c r="Q79" i="7"/>
  <c r="Z79" i="7"/>
  <c r="AA79" i="7"/>
  <c r="AA82" i="7"/>
  <c r="AA94" i="7"/>
  <c r="AA95" i="7"/>
  <c r="AA96" i="7"/>
  <c r="AA97" i="7"/>
  <c r="R57" i="3"/>
  <c r="S57" i="3"/>
  <c r="R79" i="7"/>
  <c r="R82" i="7"/>
  <c r="R94" i="7"/>
  <c r="R95" i="7"/>
  <c r="R96" i="7"/>
  <c r="R97" i="7"/>
  <c r="R56" i="3"/>
  <c r="S56" i="3"/>
  <c r="S58" i="3"/>
  <c r="E30" i="3"/>
  <c r="H18" i="3"/>
  <c r="H22" i="3"/>
  <c r="H24" i="3"/>
  <c r="H26" i="3"/>
  <c r="H28" i="3"/>
</calcChain>
</file>

<file path=xl/sharedStrings.xml><?xml version="1.0" encoding="utf-8"?>
<sst xmlns="http://schemas.openxmlformats.org/spreadsheetml/2006/main" count="1349" uniqueCount="319">
  <si>
    <t>JUMLAH</t>
  </si>
  <si>
    <t>VOLUME</t>
  </si>
  <si>
    <t>SATUAN</t>
  </si>
  <si>
    <t>NAMA PEKERJAAN</t>
  </si>
  <si>
    <t>( Rp.)</t>
  </si>
  <si>
    <t>Pekerjaan</t>
  </si>
  <si>
    <t>Lokasi</t>
  </si>
  <si>
    <t>Tahun</t>
  </si>
  <si>
    <t>: 2022</t>
  </si>
  <si>
    <t>HARGA</t>
  </si>
  <si>
    <t>NO.</t>
  </si>
  <si>
    <t>Ls</t>
  </si>
  <si>
    <t>DIBULATKAN</t>
  </si>
  <si>
    <t>: Jalan Imam Bonjol No. 5 Medan</t>
  </si>
  <si>
    <t>DAFTAR KUANTITAS DAN HARGA</t>
  </si>
  <si>
    <t>ANALISA</t>
  </si>
  <si>
    <t>Mobilisasi dan demobilisasi</t>
  </si>
  <si>
    <t>PEKERJAAN PENDAHULUAN.</t>
  </si>
  <si>
    <t>PEKERJAAN LAIN-LAIN.</t>
  </si>
  <si>
    <t>PT. WARTA BUANA ANUGERAH</t>
  </si>
  <si>
    <t>KHAIRAWAN NOVANDRA, S.Ars</t>
  </si>
  <si>
    <t>Direktur</t>
  </si>
  <si>
    <t>Pembongkaran lantai keramik existing</t>
  </si>
  <si>
    <t>Perancah kerja/ skafolding</t>
  </si>
  <si>
    <t>PEKERJAAN BONGKARAN.</t>
  </si>
  <si>
    <t>Pembongkaran instalasi listrik yang ada</t>
  </si>
  <si>
    <t>Pembongkaran listplank ACP, talang dan pipa buangan</t>
  </si>
  <si>
    <t>Pembongkaran rangka dan plafond existing</t>
  </si>
  <si>
    <t>Pembongkaran engsel tanam pintu kaca tempered existing</t>
  </si>
  <si>
    <t>PEKERJAAN EKSTERIOR.</t>
  </si>
  <si>
    <t>A.</t>
  </si>
  <si>
    <t>B.</t>
  </si>
  <si>
    <t>C.</t>
  </si>
  <si>
    <t>Pekerjaan Kunci dan Kaca.</t>
  </si>
  <si>
    <t>Pasang sticker sunblast untuk jendela kaca</t>
  </si>
  <si>
    <t>Pekerjaan Instalasi Air.</t>
  </si>
  <si>
    <t>Pembobokan platdaag beton bertulang dan perapihan kembali</t>
  </si>
  <si>
    <t>Pasang pipa PVC 3 inchi buangan air talang</t>
  </si>
  <si>
    <t>Pasang talang air seng galvalum tebal 0,35 mm</t>
  </si>
  <si>
    <t>Pemasangan kembali/sisip rangka kap atap</t>
  </si>
  <si>
    <t>Pembongkaran kap atap existing</t>
  </si>
  <si>
    <r>
      <t>M</t>
    </r>
    <r>
      <rPr>
        <sz val="11"/>
        <color theme="1"/>
        <rFont val="Agency FB"/>
        <family val="2"/>
      </rPr>
      <t>²</t>
    </r>
  </si>
  <si>
    <t>Pekerjaan Cat.</t>
  </si>
  <si>
    <t>Pengerokan dan pembersihan serta waterproofing platdaag AC</t>
  </si>
  <si>
    <t>D.</t>
  </si>
  <si>
    <t>PEKERJAAN INTERIOR.</t>
  </si>
  <si>
    <t>Pekerjaan Penutup Lantai.</t>
  </si>
  <si>
    <r>
      <t>M</t>
    </r>
    <r>
      <rPr>
        <sz val="11"/>
        <color theme="1"/>
        <rFont val="Agency FB"/>
        <family val="2"/>
      </rPr>
      <t>¹</t>
    </r>
  </si>
  <si>
    <t>Finishing acian tangga</t>
  </si>
  <si>
    <t>Pekerjaan Langit-Langit.</t>
  </si>
  <si>
    <t>Pasangan rangka plafond furing channel</t>
  </si>
  <si>
    <t>Pasangan plafond gypsum board 9 mm (flat)</t>
  </si>
  <si>
    <t>Pekerjaan Instalasi Listrik.</t>
  </si>
  <si>
    <t>Instalasi titik nyala api</t>
  </si>
  <si>
    <t>Kabel instalasi nym 2x1,5 mm</t>
  </si>
  <si>
    <t>Kabel instalasi nym 2x2,5 mm</t>
  </si>
  <si>
    <t>Set</t>
  </si>
  <si>
    <t xml:space="preserve">Pasang Downlight LED spot sorot 7 watt 7 mata (warm white) </t>
  </si>
  <si>
    <t>Pasang downlight LED IB bulat 12 watt (day light)</t>
  </si>
  <si>
    <t>Pasang stopkontak tunggal</t>
  </si>
  <si>
    <t>Pasang saklar tiga</t>
  </si>
  <si>
    <t>Pasang engsel tanam pintu kaca tempered existing</t>
  </si>
  <si>
    <t>Pengadaan/pemasangan signage logo PEMPROVSU</t>
  </si>
  <si>
    <t>material acrylic #3 mm, sticker timbul uk. 70x80 cm</t>
  </si>
  <si>
    <t>Unit</t>
  </si>
  <si>
    <t>Pasang exhaust fan plafond 6 inchi</t>
  </si>
  <si>
    <t>Pembuangan puing sampah kelar lokasi pekerjaan</t>
  </si>
  <si>
    <t>Pengecatan plafond gypsum board</t>
  </si>
  <si>
    <t>E.</t>
  </si>
  <si>
    <t>PPn 11 %</t>
  </si>
  <si>
    <t>JUMLAH TOTAL</t>
  </si>
  <si>
    <t>Dihitung</t>
  </si>
  <si>
    <t>Kg</t>
  </si>
  <si>
    <t>Titik</t>
  </si>
  <si>
    <t>Roll</t>
  </si>
  <si>
    <r>
      <t xml:space="preserve">TENAGA KERJA </t>
    </r>
    <r>
      <rPr>
        <b/>
        <i/>
        <sz val="11"/>
        <color theme="1"/>
        <rFont val="Calibri"/>
        <family val="2"/>
        <scheme val="minor"/>
      </rPr>
      <t>(MANPOWER)</t>
    </r>
  </si>
  <si>
    <t>HARGA SATUAN</t>
  </si>
  <si>
    <t>KETERANGAN</t>
  </si>
  <si>
    <t>H A R I</t>
  </si>
  <si>
    <t>J A M</t>
  </si>
  <si>
    <t>(Rp.)</t>
  </si>
  <si>
    <t>Pekerja</t>
  </si>
  <si>
    <t>Orang/Hari</t>
  </si>
  <si>
    <t>1 HK = 8 JAM</t>
  </si>
  <si>
    <t>Tukang Gali</t>
  </si>
  <si>
    <t>Tukang Besi</t>
  </si>
  <si>
    <t>Tukang Kayu</t>
  </si>
  <si>
    <t>Tukang Batu</t>
  </si>
  <si>
    <t>Tukang Keramik</t>
  </si>
  <si>
    <t>Tukang Plafond</t>
  </si>
  <si>
    <t>Tukang Listrik</t>
  </si>
  <si>
    <t>Tukang Pipa</t>
  </si>
  <si>
    <t>Tukang Atap</t>
  </si>
  <si>
    <t>Tukang Las</t>
  </si>
  <si>
    <t>Tukang Cat</t>
  </si>
  <si>
    <t>Kepala Tukang</t>
  </si>
  <si>
    <t>Mandor</t>
  </si>
  <si>
    <t>Operator</t>
  </si>
  <si>
    <t>Pembantu Operator</t>
  </si>
  <si>
    <t>DAFTAR HARGA SATUAN UPAH</t>
  </si>
  <si>
    <t>U R A I A N  MATERIAL</t>
  </si>
  <si>
    <t>UKURAN</t>
  </si>
  <si>
    <t>H A R G A  SATUAN</t>
  </si>
  <si>
    <t>KET.</t>
  </si>
  <si>
    <t>/M³</t>
  </si>
  <si>
    <t>/Kg</t>
  </si>
  <si>
    <t>A. 5.1.1.31</t>
  </si>
  <si>
    <t>Pemasangan kembali/sisip rangka siku lisplank + ACP</t>
  </si>
  <si>
    <t>-</t>
  </si>
  <si>
    <t>ANALISA HARGA SATUAN PEKERJAAN (AHSP)</t>
  </si>
  <si>
    <t>AHSP Bidang Cipta Karya</t>
  </si>
  <si>
    <t>URAIAN</t>
  </si>
  <si>
    <t>KODE</t>
  </si>
  <si>
    <t>KOEFISIEN</t>
  </si>
  <si>
    <t>TENAGA</t>
  </si>
  <si>
    <t>OH</t>
  </si>
  <si>
    <t>JUMLAH HARGA TENAGA KERJA</t>
  </si>
  <si>
    <t>MATERIAL</t>
  </si>
  <si>
    <t>JUMLAH HARGA BAHAN</t>
  </si>
  <si>
    <t>PERALATAN</t>
  </si>
  <si>
    <t>JUMLAH HARGA PERALATAN</t>
  </si>
  <si>
    <t>JUMLAH (A + B + C)</t>
  </si>
  <si>
    <t>OVER HEAD &amp; PROFIT (15% x D)</t>
  </si>
  <si>
    <t>F.</t>
  </si>
  <si>
    <t>HARGA SATUAN PEKERJAAN (D+E)</t>
  </si>
  <si>
    <t>................................................................................</t>
  </si>
  <si>
    <t>Dibuat Oleh :</t>
  </si>
  <si>
    <t>Pasang lantai vinyl motif kayu tebal 3 mm</t>
  </si>
  <si>
    <t>KHAIRUL AZHAR, ST</t>
  </si>
  <si>
    <t>Team Leader</t>
  </si>
  <si>
    <t>Disetujui Oleh :</t>
  </si>
  <si>
    <t>Menurunkan 1 M² Plafond dan Rangka</t>
  </si>
  <si>
    <r>
      <t>Pembongkaran 1 M</t>
    </r>
    <r>
      <rPr>
        <b/>
        <sz val="11"/>
        <rFont val="Calibri"/>
        <family val="2"/>
      </rPr>
      <t>²</t>
    </r>
    <r>
      <rPr>
        <b/>
        <sz val="11"/>
        <rFont val="Calibri"/>
        <family val="2"/>
        <scheme val="minor"/>
      </rPr>
      <t xml:space="preserve"> Lantai Keramik</t>
    </r>
  </si>
  <si>
    <r>
      <t>Menurunkan 1 M</t>
    </r>
    <r>
      <rPr>
        <b/>
        <sz val="11"/>
        <rFont val="Agency FB"/>
        <family val="2"/>
      </rPr>
      <t>²</t>
    </r>
    <r>
      <rPr>
        <b/>
        <sz val="11"/>
        <rFont val="Calibri"/>
        <family val="2"/>
      </rPr>
      <t xml:space="preserve"> Atap Seng</t>
    </r>
  </si>
  <si>
    <t>Penyiapan RK3K (safety line, rambu, rompi pekerja dan helmet)</t>
  </si>
  <si>
    <t>A.4.2.1.23</t>
  </si>
  <si>
    <t>Permen PUPR No. 1 Tahun 2022</t>
  </si>
  <si>
    <t xml:space="preserve">Pemasangan 1 m² Atap Jurai/Limasan </t>
  </si>
  <si>
    <t>Rangka Atap Baja Ringan (Canai Dingin) Profil C75</t>
  </si>
  <si>
    <t>Kepala tukang</t>
  </si>
  <si>
    <t>Baja ringan canai dingin C75</t>
  </si>
  <si>
    <t>Batang</t>
  </si>
  <si>
    <t>Assesories</t>
  </si>
  <si>
    <t>%</t>
  </si>
  <si>
    <t>--------------------------------------------------------------------------</t>
  </si>
  <si>
    <t>PUPR No. 28/PRT/M/2016</t>
  </si>
  <si>
    <t>Skrup upvc</t>
  </si>
  <si>
    <t>Buah</t>
  </si>
  <si>
    <r>
      <t>Pemasangan 1 M</t>
    </r>
    <r>
      <rPr>
        <b/>
        <sz val="11"/>
        <rFont val="Agency FB"/>
        <family val="2"/>
      </rPr>
      <t>¹</t>
    </r>
    <r>
      <rPr>
        <b/>
        <sz val="6.05"/>
        <rFont val="Calibri"/>
        <family val="2"/>
      </rPr>
      <t xml:space="preserve"> </t>
    </r>
    <r>
      <rPr>
        <b/>
        <sz val="11"/>
        <rFont val="Calibri"/>
        <family val="2"/>
      </rPr>
      <t>Pipa PVC Diameter 3 Inchi</t>
    </r>
  </si>
  <si>
    <t xml:space="preserve">Tukang </t>
  </si>
  <si>
    <t>Pipa PVC 3 inchi</t>
  </si>
  <si>
    <t>M</t>
  </si>
  <si>
    <t>Perlengkapan</t>
  </si>
  <si>
    <t>...................................................................................................</t>
  </si>
  <si>
    <t>HSPK-E.D4.023</t>
  </si>
  <si>
    <r>
      <t>Pembuatan 1 M</t>
    </r>
    <r>
      <rPr>
        <b/>
        <sz val="11"/>
        <rFont val="Agency FB"/>
        <family val="2"/>
      </rPr>
      <t>²</t>
    </r>
    <r>
      <rPr>
        <b/>
        <sz val="11"/>
        <rFont val="Calibri"/>
        <family val="2"/>
      </rPr>
      <t xml:space="preserve"> Alluminium Composite Panel Tebal 4 mm, </t>
    </r>
  </si>
  <si>
    <t>Rangka Baja Siku</t>
  </si>
  <si>
    <t>Alluminium composite panel (ACP)</t>
  </si>
  <si>
    <t>Dynabolt dia. 10 mm</t>
  </si>
  <si>
    <t>Bh</t>
  </si>
  <si>
    <t>Sealant</t>
  </si>
  <si>
    <t>Frame alluminium hollo</t>
  </si>
  <si>
    <t>Peralatan kerja (trafo las dll)</t>
  </si>
  <si>
    <t>SUMBER AHSP PEMKO MEDAN</t>
  </si>
  <si>
    <r>
      <t>M</t>
    </r>
    <r>
      <rPr>
        <sz val="11"/>
        <color theme="1"/>
        <rFont val="Calibri"/>
        <family val="2"/>
      </rPr>
      <t>³</t>
    </r>
  </si>
  <si>
    <t>Besi siku L 30.30.2,5</t>
  </si>
  <si>
    <t>A.4.2.1.19</t>
  </si>
  <si>
    <r>
      <t>Pemasangan 1 m</t>
    </r>
    <r>
      <rPr>
        <b/>
        <sz val="11"/>
        <rFont val="Agency FB"/>
        <family val="2"/>
      </rPr>
      <t>¹</t>
    </r>
    <r>
      <rPr>
        <b/>
        <sz val="11"/>
        <rFont val="Calibri"/>
        <family val="2"/>
        <scheme val="minor"/>
      </rPr>
      <t xml:space="preserve"> Talang 1/2 Lingkaran D-15 cm , Seng Plat BJLS 30</t>
    </r>
  </si>
  <si>
    <t>Paku biasa 1 cm - 2,5 cm</t>
  </si>
  <si>
    <t>Besi strip</t>
  </si>
  <si>
    <t>Seng plat bjls 40 lebar 90 cm</t>
  </si>
  <si>
    <t>A. 4.7.1.10</t>
  </si>
  <si>
    <t>(1 Lapis Plamuur, 1 Lapis Cat dasar, 2 Lapis Cat Penutup)</t>
  </si>
  <si>
    <t>Plamuur</t>
  </si>
  <si>
    <t>Cat dasar</t>
  </si>
  <si>
    <t>Cat penutup</t>
  </si>
  <si>
    <t>Pengecatan 1 m² Tembok/Plafond Baru</t>
  </si>
  <si>
    <t>Dihitung-3</t>
  </si>
  <si>
    <t>A.4.4.3.44 (Inprovisasi)</t>
  </si>
  <si>
    <t>Pekerjaan 1 m² Water Proofing Lantai 3 (Coating)</t>
  </si>
  <si>
    <t>Tukang</t>
  </si>
  <si>
    <t>Pre treatment / cleaning</t>
  </si>
  <si>
    <r>
      <t>m</t>
    </r>
    <r>
      <rPr>
        <sz val="11"/>
        <color theme="1"/>
        <rFont val="Agency FB"/>
        <family val="2"/>
      </rPr>
      <t>²</t>
    </r>
  </si>
  <si>
    <t>Curbing sudut</t>
  </si>
  <si>
    <t>m²</t>
  </si>
  <si>
    <t>Sewa mixer</t>
  </si>
  <si>
    <t>Kuas</t>
  </si>
  <si>
    <r>
      <t>1 m</t>
    </r>
    <r>
      <rPr>
        <b/>
        <sz val="11"/>
        <rFont val="Agency FB"/>
        <family val="2"/>
      </rPr>
      <t>²</t>
    </r>
    <r>
      <rPr>
        <b/>
        <sz val="11"/>
        <rFont val="Calibri"/>
        <family val="2"/>
      </rPr>
      <t xml:space="preserve"> Pengikisan/Pengerokan Permukaan Cat Lama</t>
    </r>
  </si>
  <si>
    <t>Soda api</t>
  </si>
  <si>
    <r>
      <t>Pemasangan 1 M</t>
    </r>
    <r>
      <rPr>
        <b/>
        <sz val="11"/>
        <rFont val="Agency FB"/>
        <family val="2"/>
      </rPr>
      <t>²</t>
    </r>
    <r>
      <rPr>
        <b/>
        <sz val="11"/>
        <rFont val="Calibri"/>
        <family val="2"/>
      </rPr>
      <t xml:space="preserve"> Lantai Granit Ukuran 30x120 cm</t>
    </r>
  </si>
  <si>
    <t>Semen portland</t>
  </si>
  <si>
    <t>Pasir pasang</t>
  </si>
  <si>
    <t>Semen warna</t>
  </si>
  <si>
    <r>
      <t>Pemasangan 1 M</t>
    </r>
    <r>
      <rPr>
        <b/>
        <sz val="11"/>
        <rFont val="Agency FB"/>
        <family val="2"/>
      </rPr>
      <t>²</t>
    </r>
    <r>
      <rPr>
        <b/>
        <sz val="11"/>
        <rFont val="Calibri"/>
        <family val="2"/>
      </rPr>
      <t xml:space="preserve"> Lantai </t>
    </r>
    <r>
      <rPr>
        <b/>
        <i/>
        <sz val="11"/>
        <rFont val="Calibri"/>
        <family val="2"/>
      </rPr>
      <t>Vinyl</t>
    </r>
    <r>
      <rPr>
        <b/>
        <sz val="11"/>
        <rFont val="Calibri"/>
        <family val="2"/>
      </rPr>
      <t xml:space="preserve"> laminated</t>
    </r>
  </si>
  <si>
    <t>Lem</t>
  </si>
  <si>
    <t>A. 4.7.1.1</t>
  </si>
  <si>
    <t>Lem kayu</t>
  </si>
  <si>
    <t>Pasang plint vinyl uk. 10cm x 120cm</t>
  </si>
  <si>
    <t>Pasang lantai granit uk. 30cm x 120cm untuk tangga</t>
  </si>
  <si>
    <t>Pasang list lantai granit uk. 30cm x 120cm</t>
  </si>
  <si>
    <r>
      <t>Pemasangan 1 M</t>
    </r>
    <r>
      <rPr>
        <b/>
        <sz val="11"/>
        <rFont val="Calibri"/>
        <family val="2"/>
      </rPr>
      <t xml:space="preserve">¹ Plint </t>
    </r>
    <r>
      <rPr>
        <b/>
        <i/>
        <sz val="11"/>
        <rFont val="Calibri"/>
        <family val="2"/>
      </rPr>
      <t>Vinyl</t>
    </r>
    <r>
      <rPr>
        <b/>
        <sz val="11"/>
        <rFont val="Calibri"/>
        <family val="2"/>
      </rPr>
      <t xml:space="preserve"> Ukuran 10cm x 120cm</t>
    </r>
  </si>
  <si>
    <t>Lembar</t>
  </si>
  <si>
    <t>Pemasangan 1 m² Rangka Furing Channel truss</t>
  </si>
  <si>
    <t>Modul 60 x 60, untuk Plafond</t>
  </si>
  <si>
    <t>Rangka furing #0,30 mm</t>
  </si>
  <si>
    <t>Assesories (Perkuatan,</t>
  </si>
  <si>
    <t>paku beton, siku dll)</t>
  </si>
  <si>
    <t>A.4.5.1.7</t>
  </si>
  <si>
    <t>Pemasangan 1 m² Langit-Langit Gypsum Board (120x240) cm, tebal 9 mm</t>
  </si>
  <si>
    <t>Tukang plafond</t>
  </si>
  <si>
    <t>Gypsum board 9 mm</t>
  </si>
  <si>
    <t>Paku skrup</t>
  </si>
  <si>
    <t>Kain kasa</t>
  </si>
  <si>
    <t>Tepung dempul</t>
  </si>
  <si>
    <t>Up Ceiling / Down Ceiling</t>
  </si>
  <si>
    <r>
      <t>Pasangan plafond gypsum board 9 mm (</t>
    </r>
    <r>
      <rPr>
        <i/>
        <sz val="11"/>
        <color theme="1"/>
        <rFont val="Arial Narrow"/>
        <family val="2"/>
      </rPr>
      <t>down ceiling</t>
    </r>
    <r>
      <rPr>
        <sz val="11"/>
        <color theme="1"/>
        <rFont val="Arial Narrow"/>
        <family val="2"/>
      </rPr>
      <t>)</t>
    </r>
  </si>
  <si>
    <t>Medan,      Desember 2022</t>
  </si>
  <si>
    <t>ITEM KEGIATAN PEKERJAAN</t>
  </si>
  <si>
    <t>I.</t>
  </si>
  <si>
    <t>II.</t>
  </si>
  <si>
    <t>III.</t>
  </si>
  <si>
    <t>III.1</t>
  </si>
  <si>
    <t>III.2</t>
  </si>
  <si>
    <t>III.3</t>
  </si>
  <si>
    <t>III.4</t>
  </si>
  <si>
    <t>IV.</t>
  </si>
  <si>
    <t>IV.1</t>
  </si>
  <si>
    <t>IV.3</t>
  </si>
  <si>
    <t>IV.4</t>
  </si>
  <si>
    <t>IV.5</t>
  </si>
  <si>
    <t>IV.6</t>
  </si>
  <si>
    <t>V.</t>
  </si>
  <si>
    <t>SUB JUMLAH -III.</t>
  </si>
  <si>
    <t>SUB JUMLAH -IV.</t>
  </si>
  <si>
    <t>R E K A P I T U L A S I</t>
  </si>
  <si>
    <t>Rp.</t>
  </si>
  <si>
    <t>JUMLAH PEKERJAAN I s/d V.</t>
  </si>
  <si>
    <t>JUMLAH HARGA</t>
  </si>
  <si>
    <t>TERBILANG   :</t>
  </si>
  <si>
    <t>Tukang Khusus</t>
  </si>
  <si>
    <t>Papan kayu kelas III</t>
  </si>
  <si>
    <t xml:space="preserve">120cm x 240cm </t>
  </si>
  <si>
    <t>Teakwood tebal 9 mm</t>
  </si>
  <si>
    <t>/M</t>
  </si>
  <si>
    <t>Gypsum board tebal 9 mm</t>
  </si>
  <si>
    <t>Tepung dempul/compound</t>
  </si>
  <si>
    <t>@20 Kg</t>
  </si>
  <si>
    <t>/Zak</t>
  </si>
  <si>
    <t>/Roll</t>
  </si>
  <si>
    <t>1,5cm - 2,5 cm</t>
  </si>
  <si>
    <t>Pipa PVC 3 inchi tipe AW</t>
  </si>
  <si>
    <t>/M²</t>
  </si>
  <si>
    <t>/Batang</t>
  </si>
  <si>
    <t>/Lembar</t>
  </si>
  <si>
    <t>/Buah</t>
  </si>
  <si>
    <r>
      <t xml:space="preserve">Vinyl parquet </t>
    </r>
    <r>
      <rPr>
        <sz val="11"/>
        <color theme="1"/>
        <rFont val="Calibri"/>
        <family val="2"/>
        <scheme val="minor"/>
      </rPr>
      <t>laminated</t>
    </r>
  </si>
  <si>
    <t>Vinyl parquet laminated</t>
  </si>
  <si>
    <t>@40 Kg</t>
  </si>
  <si>
    <r>
      <t xml:space="preserve">Vinyl </t>
    </r>
    <r>
      <rPr>
        <sz val="11"/>
        <color theme="1"/>
        <rFont val="Calibri"/>
        <family val="2"/>
        <scheme val="minor"/>
      </rPr>
      <t>laminated uk. 10cm x 120cm</t>
    </r>
  </si>
  <si>
    <r>
      <rPr>
        <i/>
        <sz val="11"/>
        <color theme="1"/>
        <rFont val="Calibri"/>
        <family val="2"/>
        <scheme val="minor"/>
      </rPr>
      <t>Vinyl laminated</t>
    </r>
    <r>
      <rPr>
        <sz val="11"/>
        <color theme="1"/>
        <rFont val="Calibri"/>
        <family val="2"/>
        <scheme val="minor"/>
      </rPr>
      <t xml:space="preserve"> </t>
    </r>
  </si>
  <si>
    <t>10cm x 120cm</t>
  </si>
  <si>
    <t>Baja ringan canal C75</t>
  </si>
  <si>
    <t>Panj. 6 m</t>
  </si>
  <si>
    <t>Ubin granit uk. 30x120 cm</t>
  </si>
  <si>
    <t>Ubin granit</t>
  </si>
  <si>
    <t>30cm x 120cm</t>
  </si>
  <si>
    <t>Bahan Pasir, Semen &amp; Keramik.</t>
  </si>
  <si>
    <t>Bahan Pek. Lantai &amp; Dinding.</t>
  </si>
  <si>
    <t>Bahan Pek. Besi, Alluminium &amp; Baja Ringan</t>
  </si>
  <si>
    <t>Bahan Pek. Plafond</t>
  </si>
  <si>
    <t>Bahan Pek. Atap</t>
  </si>
  <si>
    <t>Bahan Pek. Cat dan Dll.</t>
  </si>
  <si>
    <t>Tebal # 4mm</t>
  </si>
  <si>
    <t>1cm - 2,5cm</t>
  </si>
  <si>
    <t>Paku biasa</t>
  </si>
  <si>
    <t>Besi siku L 30.30</t>
  </si>
  <si>
    <t>Tebal 2,5mm</t>
  </si>
  <si>
    <t>DAFTAR HARGA SATUAN BAHAN</t>
  </si>
  <si>
    <t>3 inchi</t>
  </si>
  <si>
    <t>/Pcs</t>
  </si>
  <si>
    <t xml:space="preserve">High Pressure Laminate (HPL) </t>
  </si>
  <si>
    <r>
      <t xml:space="preserve">Atap </t>
    </r>
    <r>
      <rPr>
        <i/>
        <sz val="11"/>
        <color theme="1"/>
        <rFont val="Calibri"/>
        <family val="2"/>
        <scheme val="minor"/>
      </rPr>
      <t>UPVC</t>
    </r>
    <r>
      <rPr>
        <sz val="11"/>
        <color theme="1"/>
        <rFont val="Calibri"/>
        <family val="2"/>
        <scheme val="minor"/>
      </rPr>
      <t xml:space="preserve">  (single layer) </t>
    </r>
  </si>
  <si>
    <t>68,8x100x1,2 cm</t>
  </si>
  <si>
    <r>
      <t xml:space="preserve">Atap </t>
    </r>
    <r>
      <rPr>
        <i/>
        <sz val="11"/>
        <color theme="1"/>
        <rFont val="Calibri"/>
        <family val="2"/>
        <scheme val="minor"/>
      </rPr>
      <t>UPVC</t>
    </r>
    <r>
      <rPr>
        <sz val="11"/>
        <color theme="1"/>
        <rFont val="Calibri"/>
        <family val="2"/>
        <scheme val="minor"/>
      </rPr>
      <t xml:space="preserve">  (double layer) </t>
    </r>
  </si>
  <si>
    <t xml:space="preserve">Pemasangan 1 m² Atap UPVC </t>
  </si>
  <si>
    <t>Lbr</t>
  </si>
  <si>
    <r>
      <t xml:space="preserve">Pemasangan atap </t>
    </r>
    <r>
      <rPr>
        <i/>
        <sz val="11"/>
        <color theme="1"/>
        <rFont val="Arial Narrow"/>
        <family val="2"/>
      </rPr>
      <t>UPVC</t>
    </r>
    <r>
      <rPr>
        <sz val="11"/>
        <color theme="1"/>
        <rFont val="Arial Narrow"/>
        <family val="2"/>
      </rPr>
      <t xml:space="preserve"> </t>
    </r>
    <r>
      <rPr>
        <i/>
        <sz val="11"/>
        <color theme="1"/>
        <rFont val="Arial Narrow"/>
        <family val="2"/>
      </rPr>
      <t>double layer</t>
    </r>
    <r>
      <rPr>
        <sz val="11"/>
        <color theme="1"/>
        <rFont val="Arial Narrow"/>
        <family val="2"/>
      </rPr>
      <t xml:space="preserve"> (warna putih)</t>
    </r>
  </si>
  <si>
    <r>
      <t xml:space="preserve">Pemasangan rabung </t>
    </r>
    <r>
      <rPr>
        <i/>
        <sz val="11"/>
        <color theme="1"/>
        <rFont val="Arial Narrow"/>
        <family val="2"/>
      </rPr>
      <t>UPVC</t>
    </r>
  </si>
  <si>
    <r>
      <t>Pemasangan 1 m</t>
    </r>
    <r>
      <rPr>
        <b/>
        <sz val="11"/>
        <rFont val="Agency FB"/>
        <family val="2"/>
      </rPr>
      <t>¹</t>
    </r>
    <r>
      <rPr>
        <b/>
        <sz val="11"/>
        <rFont val="Calibri"/>
        <family val="2"/>
        <scheme val="minor"/>
      </rPr>
      <t xml:space="preserve"> Nok/Rabung UPVC</t>
    </r>
  </si>
  <si>
    <t>Rabung UPVC uk. 105cm x 110cm x 3mm</t>
  </si>
  <si>
    <t>Dihit.- A.4.2.1.21a</t>
  </si>
  <si>
    <t>Dihit.- A. 2.2.1.14a</t>
  </si>
  <si>
    <t>Dihitung -1</t>
  </si>
  <si>
    <t>Dihitung -2</t>
  </si>
  <si>
    <t>Dihit.- A.4.5.1.7a</t>
  </si>
  <si>
    <t>Dihit.- A.4.4.3.62a</t>
  </si>
  <si>
    <t>Dihit.- A.4.4.3.59a</t>
  </si>
  <si>
    <t>Dihit.- A.4.4.3.42b</t>
  </si>
  <si>
    <t>Dihit.- A.4.5.2.7a</t>
  </si>
  <si>
    <t>Dihit.- A.4.5.2.38a</t>
  </si>
  <si>
    <t>Waterproofing (Cat waterproofing)</t>
  </si>
  <si>
    <t>Pekerjaan Dinding &amp; Penutup Atap.</t>
  </si>
  <si>
    <t xml:space="preserve">Pasangan dinding partisi GRC board rangkap rangka hollo galvalum </t>
  </si>
  <si>
    <t>uk. 30x60 mm untuk dudukan kap atap</t>
  </si>
  <si>
    <t>Dihit.-A.4.2.1.20c</t>
  </si>
  <si>
    <t>Rangka besi hollow 30.60 mm</t>
  </si>
  <si>
    <t>Assesories (perkuatan, las, dll)</t>
  </si>
  <si>
    <t>-----------------------------------------------------------------------------</t>
  </si>
  <si>
    <t>- - - - - - - - - - - - - - - - - - - - - - - - - - - - - - - - - - - - - - - - - - - - - - - - - - - - - -</t>
  </si>
  <si>
    <t>Pengecatan plafond gypsum board dan GRC board</t>
  </si>
  <si>
    <t>Besi hollow 30x60.1,2mm</t>
  </si>
  <si>
    <t xml:space="preserve">Pemasangan 1 M² Dinding Partisi GRC Board + Rangka Besi Hollow Galvalum </t>
  </si>
  <si>
    <t>Uk. 30.60 mm, Modul 60 x 120 cm</t>
  </si>
  <si>
    <t>GRC board #4 mm</t>
  </si>
  <si>
    <t>Dempul/compound</t>
  </si>
  <si>
    <t>122cm x 244cm</t>
  </si>
  <si>
    <t>Btg</t>
  </si>
  <si>
    <t>Pengecatan dinding trap anak tangga</t>
  </si>
  <si>
    <t>: Perbaikan Jembatan Penghubung Gedung Paripurna dan Gedung DPRD Provsu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</si>
</sst>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p&quot;* #,##0.00_);_(&quot;Rp&quot;* \(#,##0.00\);_(&quot;Rp&quot;* &quot;-&quot;??_);_(@_)"/>
    <numFmt numFmtId="167" formatCode="#,##0;[Red]#,##0"/>
    <numFmt numFmtId="168" formatCode="_(* #,##0.000_);_(* \(#,##0.000\);_(* &quot;-&quot;???_);_(@_)"/>
    <numFmt numFmtId="169" formatCode="_(* #,##0.00_);_(* \(#,##0.00\);_(* &quot;-&quot;???_);_(@_)"/>
    <numFmt numFmtId="170" formatCode="_(* #,##0.0000_);_(* \(#,##0.0000\);_(* &quot;-&quot;????_);_(@_)"/>
    <numFmt numFmtId="171" formatCode="_(* #,##0.000_);_(* \(#,##0.000\);_(* &quot;-&quot;????_);_(@_)"/>
    <numFmt numFmtId="172" formatCode="_(* #,##0.0000_);_(* \(#,##0.0000\);_(* &quot;-&quot;???_);_(@_)"/>
    <numFmt numFmtId="173" formatCode="_(* #,##0.0_);_(* \(#,##0.0\);_(* &quot;-&quot;???_);_(@_)"/>
    <numFmt numFmtId="174" formatCode="0.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4"/>
      <color theme="1"/>
      <name val="Arial Rounded MT Bold"/>
      <family val="2"/>
    </font>
    <font>
      <sz val="11"/>
      <color theme="1"/>
      <name val="Agency FB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theme="1"/>
      <name val="Arial Narrow"/>
      <family val="2"/>
    </font>
    <font>
      <u/>
      <sz val="11"/>
      <color theme="1"/>
      <name val="Calibri"/>
      <family val="2"/>
      <scheme val="minor"/>
    </font>
    <font>
      <u/>
      <sz val="12"/>
      <color theme="1"/>
      <name val="Arial Rounded MT Bold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Arial Narrow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Agency FB"/>
      <family val="2"/>
    </font>
    <font>
      <sz val="12"/>
      <name val="Calibri"/>
      <family val="2"/>
      <scheme val="minor"/>
    </font>
    <font>
      <b/>
      <sz val="6.05"/>
      <name val="Calibri"/>
      <family val="2"/>
    </font>
    <font>
      <sz val="11"/>
      <color theme="1"/>
      <name val="Calibri"/>
      <family val="2"/>
    </font>
    <font>
      <b/>
      <i/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Arial Narrow"/>
      <family val="2"/>
    </font>
    <font>
      <b/>
      <u/>
      <sz val="12"/>
      <color theme="1"/>
      <name val="Arial Rounded MT Bold"/>
      <family val="2"/>
    </font>
    <font>
      <sz val="12"/>
      <color theme="1"/>
      <name val="Arial Narrow"/>
      <family val="2"/>
    </font>
    <font>
      <sz val="14"/>
      <color theme="1"/>
      <name val="Arial Rounded MT Bold"/>
      <family val="2"/>
    </font>
    <font>
      <b/>
      <i/>
      <sz val="12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40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4" fontId="2" fillId="0" borderId="23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3" fontId="2" fillId="0" borderId="0" xfId="0" applyNumberFormat="1" applyFont="1"/>
    <xf numFmtId="0" fontId="2" fillId="0" borderId="27" xfId="0" applyFont="1" applyBorder="1" applyAlignment="1">
      <alignment horizontal="right" vertical="center"/>
    </xf>
    <xf numFmtId="165" fontId="2" fillId="0" borderId="27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165" fontId="3" fillId="3" borderId="11" xfId="0" applyNumberFormat="1" applyFont="1" applyFill="1" applyBorder="1" applyAlignment="1">
      <alignment vertical="center"/>
    </xf>
    <xf numFmtId="165" fontId="3" fillId="3" borderId="19" xfId="0" applyNumberFormat="1" applyFont="1" applyFill="1" applyBorder="1" applyAlignment="1">
      <alignment vertical="center"/>
    </xf>
    <xf numFmtId="0" fontId="4" fillId="4" borderId="3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9" fontId="1" fillId="0" borderId="4" xfId="0" applyNumberFormat="1" applyFont="1" applyBorder="1" applyAlignment="1">
      <alignment vertical="center"/>
    </xf>
    <xf numFmtId="39" fontId="1" fillId="0" borderId="27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166" fontId="1" fillId="0" borderId="26" xfId="0" applyNumberFormat="1" applyFont="1" applyBorder="1" applyAlignment="1">
      <alignment vertical="center"/>
    </xf>
    <xf numFmtId="39" fontId="1" fillId="0" borderId="2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39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5" xfId="0" quotePrefix="1" applyFont="1" applyBorder="1" applyAlignment="1">
      <alignment horizontal="left" vertical="center"/>
    </xf>
    <xf numFmtId="0" fontId="1" fillId="0" borderId="4" xfId="0" quotePrefix="1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15" fillId="5" borderId="0" xfId="0" applyFont="1" applyFill="1" applyAlignment="1">
      <alignment horizontal="right" vertical="center"/>
    </xf>
    <xf numFmtId="0" fontId="15" fillId="5" borderId="0" xfId="0" applyFont="1" applyFill="1" applyAlignment="1">
      <alignment vertical="center"/>
    </xf>
    <xf numFmtId="0" fontId="15" fillId="5" borderId="0" xfId="0" quotePrefix="1" applyFont="1" applyFill="1" applyAlignment="1">
      <alignment horizontal="right" vertical="center" wrapText="1"/>
    </xf>
    <xf numFmtId="0" fontId="15" fillId="5" borderId="0" xfId="0" applyFont="1" applyFill="1" applyAlignment="1">
      <alignment vertical="center" wrapText="1"/>
    </xf>
    <xf numFmtId="0" fontId="15" fillId="5" borderId="0" xfId="0" applyFont="1" applyFill="1" applyAlignment="1">
      <alignment horizontal="right" vertical="center" wrapText="1"/>
    </xf>
    <xf numFmtId="0" fontId="17" fillId="5" borderId="0" xfId="2" applyFont="1" applyFill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5" fillId="5" borderId="0" xfId="0" quotePrefix="1" applyFont="1" applyFill="1" applyAlignment="1">
      <alignment horizontal="right" vertical="center"/>
    </xf>
    <xf numFmtId="0" fontId="15" fillId="5" borderId="0" xfId="0" quotePrefix="1" applyFont="1" applyFill="1" applyAlignment="1">
      <alignment vertical="center"/>
    </xf>
    <xf numFmtId="0" fontId="15" fillId="5" borderId="0" xfId="0" applyFont="1" applyFill="1" applyAlignment="1">
      <alignment horizontal="left" vertical="center" wrapText="1"/>
    </xf>
    <xf numFmtId="167" fontId="15" fillId="5" borderId="0" xfId="0" applyNumberFormat="1" applyFont="1" applyFill="1" applyAlignment="1">
      <alignment vertical="center" wrapText="1"/>
    </xf>
    <xf numFmtId="167" fontId="15" fillId="5" borderId="0" xfId="0" applyNumberFormat="1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7" fillId="5" borderId="0" xfId="2" applyFont="1" applyFill="1" applyAlignment="1">
      <alignment horizontal="right" vertical="center"/>
    </xf>
    <xf numFmtId="0" fontId="17" fillId="5" borderId="0" xfId="2" quotePrefix="1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65" fontId="1" fillId="0" borderId="25" xfId="0" applyNumberFormat="1" applyFont="1" applyBorder="1" applyAlignment="1">
      <alignment vertical="center"/>
    </xf>
    <xf numFmtId="165" fontId="1" fillId="0" borderId="22" xfId="0" applyNumberFormat="1" applyFont="1" applyBorder="1" applyAlignment="1">
      <alignment vertical="center"/>
    </xf>
    <xf numFmtId="165" fontId="1" fillId="0" borderId="23" xfId="0" applyNumberFormat="1" applyFont="1" applyBorder="1" applyAlignment="1">
      <alignment vertical="center"/>
    </xf>
    <xf numFmtId="165" fontId="1" fillId="0" borderId="24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165" fontId="1" fillId="0" borderId="12" xfId="0" applyNumberFormat="1" applyFont="1" applyBorder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4" fontId="2" fillId="0" borderId="32" xfId="0" applyNumberFormat="1" applyFont="1" applyBorder="1" applyAlignment="1">
      <alignment vertical="center"/>
    </xf>
    <xf numFmtId="165" fontId="2" fillId="0" borderId="32" xfId="0" applyNumberFormat="1" applyFont="1" applyBorder="1" applyAlignment="1">
      <alignment vertical="center"/>
    </xf>
    <xf numFmtId="165" fontId="3" fillId="0" borderId="32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4" fillId="0" borderId="14" xfId="0" applyFont="1" applyBorder="1"/>
    <xf numFmtId="0" fontId="5" fillId="0" borderId="16" xfId="0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1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1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8" xfId="1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7" xfId="1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65" fontId="1" fillId="0" borderId="37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center"/>
    </xf>
    <xf numFmtId="165" fontId="15" fillId="0" borderId="20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textRotation="90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69" fontId="15" fillId="0" borderId="8" xfId="1" applyNumberFormat="1" applyFont="1" applyBorder="1" applyAlignment="1">
      <alignment vertical="center"/>
    </xf>
    <xf numFmtId="165" fontId="1" fillId="0" borderId="7" xfId="1" applyNumberFormat="1" applyFont="1" applyBorder="1" applyAlignment="1">
      <alignment vertical="center"/>
    </xf>
    <xf numFmtId="165" fontId="15" fillId="0" borderId="9" xfId="0" applyNumberFormat="1" applyFont="1" applyBorder="1" applyAlignment="1">
      <alignment vertical="center"/>
    </xf>
    <xf numFmtId="168" fontId="1" fillId="0" borderId="8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 textRotation="90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168" fontId="1" fillId="0" borderId="3" xfId="0" applyNumberFormat="1" applyFont="1" applyBorder="1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165" fontId="21" fillId="0" borderId="2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165" fontId="1" fillId="0" borderId="1" xfId="1" applyNumberFormat="1" applyFont="1" applyBorder="1" applyAlignment="1">
      <alignment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vertical="center"/>
    </xf>
    <xf numFmtId="168" fontId="1" fillId="0" borderId="3" xfId="1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168" fontId="1" fillId="0" borderId="8" xfId="1" applyNumberFormat="1" applyFont="1" applyBorder="1" applyAlignment="1">
      <alignment vertical="center"/>
    </xf>
    <xf numFmtId="165" fontId="1" fillId="0" borderId="3" xfId="1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 textRotation="90"/>
    </xf>
    <xf numFmtId="0" fontId="1" fillId="0" borderId="15" xfId="1" applyNumberFormat="1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165" fontId="1" fillId="0" borderId="15" xfId="1" applyNumberFormat="1" applyFont="1" applyBorder="1" applyAlignment="1">
      <alignment horizontal="center" vertical="center"/>
    </xf>
    <xf numFmtId="165" fontId="4" fillId="0" borderId="15" xfId="1" applyNumberFormat="1" applyFont="1" applyBorder="1" applyAlignment="1">
      <alignment horizontal="right" vertical="center"/>
    </xf>
    <xf numFmtId="165" fontId="21" fillId="0" borderId="16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65" fontId="1" fillId="0" borderId="0" xfId="1" applyNumberFormat="1" applyFont="1" applyBorder="1" applyAlignment="1">
      <alignment horizontal="center" vertical="center"/>
    </xf>
    <xf numFmtId="165" fontId="1" fillId="0" borderId="0" xfId="1" applyNumberFormat="1" applyFont="1" applyBorder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65" fontId="15" fillId="0" borderId="19" xfId="0" applyNumberFormat="1" applyFont="1" applyBorder="1" applyAlignment="1">
      <alignment vertical="center"/>
    </xf>
    <xf numFmtId="0" fontId="22" fillId="2" borderId="17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left" vertical="center"/>
    </xf>
    <xf numFmtId="0" fontId="22" fillId="2" borderId="18" xfId="0" applyFont="1" applyFill="1" applyBorder="1" applyAlignment="1">
      <alignment vertical="center"/>
    </xf>
    <xf numFmtId="0" fontId="22" fillId="2" borderId="18" xfId="1" applyNumberFormat="1" applyFont="1" applyFill="1" applyBorder="1" applyAlignment="1">
      <alignment vertical="center"/>
    </xf>
    <xf numFmtId="0" fontId="22" fillId="2" borderId="18" xfId="0" applyFont="1" applyFill="1" applyBorder="1" applyAlignment="1">
      <alignment horizontal="left" vertical="center"/>
    </xf>
    <xf numFmtId="165" fontId="22" fillId="2" borderId="18" xfId="0" applyNumberFormat="1" applyFont="1" applyFill="1" applyBorder="1" applyAlignment="1">
      <alignment horizontal="right" vertical="center"/>
    </xf>
    <xf numFmtId="165" fontId="22" fillId="2" borderId="18" xfId="1" applyNumberFormat="1" applyFont="1" applyFill="1" applyBorder="1" applyAlignment="1">
      <alignment horizontal="right" vertical="center"/>
    </xf>
    <xf numFmtId="165" fontId="20" fillId="2" borderId="19" xfId="3" applyNumberFormat="1" applyFont="1" applyFill="1" applyBorder="1" applyAlignment="1">
      <alignment vertical="center"/>
    </xf>
    <xf numFmtId="168" fontId="15" fillId="0" borderId="8" xfId="1" applyNumberFormat="1" applyFont="1" applyBorder="1" applyAlignment="1">
      <alignment vertical="center"/>
    </xf>
    <xf numFmtId="164" fontId="1" fillId="0" borderId="7" xfId="0" applyNumberFormat="1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vertical="center"/>
    </xf>
    <xf numFmtId="0" fontId="1" fillId="2" borderId="18" xfId="1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left" vertical="center"/>
    </xf>
    <xf numFmtId="165" fontId="1" fillId="2" borderId="18" xfId="0" applyNumberFormat="1" applyFont="1" applyFill="1" applyBorder="1" applyAlignment="1">
      <alignment horizontal="right" vertical="center"/>
    </xf>
    <xf numFmtId="165" fontId="1" fillId="2" borderId="18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1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18" xfId="1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70" fontId="15" fillId="0" borderId="8" xfId="1" applyNumberFormat="1" applyFont="1" applyBorder="1" applyAlignment="1">
      <alignment horizontal="center" vertical="center"/>
    </xf>
    <xf numFmtId="165" fontId="1" fillId="0" borderId="7" xfId="1" applyNumberFormat="1" applyFont="1" applyBorder="1" applyAlignment="1">
      <alignment horizontal="right" vertical="center"/>
    </xf>
    <xf numFmtId="170" fontId="1" fillId="0" borderId="8" xfId="0" applyNumberFormat="1" applyFont="1" applyBorder="1" applyAlignment="1">
      <alignment horizontal="right" vertical="center"/>
    </xf>
    <xf numFmtId="171" fontId="1" fillId="0" borderId="8" xfId="0" applyNumberFormat="1" applyFont="1" applyBorder="1" applyAlignment="1">
      <alignment horizontal="right" vertical="center"/>
    </xf>
    <xf numFmtId="165" fontId="1" fillId="0" borderId="3" xfId="0" applyNumberFormat="1" applyFont="1" applyBorder="1" applyAlignment="1">
      <alignment horizontal="right" vertical="center"/>
    </xf>
    <xf numFmtId="43" fontId="4" fillId="0" borderId="1" xfId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3" fontId="1" fillId="0" borderId="1" xfId="1" applyFont="1" applyBorder="1" applyAlignment="1">
      <alignment horizontal="right" vertical="center"/>
    </xf>
    <xf numFmtId="168" fontId="1" fillId="0" borderId="8" xfId="0" applyNumberFormat="1" applyFont="1" applyBorder="1" applyAlignment="1">
      <alignment horizontal="center" vertical="center"/>
    </xf>
    <xf numFmtId="169" fontId="1" fillId="0" borderId="8" xfId="0" applyNumberFormat="1" applyFont="1" applyBorder="1" applyAlignment="1">
      <alignment horizontal="center" vertical="center"/>
    </xf>
    <xf numFmtId="165" fontId="1" fillId="0" borderId="3" xfId="1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right" vertical="center"/>
    </xf>
    <xf numFmtId="165" fontId="1" fillId="0" borderId="8" xfId="1" applyNumberFormat="1" applyFont="1" applyBorder="1" applyAlignment="1">
      <alignment horizontal="center" vertical="center"/>
    </xf>
    <xf numFmtId="43" fontId="4" fillId="0" borderId="15" xfId="1" applyFont="1" applyBorder="1" applyAlignment="1">
      <alignment horizontal="right" vertical="center"/>
    </xf>
    <xf numFmtId="0" fontId="1" fillId="0" borderId="0" xfId="1" quotePrefix="1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165" fontId="22" fillId="0" borderId="0" xfId="1" applyNumberFormat="1" applyFont="1" applyBorder="1" applyAlignment="1">
      <alignment horizontal="right" vertical="center"/>
    </xf>
    <xf numFmtId="165" fontId="26" fillId="0" borderId="19" xfId="0" applyNumberFormat="1" applyFont="1" applyBorder="1" applyAlignment="1">
      <alignment vertical="center"/>
    </xf>
    <xf numFmtId="0" fontId="22" fillId="0" borderId="17" xfId="0" applyFont="1" applyBorder="1"/>
    <xf numFmtId="0" fontId="23" fillId="2" borderId="18" xfId="0" applyFont="1" applyFill="1" applyBorder="1" applyAlignment="1">
      <alignment vertical="center"/>
    </xf>
    <xf numFmtId="0" fontId="23" fillId="2" borderId="18" xfId="1" applyNumberFormat="1" applyFont="1" applyFill="1" applyBorder="1" applyAlignment="1">
      <alignment vertical="center"/>
    </xf>
    <xf numFmtId="0" fontId="23" fillId="2" borderId="18" xfId="0" applyFont="1" applyFill="1" applyBorder="1" applyAlignment="1">
      <alignment horizontal="left" vertical="center"/>
    </xf>
    <xf numFmtId="165" fontId="23" fillId="2" borderId="18" xfId="0" applyNumberFormat="1" applyFont="1" applyFill="1" applyBorder="1" applyAlignment="1">
      <alignment horizontal="right" vertical="center"/>
    </xf>
    <xf numFmtId="165" fontId="23" fillId="2" borderId="18" xfId="1" applyNumberFormat="1" applyFont="1" applyFill="1" applyBorder="1" applyAlignment="1">
      <alignment horizontal="right" vertical="center"/>
    </xf>
    <xf numFmtId="171" fontId="15" fillId="0" borderId="8" xfId="1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2" fontId="1" fillId="0" borderId="8" xfId="0" applyNumberFormat="1" applyFont="1" applyBorder="1" applyAlignment="1">
      <alignment horizontal="center" vertical="center"/>
    </xf>
    <xf numFmtId="168" fontId="1" fillId="0" borderId="8" xfId="0" applyNumberFormat="1" applyFont="1" applyBorder="1" applyAlignment="1">
      <alignment horizontal="right" vertical="center"/>
    </xf>
    <xf numFmtId="168" fontId="1" fillId="0" borderId="8" xfId="1" applyNumberFormat="1" applyFont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172" fontId="1" fillId="0" borderId="8" xfId="0" applyNumberFormat="1" applyFont="1" applyBorder="1" applyAlignment="1">
      <alignment vertical="center"/>
    </xf>
    <xf numFmtId="169" fontId="1" fillId="0" borderId="8" xfId="0" applyNumberFormat="1" applyFont="1" applyBorder="1" applyAlignment="1">
      <alignment vertical="center"/>
    </xf>
    <xf numFmtId="165" fontId="4" fillId="0" borderId="7" xfId="1" applyNumberFormat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73" fontId="1" fillId="0" borderId="8" xfId="1" applyNumberFormat="1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165" fontId="23" fillId="0" borderId="15" xfId="1" applyNumberFormat="1" applyFont="1" applyBorder="1" applyAlignment="1">
      <alignment horizontal="right" vertical="center"/>
    </xf>
    <xf numFmtId="165" fontId="20" fillId="0" borderId="16" xfId="0" applyNumberFormat="1" applyFont="1" applyBorder="1" applyAlignment="1">
      <alignment vertical="center"/>
    </xf>
    <xf numFmtId="168" fontId="15" fillId="0" borderId="8" xfId="1" applyNumberFormat="1" applyFont="1" applyFill="1" applyBorder="1" applyAlignment="1">
      <alignment vertical="center"/>
    </xf>
    <xf numFmtId="168" fontId="15" fillId="0" borderId="8" xfId="0" applyNumberFormat="1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174" fontId="1" fillId="0" borderId="0" xfId="0" applyNumberFormat="1" applyFont="1" applyAlignment="1">
      <alignment vertical="center"/>
    </xf>
    <xf numFmtId="169" fontId="1" fillId="0" borderId="8" xfId="1" applyNumberFormat="1" applyFont="1" applyBorder="1" applyAlignment="1">
      <alignment horizontal="center" vertical="center"/>
    </xf>
    <xf numFmtId="0" fontId="22" fillId="0" borderId="0" xfId="0" applyFont="1"/>
    <xf numFmtId="0" fontId="2" fillId="6" borderId="22" xfId="0" applyFont="1" applyFill="1" applyBorder="1" applyAlignment="1">
      <alignment vertical="center"/>
    </xf>
    <xf numFmtId="0" fontId="2" fillId="6" borderId="4" xfId="0" applyFont="1" applyFill="1" applyBorder="1" applyAlignment="1">
      <alignment horizontal="center" vertical="center"/>
    </xf>
    <xf numFmtId="4" fontId="2" fillId="6" borderId="22" xfId="0" applyNumberFormat="1" applyFont="1" applyFill="1" applyBorder="1" applyAlignment="1">
      <alignment vertical="center"/>
    </xf>
    <xf numFmtId="165" fontId="2" fillId="6" borderId="4" xfId="0" applyNumberFormat="1" applyFont="1" applyFill="1" applyBorder="1" applyAlignment="1">
      <alignment vertical="center"/>
    </xf>
    <xf numFmtId="165" fontId="3" fillId="6" borderId="38" xfId="0" applyNumberFormat="1" applyFont="1" applyFill="1" applyBorder="1" applyAlignment="1">
      <alignment vertical="center"/>
    </xf>
    <xf numFmtId="165" fontId="3" fillId="6" borderId="11" xfId="0" applyNumberFormat="1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2" fillId="6" borderId="28" xfId="0" applyFont="1" applyFill="1" applyBorder="1" applyAlignment="1">
      <alignment vertical="center"/>
    </xf>
    <xf numFmtId="0" fontId="2" fillId="6" borderId="27" xfId="0" applyFont="1" applyFill="1" applyBorder="1" applyAlignment="1">
      <alignment horizontal="center" vertical="center"/>
    </xf>
    <xf numFmtId="4" fontId="2" fillId="6" borderId="28" xfId="0" applyNumberFormat="1" applyFont="1" applyFill="1" applyBorder="1" applyAlignment="1">
      <alignment vertical="center"/>
    </xf>
    <xf numFmtId="165" fontId="2" fillId="6" borderId="27" xfId="0" applyNumberFormat="1" applyFont="1" applyFill="1" applyBorder="1" applyAlignment="1">
      <alignment vertical="center"/>
    </xf>
    <xf numFmtId="165" fontId="3" fillId="6" borderId="9" xfId="0" applyNumberFormat="1" applyFont="1" applyFill="1" applyBorder="1" applyAlignment="1">
      <alignment vertical="center"/>
    </xf>
    <xf numFmtId="0" fontId="33" fillId="0" borderId="0" xfId="0" applyFont="1"/>
    <xf numFmtId="0" fontId="6" fillId="0" borderId="0" xfId="0" applyFont="1" applyAlignment="1">
      <alignment vertical="top"/>
    </xf>
    <xf numFmtId="0" fontId="3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4" fontId="2" fillId="0" borderId="25" xfId="0" applyNumberFormat="1" applyFont="1" applyBorder="1" applyAlignment="1">
      <alignment vertical="center"/>
    </xf>
    <xf numFmtId="165" fontId="2" fillId="0" borderId="26" xfId="0" applyNumberFormat="1" applyFont="1" applyBorder="1" applyAlignment="1">
      <alignment vertical="center"/>
    </xf>
    <xf numFmtId="165" fontId="3" fillId="0" borderId="36" xfId="0" applyNumberFormat="1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165" fontId="22" fillId="0" borderId="31" xfId="0" applyNumberFormat="1" applyFont="1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32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3" fillId="0" borderId="18" xfId="0" applyFont="1" applyBorder="1" applyAlignment="1">
      <alignment vertical="center"/>
    </xf>
    <xf numFmtId="0" fontId="12" fillId="0" borderId="0" xfId="0" applyFont="1"/>
    <xf numFmtId="0" fontId="3" fillId="0" borderId="0" xfId="0" applyFont="1"/>
    <xf numFmtId="166" fontId="4" fillId="0" borderId="0" xfId="0" applyNumberFormat="1" applyFont="1" applyAlignment="1">
      <alignment vertical="center"/>
    </xf>
    <xf numFmtId="166" fontId="36" fillId="0" borderId="0" xfId="0" applyNumberFormat="1" applyFont="1" applyAlignment="1">
      <alignment vertical="center"/>
    </xf>
    <xf numFmtId="166" fontId="37" fillId="0" borderId="0" xfId="0" applyNumberFormat="1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0" fillId="0" borderId="4" xfId="0" quotePrefix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65" fontId="22" fillId="0" borderId="0" xfId="0" applyNumberFormat="1" applyFont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9" fontId="1" fillId="0" borderId="8" xfId="0" applyNumberFormat="1" applyFont="1" applyBorder="1" applyAlignment="1">
      <alignment vertical="center"/>
    </xf>
    <xf numFmtId="0" fontId="22" fillId="2" borderId="18" xfId="1" quotePrefix="1" applyNumberFormat="1" applyFont="1" applyFill="1" applyBorder="1" applyAlignment="1">
      <alignment vertical="center"/>
    </xf>
    <xf numFmtId="0" fontId="0" fillId="0" borderId="5" xfId="0" quotePrefix="1" applyBorder="1" applyAlignment="1">
      <alignment horizontal="left" vertical="center"/>
    </xf>
    <xf numFmtId="165" fontId="1" fillId="0" borderId="6" xfId="1" applyNumberFormat="1" applyFont="1" applyBorder="1" applyAlignment="1">
      <alignment vertical="center"/>
    </xf>
    <xf numFmtId="164" fontId="0" fillId="0" borderId="7" xfId="0" applyNumberFormat="1" applyBorder="1" applyAlignment="1">
      <alignment horizontal="center" vertical="center"/>
    </xf>
    <xf numFmtId="165" fontId="3" fillId="3" borderId="38" xfId="0" applyNumberFormat="1" applyFont="1" applyFill="1" applyBorder="1" applyAlignment="1">
      <alignment vertical="center"/>
    </xf>
    <xf numFmtId="0" fontId="22" fillId="0" borderId="0" xfId="0" quotePrefix="1" applyFont="1"/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23" fillId="0" borderId="1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66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35" fillId="2" borderId="39" xfId="0" applyFont="1" applyFill="1" applyBorder="1" applyAlignment="1">
      <alignment horizontal="left" vertical="center"/>
    </xf>
    <xf numFmtId="0" fontId="35" fillId="2" borderId="18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right" vertical="center"/>
    </xf>
    <xf numFmtId="166" fontId="4" fillId="0" borderId="18" xfId="0" applyNumberFormat="1" applyFont="1" applyBorder="1" applyAlignment="1">
      <alignment horizontal="center" vertical="center"/>
    </xf>
    <xf numFmtId="166" fontId="4" fillId="0" borderId="32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165" fontId="23" fillId="0" borderId="3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32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37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4" fillId="4" borderId="2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</cellXfs>
  <cellStyles count="5">
    <cellStyle name="Comma" xfId="1" builtinId="3"/>
    <cellStyle name="Comma [0] 2" xfId="4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1500731</xdr:colOff>
      <xdr:row>34</xdr:row>
      <xdr:rowOff>117287</xdr:rowOff>
    </xdr:from>
    <xdr:to>
      <xdr:col>5</xdr:col>
      <xdr:colOff>2348477</xdr:colOff>
      <xdr:row>45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576496" y="6056405"/>
          <a:ext cx="2483805" cy="1731683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Diperiksa/Disetujui Oleh: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PEJABAT PELAKSANA TEKNIS KEGIATAN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KEPALA BAGIAN UMUM DPRD PROVSU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MUHAMMAD IKHSAN, S.STP, MAP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NIP. 19851119 200312 1 001</a:t>
          </a:r>
        </a:p>
      </xdr:txBody>
    </xdr:sp>
    <xdr:clientData/>
  </xdr:twoCellAnchor>
  <xdr:twoCellAnchor>
    <xdr:from>
      <xdr:col>0</xdr:col>
      <xdr:colOff>0</xdr:colOff>
      <xdr:row>34</xdr:row>
      <xdr:rowOff>92776</xdr:rowOff>
    </xdr:from>
    <xdr:to>
      <xdr:col>4</xdr:col>
      <xdr:colOff>1324332</xdr:colOff>
      <xdr:row>44</xdr:row>
      <xdr:rowOff>90676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6031894"/>
          <a:ext cx="2400097" cy="1678782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Mengetahui: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PENGELOLA TEKNIS DINAS SDA, CIPTA KARYA &amp; TATA RUANG PROVSU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DHANIL RAFONDA, ST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NIP. 19820628 200801 1 001</a:t>
          </a:r>
        </a:p>
      </xdr:txBody>
    </xdr:sp>
    <xdr:clientData/>
  </xdr:twoCellAnchor>
  <xdr:twoCellAnchor>
    <xdr:from>
      <xdr:col>4</xdr:col>
      <xdr:colOff>1472244</xdr:colOff>
      <xdr:row>46</xdr:row>
      <xdr:rowOff>77444</xdr:rowOff>
    </xdr:from>
    <xdr:to>
      <xdr:col>5</xdr:col>
      <xdr:colOff>2323699</xdr:colOff>
      <xdr:row>56</xdr:row>
      <xdr:rowOff>63439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548569" y="8173694"/>
          <a:ext cx="2489755" cy="1700495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Menyetujui: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SEKRETARIS DPRD PROVSU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SELAKU PENGGUNA ANGGARAN (PA)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ZULKIFLI, S.IP, MM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NIP. 19730726 199311 1 001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ombinasi%20Terbilang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ww.Kelasexcel.web.id"/>
      <sheetName val="Kombinasi Terbilang"/>
    </sheetNames>
    <definedNames>
      <definedName name="terbilang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96"/>
  <sheetViews>
    <sheetView showGridLines="0" tabSelected="1" view="pageBreakPreview" topLeftCell="B55" zoomScaleNormal="100" zoomScaleSheetLayoutView="100" workbookViewId="0">
      <selection activeCell="K70" sqref="K70:N84"/>
    </sheetView>
  </sheetViews>
  <sheetFormatPr defaultRowHeight="14.1" customHeight="1" x14ac:dyDescent="0.3"/>
  <cols>
    <col min="1" max="1" width="1.7109375" style="280" customWidth="1"/>
    <col min="2" max="2" width="8.85546875" style="280" customWidth="1"/>
    <col min="3" max="3" width="2.85546875" style="280" customWidth="1"/>
    <col min="4" max="4" width="2.7109375" style="280" customWidth="1"/>
    <col min="5" max="5" width="24.5703125" style="280" customWidth="1"/>
    <col min="6" max="6" width="41.7109375" style="280" customWidth="1"/>
    <col min="7" max="7" width="8.85546875" style="280" customWidth="1"/>
    <col min="8" max="8" width="25.7109375" style="280" customWidth="1"/>
    <col min="9" max="9" width="9.140625" style="1"/>
    <col min="10" max="10" width="1.42578125" style="1" customWidth="1"/>
    <col min="11" max="11" width="5.7109375" style="1" customWidth="1"/>
    <col min="12" max="12" width="0.7109375" style="1" customWidth="1"/>
    <col min="13" max="13" width="5" style="1" customWidth="1"/>
    <col min="14" max="14" width="45.7109375" style="1" customWidth="1"/>
    <col min="15" max="15" width="16.140625" style="1" customWidth="1"/>
    <col min="16" max="16" width="7.7109375" style="1" customWidth="1"/>
    <col min="17" max="17" width="3.85546875" style="1" customWidth="1"/>
    <col min="18" max="18" width="14.7109375" style="1" customWidth="1"/>
    <col min="19" max="19" width="15.7109375" style="1" customWidth="1"/>
    <col min="20" max="20" width="9.85546875" style="1" bestFit="1" customWidth="1"/>
    <col min="21" max="16384" width="9.140625" style="1"/>
  </cols>
  <sheetData>
    <row r="1" spans="1:19" ht="6" customHeight="1" x14ac:dyDescent="0.3"/>
    <row r="2" spans="1:19" ht="30" customHeight="1" x14ac:dyDescent="0.3">
      <c r="B2" s="339" t="s">
        <v>234</v>
      </c>
      <c r="C2" s="339"/>
      <c r="D2" s="339"/>
      <c r="E2" s="339"/>
      <c r="F2" s="339"/>
      <c r="G2" s="339"/>
      <c r="H2" s="339"/>
      <c r="I2" s="279"/>
      <c r="J2" s="279"/>
      <c r="K2" s="338" t="s">
        <v>14</v>
      </c>
      <c r="L2" s="338"/>
      <c r="M2" s="338"/>
      <c r="N2" s="338"/>
      <c r="O2" s="338"/>
      <c r="P2" s="338"/>
      <c r="Q2" s="338"/>
      <c r="R2" s="338"/>
      <c r="S2" s="338"/>
    </row>
    <row r="3" spans="1:19" ht="21" customHeight="1" x14ac:dyDescent="0.3">
      <c r="B3" s="340" t="s">
        <v>14</v>
      </c>
      <c r="C3" s="340"/>
      <c r="D3" s="340"/>
      <c r="E3" s="340"/>
      <c r="F3" s="340"/>
      <c r="G3" s="340"/>
      <c r="H3" s="340"/>
      <c r="I3" s="279"/>
      <c r="J3" s="279"/>
      <c r="K3" s="338"/>
      <c r="L3" s="338"/>
      <c r="M3" s="338"/>
      <c r="N3" s="338"/>
      <c r="O3" s="338"/>
      <c r="P3" s="338"/>
      <c r="Q3" s="338"/>
      <c r="R3" s="338"/>
      <c r="S3" s="338"/>
    </row>
    <row r="4" spans="1:19" s="265" customFormat="1" ht="14.1" customHeight="1" x14ac:dyDescent="0.25">
      <c r="A4" s="281"/>
      <c r="B4" s="281" t="str">
        <f t="shared" ref="B4:B6" si="0">K4</f>
        <v>Pekerjaan</v>
      </c>
      <c r="C4" s="281"/>
      <c r="E4" s="281" t="str">
        <f>N4</f>
        <v>: Perbaikan Jembatan Penghubung Gedung Paripurna dan Gedung DPRD Provsu</v>
      </c>
      <c r="F4" s="281"/>
      <c r="G4" s="281"/>
      <c r="H4" s="281"/>
      <c r="K4" s="265" t="s">
        <v>5</v>
      </c>
      <c r="N4" s="325" t="s">
        <v>318</v>
      </c>
    </row>
    <row r="5" spans="1:19" s="265" customFormat="1" ht="14.1" customHeight="1" x14ac:dyDescent="0.25">
      <c r="A5" s="281"/>
      <c r="B5" s="281" t="str">
        <f t="shared" si="0"/>
        <v>Lokasi</v>
      </c>
      <c r="C5" s="281"/>
      <c r="E5" s="281" t="str">
        <f>N5</f>
        <v>: Jalan Imam Bonjol No. 5 Medan</v>
      </c>
      <c r="F5" s="281"/>
      <c r="G5" s="281"/>
      <c r="H5" s="281"/>
      <c r="K5" s="265" t="s">
        <v>6</v>
      </c>
      <c r="N5" s="265" t="s">
        <v>13</v>
      </c>
    </row>
    <row r="6" spans="1:19" s="265" customFormat="1" ht="14.1" customHeight="1" x14ac:dyDescent="0.25">
      <c r="A6" s="281"/>
      <c r="B6" s="281" t="str">
        <f t="shared" si="0"/>
        <v>Tahun</v>
      </c>
      <c r="C6" s="281"/>
      <c r="E6" s="281" t="str">
        <f>N6</f>
        <v>: 2022</v>
      </c>
      <c r="F6" s="281"/>
      <c r="G6" s="281"/>
      <c r="H6" s="281"/>
      <c r="K6" s="265" t="s">
        <v>7</v>
      </c>
      <c r="N6" s="265" t="s">
        <v>8</v>
      </c>
    </row>
    <row r="7" spans="1:19" s="265" customFormat="1" ht="14.1" customHeight="1" x14ac:dyDescent="0.25">
      <c r="A7" s="281"/>
      <c r="B7" s="281"/>
      <c r="C7" s="281"/>
      <c r="D7" s="281"/>
      <c r="E7" s="281"/>
      <c r="F7" s="281"/>
      <c r="G7" s="281"/>
      <c r="H7" s="281"/>
    </row>
    <row r="8" spans="1:19" ht="14.1" customHeight="1" x14ac:dyDescent="0.3">
      <c r="B8" s="341" t="s">
        <v>10</v>
      </c>
      <c r="C8" s="344" t="s">
        <v>217</v>
      </c>
      <c r="D8" s="345"/>
      <c r="E8" s="345"/>
      <c r="F8" s="341"/>
      <c r="G8" s="344"/>
      <c r="H8" s="345"/>
      <c r="K8" s="335" t="s">
        <v>10</v>
      </c>
      <c r="L8" s="326" t="s">
        <v>3</v>
      </c>
      <c r="M8" s="327"/>
      <c r="N8" s="328"/>
      <c r="O8" s="335" t="s">
        <v>15</v>
      </c>
      <c r="P8" s="326" t="s">
        <v>1</v>
      </c>
      <c r="Q8" s="328"/>
      <c r="R8" s="111" t="s">
        <v>9</v>
      </c>
      <c r="S8" s="108" t="s">
        <v>0</v>
      </c>
    </row>
    <row r="9" spans="1:19" ht="14.1" customHeight="1" x14ac:dyDescent="0.3">
      <c r="B9" s="342"/>
      <c r="C9" s="346"/>
      <c r="D9" s="347"/>
      <c r="E9" s="347"/>
      <c r="F9" s="342"/>
      <c r="G9" s="346" t="s">
        <v>237</v>
      </c>
      <c r="H9" s="347"/>
      <c r="K9" s="336"/>
      <c r="L9" s="329"/>
      <c r="M9" s="330"/>
      <c r="N9" s="331"/>
      <c r="O9" s="336"/>
      <c r="P9" s="329"/>
      <c r="Q9" s="331"/>
      <c r="R9" s="112" t="s">
        <v>2</v>
      </c>
      <c r="S9" s="109" t="s">
        <v>9</v>
      </c>
    </row>
    <row r="10" spans="1:19" ht="14.1" customHeight="1" x14ac:dyDescent="0.3">
      <c r="B10" s="343"/>
      <c r="C10" s="348"/>
      <c r="D10" s="349"/>
      <c r="E10" s="349"/>
      <c r="F10" s="343"/>
      <c r="G10" s="288"/>
      <c r="H10" s="300"/>
      <c r="K10" s="337"/>
      <c r="L10" s="332"/>
      <c r="M10" s="333"/>
      <c r="N10" s="334"/>
      <c r="O10" s="337"/>
      <c r="P10" s="332"/>
      <c r="Q10" s="334"/>
      <c r="R10" s="113" t="s">
        <v>4</v>
      </c>
      <c r="S10" s="110" t="s">
        <v>4</v>
      </c>
    </row>
    <row r="11" spans="1:19" ht="14.1" customHeight="1" x14ac:dyDescent="0.3">
      <c r="B11" s="289"/>
      <c r="C11" s="289"/>
      <c r="D11" s="289"/>
      <c r="E11" s="289"/>
      <c r="F11" s="289"/>
      <c r="G11" s="290"/>
      <c r="H11" s="289"/>
      <c r="K11" s="21" t="s">
        <v>218</v>
      </c>
      <c r="L11" s="22" t="s">
        <v>17</v>
      </c>
      <c r="M11" s="8"/>
      <c r="N11" s="8"/>
      <c r="O11" s="20"/>
      <c r="P11" s="9"/>
      <c r="Q11" s="8"/>
      <c r="R11" s="10"/>
      <c r="S11" s="11"/>
    </row>
    <row r="12" spans="1:19" ht="14.1" customHeight="1" x14ac:dyDescent="0.3">
      <c r="B12" s="291" t="str">
        <f>K11</f>
        <v>I.</v>
      </c>
      <c r="C12" s="292" t="str">
        <f>L11</f>
        <v>PEKERJAAN PENDAHULUAN.</v>
      </c>
      <c r="D12" s="292"/>
      <c r="E12" s="292"/>
      <c r="F12" s="292"/>
      <c r="G12" s="291" t="s">
        <v>235</v>
      </c>
      <c r="H12" s="293">
        <f>S15</f>
        <v>9700000</v>
      </c>
      <c r="K12" s="18">
        <v>1</v>
      </c>
      <c r="L12" s="8"/>
      <c r="M12" s="8" t="s">
        <v>16</v>
      </c>
      <c r="N12" s="8"/>
      <c r="O12" s="20" t="s">
        <v>71</v>
      </c>
      <c r="P12" s="9">
        <v>1</v>
      </c>
      <c r="Q12" s="8" t="s">
        <v>11</v>
      </c>
      <c r="R12" s="10">
        <v>3500000</v>
      </c>
      <c r="S12" s="11">
        <f>SUM(P12*R12)</f>
        <v>3500000</v>
      </c>
    </row>
    <row r="13" spans="1:19" ht="14.1" customHeight="1" x14ac:dyDescent="0.3">
      <c r="B13" s="294"/>
      <c r="C13" s="295"/>
      <c r="D13" s="295"/>
      <c r="E13" s="295"/>
      <c r="F13" s="295"/>
      <c r="G13" s="294"/>
      <c r="H13" s="295"/>
      <c r="K13" s="18">
        <v>2</v>
      </c>
      <c r="L13" s="8"/>
      <c r="M13" s="8" t="s">
        <v>23</v>
      </c>
      <c r="N13" s="8"/>
      <c r="O13" s="20" t="s">
        <v>71</v>
      </c>
      <c r="P13" s="9">
        <v>20</v>
      </c>
      <c r="Q13" s="8" t="s">
        <v>56</v>
      </c>
      <c r="R13" s="10">
        <v>135000</v>
      </c>
      <c r="S13" s="25">
        <f>SUM(P13*R13)</f>
        <v>2700000</v>
      </c>
    </row>
    <row r="14" spans="1:19" ht="14.1" customHeight="1" x14ac:dyDescent="0.3">
      <c r="B14" s="291" t="str">
        <f>K16</f>
        <v>II.</v>
      </c>
      <c r="C14" s="292" t="str">
        <f>L16</f>
        <v>PEKERJAAN BONGKARAN.</v>
      </c>
      <c r="D14" s="292"/>
      <c r="E14" s="292"/>
      <c r="F14" s="292"/>
      <c r="G14" s="291" t="s">
        <v>235</v>
      </c>
      <c r="H14" s="293">
        <f>S23</f>
        <v>27018221.581999999</v>
      </c>
      <c r="K14" s="18">
        <v>3</v>
      </c>
      <c r="L14" s="8"/>
      <c r="M14" s="8" t="s">
        <v>134</v>
      </c>
      <c r="N14" s="8"/>
      <c r="O14" s="20" t="s">
        <v>71</v>
      </c>
      <c r="P14" s="9">
        <v>1</v>
      </c>
      <c r="Q14" s="8" t="s">
        <v>11</v>
      </c>
      <c r="R14" s="10">
        <v>3500000</v>
      </c>
      <c r="S14" s="25">
        <f>SUM(P14*R14)</f>
        <v>3500000</v>
      </c>
    </row>
    <row r="15" spans="1:19" ht="14.1" customHeight="1" x14ac:dyDescent="0.3">
      <c r="B15" s="294"/>
      <c r="C15" s="295"/>
      <c r="D15" s="295"/>
      <c r="E15" s="295"/>
      <c r="F15" s="295"/>
      <c r="G15" s="294"/>
      <c r="H15" s="295"/>
      <c r="K15" s="18"/>
      <c r="L15" s="266"/>
      <c r="M15" s="266"/>
      <c r="N15" s="266"/>
      <c r="O15" s="267"/>
      <c r="P15" s="268"/>
      <c r="Q15" s="266"/>
      <c r="R15" s="269"/>
      <c r="S15" s="270">
        <f>SUM(S12:S14)</f>
        <v>9700000</v>
      </c>
    </row>
    <row r="16" spans="1:19" ht="14.1" customHeight="1" x14ac:dyDescent="0.3">
      <c r="B16" s="291" t="str">
        <f>K24</f>
        <v>III.</v>
      </c>
      <c r="C16" s="292" t="str">
        <f>L24</f>
        <v>PEKERJAAN EKSTERIOR.</v>
      </c>
      <c r="D16" s="292"/>
      <c r="E16" s="292"/>
      <c r="F16" s="292"/>
      <c r="G16" s="291" t="s">
        <v>235</v>
      </c>
      <c r="H16" s="293">
        <f>S45</f>
        <v>173977107.31</v>
      </c>
      <c r="K16" s="21" t="s">
        <v>219</v>
      </c>
      <c r="L16" s="22" t="s">
        <v>24</v>
      </c>
      <c r="M16" s="8"/>
      <c r="N16" s="8"/>
      <c r="O16" s="20"/>
      <c r="P16" s="9"/>
      <c r="Q16" s="8"/>
      <c r="R16" s="10"/>
      <c r="S16" s="11"/>
    </row>
    <row r="17" spans="2:24" ht="14.1" customHeight="1" x14ac:dyDescent="0.3">
      <c r="B17" s="294"/>
      <c r="C17" s="295"/>
      <c r="D17" s="295"/>
      <c r="E17" s="295"/>
      <c r="F17" s="295"/>
      <c r="G17" s="294"/>
      <c r="H17" s="295"/>
      <c r="K17" s="18">
        <v>1</v>
      </c>
      <c r="L17" s="8"/>
      <c r="M17" s="8" t="s">
        <v>22</v>
      </c>
      <c r="N17" s="8"/>
      <c r="O17" s="20" t="str">
        <f>ANALISA!$H$8</f>
        <v>Dihit.- A. 2.2.1.14a</v>
      </c>
      <c r="P17" s="9">
        <f>P48+P49</f>
        <v>22.897999999999996</v>
      </c>
      <c r="Q17" s="8" t="s">
        <v>41</v>
      </c>
      <c r="R17" s="10">
        <f>ANALISA!$I$29</f>
        <v>614459</v>
      </c>
      <c r="S17" s="11">
        <f>R17*P17</f>
        <v>14069882.181999998</v>
      </c>
      <c r="U17" s="1">
        <f>(5.35*0.3*5)</f>
        <v>8.0249999999999986</v>
      </c>
      <c r="V17" s="1">
        <f>(5.35*0.18)*(4)</f>
        <v>3.8519999999999994</v>
      </c>
      <c r="W17" s="1">
        <f>(0.09*5.35)</f>
        <v>0.48149999999999993</v>
      </c>
      <c r="X17" s="1">
        <f>((5.35*0.3)*5)+((5.35*0.18)*4)+(0.09*5.35)</f>
        <v>12.358499999999999</v>
      </c>
    </row>
    <row r="18" spans="2:24" ht="14.1" customHeight="1" x14ac:dyDescent="0.3">
      <c r="B18" s="291" t="str">
        <f>K46</f>
        <v>IV.</v>
      </c>
      <c r="C18" s="292" t="str">
        <f>L46</f>
        <v>PEKERJAAN INTERIOR.</v>
      </c>
      <c r="D18" s="292"/>
      <c r="E18" s="292"/>
      <c r="F18" s="292"/>
      <c r="G18" s="291" t="s">
        <v>235</v>
      </c>
      <c r="H18" s="293">
        <f>S78</f>
        <v>144181793.41</v>
      </c>
      <c r="K18" s="18">
        <f>K17+1</f>
        <v>2</v>
      </c>
      <c r="L18" s="8"/>
      <c r="M18" s="8" t="s">
        <v>25</v>
      </c>
      <c r="N18" s="8"/>
      <c r="O18" s="20" t="s">
        <v>71</v>
      </c>
      <c r="P18" s="9">
        <v>1</v>
      </c>
      <c r="Q18" s="8" t="s">
        <v>11</v>
      </c>
      <c r="R18" s="10">
        <v>750000</v>
      </c>
      <c r="S18" s="11">
        <f t="shared" ref="S18:S22" si="1">SUM(P18*R18)</f>
        <v>750000</v>
      </c>
    </row>
    <row r="19" spans="2:24" ht="14.1" customHeight="1" x14ac:dyDescent="0.3">
      <c r="B19" s="296"/>
      <c r="C19" s="281"/>
      <c r="D19" s="281"/>
      <c r="E19" s="281"/>
      <c r="F19" s="281"/>
      <c r="G19" s="296"/>
      <c r="H19" s="281"/>
      <c r="K19" s="18">
        <f t="shared" ref="K19:K22" si="2">K18+1</f>
        <v>3</v>
      </c>
      <c r="L19" s="8"/>
      <c r="M19" s="8" t="s">
        <v>26</v>
      </c>
      <c r="N19" s="8"/>
      <c r="O19" s="20" t="s">
        <v>71</v>
      </c>
      <c r="P19" s="9">
        <v>1</v>
      </c>
      <c r="Q19" s="8" t="s">
        <v>11</v>
      </c>
      <c r="R19" s="10">
        <v>1000000</v>
      </c>
      <c r="S19" s="11">
        <f t="shared" si="1"/>
        <v>1000000</v>
      </c>
    </row>
    <row r="20" spans="2:24" ht="14.1" customHeight="1" x14ac:dyDescent="0.3">
      <c r="B20" s="296" t="str">
        <f>K79</f>
        <v>V.</v>
      </c>
      <c r="C20" s="281" t="str">
        <f>L79</f>
        <v>PEKERJAAN LAIN-LAIN.</v>
      </c>
      <c r="D20" s="281"/>
      <c r="E20" s="281"/>
      <c r="F20" s="281"/>
      <c r="G20" s="296" t="s">
        <v>235</v>
      </c>
      <c r="H20" s="313">
        <f>S84</f>
        <v>6626550</v>
      </c>
      <c r="K20" s="18">
        <f t="shared" si="2"/>
        <v>4</v>
      </c>
      <c r="L20" s="8"/>
      <c r="M20" s="8" t="s">
        <v>27</v>
      </c>
      <c r="N20" s="8"/>
      <c r="O20" s="20" t="str">
        <f>ANALISA!$Q$8</f>
        <v>Dihitung -1</v>
      </c>
      <c r="P20" s="9">
        <f>SUM(P56:P57)</f>
        <v>189.6</v>
      </c>
      <c r="Q20" s="8" t="s">
        <v>41</v>
      </c>
      <c r="R20" s="10">
        <f>ANALISA!$R$29</f>
        <v>24409</v>
      </c>
      <c r="S20" s="11">
        <f t="shared" si="1"/>
        <v>4627946.3999999994</v>
      </c>
    </row>
    <row r="21" spans="2:24" ht="14.1" customHeight="1" x14ac:dyDescent="0.3">
      <c r="B21" s="314"/>
      <c r="C21" s="298"/>
      <c r="D21" s="298"/>
      <c r="E21" s="298"/>
      <c r="F21" s="298"/>
      <c r="G21" s="298"/>
      <c r="H21" s="298"/>
      <c r="K21" s="18">
        <f t="shared" si="2"/>
        <v>5</v>
      </c>
      <c r="L21" s="8"/>
      <c r="M21" s="8" t="s">
        <v>40</v>
      </c>
      <c r="N21" s="8"/>
      <c r="O21" s="20" t="str">
        <f>ANALISA!$Z$8</f>
        <v>Dihitung -2</v>
      </c>
      <c r="P21" s="9">
        <f>P29</f>
        <v>177</v>
      </c>
      <c r="Q21" s="8" t="s">
        <v>41</v>
      </c>
      <c r="R21" s="10">
        <f>ANALISA!$AA$29</f>
        <v>24409</v>
      </c>
      <c r="S21" s="11">
        <f t="shared" si="1"/>
        <v>4320393</v>
      </c>
    </row>
    <row r="22" spans="2:24" ht="14.1" customHeight="1" x14ac:dyDescent="0.3">
      <c r="B22" s="296"/>
      <c r="C22" s="281"/>
      <c r="D22" s="281"/>
      <c r="E22" s="350" t="s">
        <v>236</v>
      </c>
      <c r="F22" s="350"/>
      <c r="G22" s="351" t="s">
        <v>235</v>
      </c>
      <c r="H22" s="352">
        <f>SUM(H12:H20)</f>
        <v>361503672.30200005</v>
      </c>
      <c r="K22" s="18">
        <f t="shared" si="2"/>
        <v>6</v>
      </c>
      <c r="L22" s="8"/>
      <c r="M22" s="8" t="s">
        <v>28</v>
      </c>
      <c r="N22" s="8"/>
      <c r="O22" s="20" t="s">
        <v>71</v>
      </c>
      <c r="P22" s="9">
        <f>P72</f>
        <v>6</v>
      </c>
      <c r="Q22" s="8" t="s">
        <v>56</v>
      </c>
      <c r="R22" s="10">
        <v>375000</v>
      </c>
      <c r="S22" s="13">
        <f t="shared" si="1"/>
        <v>2250000</v>
      </c>
    </row>
    <row r="23" spans="2:24" ht="14.1" customHeight="1" x14ac:dyDescent="0.3">
      <c r="B23" s="281"/>
      <c r="C23" s="281"/>
      <c r="D23" s="281"/>
      <c r="E23" s="350"/>
      <c r="F23" s="350"/>
      <c r="G23" s="351"/>
      <c r="H23" s="352"/>
      <c r="K23" s="18"/>
      <c r="L23" s="266"/>
      <c r="M23" s="266"/>
      <c r="N23" s="266"/>
      <c r="O23" s="267"/>
      <c r="P23" s="268"/>
      <c r="Q23" s="266"/>
      <c r="R23" s="269"/>
      <c r="S23" s="271">
        <f>SUM(S17:S22)</f>
        <v>27018221.581999999</v>
      </c>
    </row>
    <row r="24" spans="2:24" ht="14.1" customHeight="1" x14ac:dyDescent="0.3">
      <c r="B24" s="281"/>
      <c r="C24" s="281"/>
      <c r="D24" s="281"/>
      <c r="E24" s="350" t="s">
        <v>69</v>
      </c>
      <c r="F24" s="350"/>
      <c r="G24" s="351" t="s">
        <v>235</v>
      </c>
      <c r="H24" s="352">
        <f>(H22*11)/100</f>
        <v>39765403.953220002</v>
      </c>
      <c r="K24" s="21" t="s">
        <v>220</v>
      </c>
      <c r="L24" s="22" t="s">
        <v>29</v>
      </c>
      <c r="M24" s="8"/>
      <c r="N24" s="8"/>
      <c r="O24" s="20"/>
      <c r="P24" s="9"/>
      <c r="Q24" s="8"/>
      <c r="R24" s="10"/>
      <c r="S24" s="11"/>
    </row>
    <row r="25" spans="2:24" ht="14.1" customHeight="1" x14ac:dyDescent="0.3">
      <c r="B25" s="298"/>
      <c r="C25" s="298"/>
      <c r="D25" s="298"/>
      <c r="E25" s="357"/>
      <c r="F25" s="357"/>
      <c r="G25" s="358"/>
      <c r="H25" s="360"/>
      <c r="K25" s="7" t="s">
        <v>221</v>
      </c>
      <c r="L25" s="6" t="s">
        <v>301</v>
      </c>
      <c r="M25" s="8"/>
      <c r="N25" s="8"/>
      <c r="O25" s="20"/>
      <c r="P25" s="9"/>
      <c r="Q25" s="8"/>
      <c r="R25" s="10"/>
      <c r="S25" s="11"/>
    </row>
    <row r="26" spans="2:24" ht="14.1" customHeight="1" x14ac:dyDescent="0.3">
      <c r="B26" s="281"/>
      <c r="C26" s="281"/>
      <c r="D26" s="281"/>
      <c r="E26" s="350" t="s">
        <v>70</v>
      </c>
      <c r="F26" s="350"/>
      <c r="G26" s="351" t="s">
        <v>235</v>
      </c>
      <c r="H26" s="352">
        <f>SUM(H22:H25)</f>
        <v>401269076.25522006</v>
      </c>
      <c r="K26" s="18">
        <v>1</v>
      </c>
      <c r="L26" s="6"/>
      <c r="M26" s="8" t="s">
        <v>302</v>
      </c>
      <c r="N26" s="8"/>
      <c r="O26" s="20" t="str">
        <f>ANALISA!$Q$33</f>
        <v>Dihit.-A.4.2.1.20c</v>
      </c>
      <c r="P26" s="9">
        <f>(19.15*0.5)*2</f>
        <v>19.149999999999999</v>
      </c>
      <c r="Q26" s="8" t="s">
        <v>41</v>
      </c>
      <c r="R26" s="10">
        <f>ANALISA!$R$65</f>
        <v>298342</v>
      </c>
      <c r="S26" s="11">
        <f t="shared" ref="S26:S30" si="3">SUM(P26*R26)</f>
        <v>5713249.2999999998</v>
      </c>
    </row>
    <row r="27" spans="2:24" ht="14.1" customHeight="1" x14ac:dyDescent="0.3">
      <c r="B27" s="281"/>
      <c r="C27" s="281"/>
      <c r="D27" s="281"/>
      <c r="E27" s="350"/>
      <c r="F27" s="350"/>
      <c r="G27" s="351"/>
      <c r="H27" s="352"/>
      <c r="K27" s="18"/>
      <c r="L27" s="6"/>
      <c r="M27" s="8" t="s">
        <v>303</v>
      </c>
      <c r="N27" s="8"/>
      <c r="O27" s="20"/>
      <c r="P27" s="9"/>
      <c r="Q27" s="8"/>
      <c r="R27" s="10"/>
      <c r="S27" s="11"/>
    </row>
    <row r="28" spans="2:24" ht="14.1" customHeight="1" x14ac:dyDescent="0.3">
      <c r="B28" s="281"/>
      <c r="C28" s="281"/>
      <c r="D28" s="281"/>
      <c r="E28" s="363" t="s">
        <v>12</v>
      </c>
      <c r="F28" s="363"/>
      <c r="G28" s="351" t="s">
        <v>235</v>
      </c>
      <c r="H28" s="361">
        <f>ROUNDDOWN(H26,-3)</f>
        <v>401269000</v>
      </c>
      <c r="K28" s="18">
        <v>2</v>
      </c>
      <c r="L28" s="8"/>
      <c r="M28" s="8" t="s">
        <v>39</v>
      </c>
      <c r="N28" s="8"/>
      <c r="O28" s="20" t="str">
        <f>ANALISA!$H$166</f>
        <v>A.4.2.1.23</v>
      </c>
      <c r="P28" s="9">
        <f>(P29*0.35)</f>
        <v>61.949999999999996</v>
      </c>
      <c r="Q28" s="8" t="s">
        <v>41</v>
      </c>
      <c r="R28" s="10">
        <f>ANALISA!$I$194</f>
        <v>367729</v>
      </c>
      <c r="S28" s="11">
        <f t="shared" si="3"/>
        <v>22780811.549999997</v>
      </c>
    </row>
    <row r="29" spans="2:24" ht="14.1" customHeight="1" thickBot="1" x14ac:dyDescent="0.35">
      <c r="B29" s="297"/>
      <c r="C29" s="297"/>
      <c r="D29" s="297"/>
      <c r="E29" s="364"/>
      <c r="F29" s="364"/>
      <c r="G29" s="359"/>
      <c r="H29" s="362"/>
      <c r="K29" s="18">
        <v>3</v>
      </c>
      <c r="L29" s="8"/>
      <c r="M29" s="8" t="s">
        <v>286</v>
      </c>
      <c r="N29" s="8"/>
      <c r="O29" s="20" t="str">
        <f>ANALISA!$Q$166</f>
        <v>Dihit.- A.4.5.2.7a</v>
      </c>
      <c r="P29" s="9">
        <f>(88.5*2)</f>
        <v>177</v>
      </c>
      <c r="Q29" s="8" t="s">
        <v>41</v>
      </c>
      <c r="R29" s="10">
        <f>ANALISA!$R$194</f>
        <v>387280</v>
      </c>
      <c r="S29" s="11">
        <f t="shared" si="3"/>
        <v>68548560</v>
      </c>
    </row>
    <row r="30" spans="2:24" ht="14.1" customHeight="1" thickTop="1" x14ac:dyDescent="0.3">
      <c r="B30" s="353" t="s">
        <v>238</v>
      </c>
      <c r="C30" s="353"/>
      <c r="D30" s="353"/>
      <c r="E30" s="355" t="e">
        <f ca="1">UPPER([1]!terbilang(H28)&amp;"Rupiah")</f>
        <v>#NAME?</v>
      </c>
      <c r="F30" s="355"/>
      <c r="G30" s="355"/>
      <c r="H30" s="355"/>
      <c r="K30" s="18">
        <v>4</v>
      </c>
      <c r="L30" s="8"/>
      <c r="M30" s="8" t="s">
        <v>287</v>
      </c>
      <c r="N30" s="8"/>
      <c r="O30" s="20" t="str">
        <f>ANALISA!$Z$166</f>
        <v>Dihit.- A.4.5.2.38a</v>
      </c>
      <c r="P30" s="9">
        <v>19.55</v>
      </c>
      <c r="Q30" s="8" t="s">
        <v>47</v>
      </c>
      <c r="R30" s="10">
        <f>ANALISA!$AA$194</f>
        <v>252838</v>
      </c>
      <c r="S30" s="13">
        <f t="shared" si="3"/>
        <v>4942982.9000000004</v>
      </c>
    </row>
    <row r="31" spans="2:24" ht="14.1" customHeight="1" x14ac:dyDescent="0.3">
      <c r="B31" s="354"/>
      <c r="C31" s="354"/>
      <c r="D31" s="354"/>
      <c r="E31" s="356"/>
      <c r="F31" s="356"/>
      <c r="G31" s="356"/>
      <c r="H31" s="356"/>
      <c r="K31" s="18"/>
      <c r="L31" s="8"/>
      <c r="M31" s="8"/>
      <c r="N31" s="8"/>
      <c r="O31" s="20"/>
      <c r="P31" s="9"/>
      <c r="Q31" s="8"/>
      <c r="R31" s="10"/>
      <c r="S31" s="31">
        <f>SUM(S26:S30)</f>
        <v>101985603.75</v>
      </c>
    </row>
    <row r="32" spans="2:24" ht="14.1" customHeight="1" x14ac:dyDescent="0.3">
      <c r="K32" s="7" t="s">
        <v>222</v>
      </c>
      <c r="L32" s="6" t="s">
        <v>33</v>
      </c>
      <c r="M32" s="8"/>
      <c r="N32" s="8"/>
      <c r="O32" s="20"/>
      <c r="P32" s="9"/>
      <c r="Q32" s="8"/>
      <c r="R32" s="10"/>
      <c r="S32" s="11"/>
    </row>
    <row r="33" spans="7:22" ht="14.1" customHeight="1" x14ac:dyDescent="0.3">
      <c r="K33" s="18">
        <v>1</v>
      </c>
      <c r="L33" s="8"/>
      <c r="M33" s="8" t="s">
        <v>34</v>
      </c>
      <c r="N33" s="8"/>
      <c r="O33" s="20" t="s">
        <v>71</v>
      </c>
      <c r="P33" s="9">
        <f>(6.7*6)</f>
        <v>40.200000000000003</v>
      </c>
      <c r="Q33" s="8" t="s">
        <v>41</v>
      </c>
      <c r="R33" s="10">
        <v>132500</v>
      </c>
      <c r="S33" s="13">
        <f>SUM(P33*R33)</f>
        <v>5326500</v>
      </c>
    </row>
    <row r="34" spans="7:22" ht="14.1" customHeight="1" x14ac:dyDescent="0.3">
      <c r="K34" s="18"/>
      <c r="L34" s="8"/>
      <c r="M34" s="8"/>
      <c r="N34" s="8"/>
      <c r="O34" s="20"/>
      <c r="P34" s="9"/>
      <c r="Q34" s="8"/>
      <c r="R34" s="10"/>
      <c r="S34" s="31">
        <f>SUM(S33)</f>
        <v>5326500</v>
      </c>
    </row>
    <row r="35" spans="7:22" ht="14.1" customHeight="1" x14ac:dyDescent="0.3">
      <c r="G35" s="59" t="s">
        <v>216</v>
      </c>
      <c r="K35" s="7" t="s">
        <v>223</v>
      </c>
      <c r="L35" s="6" t="s">
        <v>35</v>
      </c>
      <c r="M35" s="8"/>
      <c r="N35" s="8"/>
      <c r="O35" s="20"/>
      <c r="P35" s="9"/>
      <c r="Q35" s="8"/>
      <c r="R35" s="10"/>
      <c r="S35" s="11"/>
    </row>
    <row r="36" spans="7:22" ht="14.1" customHeight="1" x14ac:dyDescent="0.3">
      <c r="G36" s="299" t="s">
        <v>126</v>
      </c>
      <c r="K36" s="18">
        <v>1</v>
      </c>
      <c r="L36" s="8"/>
      <c r="M36" s="8" t="s">
        <v>36</v>
      </c>
      <c r="N36" s="8"/>
      <c r="O36" s="20" t="s">
        <v>71</v>
      </c>
      <c r="P36" s="9">
        <v>1</v>
      </c>
      <c r="Q36" s="8" t="s">
        <v>11</v>
      </c>
      <c r="R36" s="10">
        <v>300000</v>
      </c>
      <c r="S36" s="11">
        <f t="shared" ref="S36:S39" si="4">SUM(P36*R36)</f>
        <v>300000</v>
      </c>
    </row>
    <row r="37" spans="7:22" ht="14.1" customHeight="1" x14ac:dyDescent="0.3">
      <c r="G37" s="65" t="s">
        <v>19</v>
      </c>
      <c r="K37" s="18">
        <v>2</v>
      </c>
      <c r="L37" s="8"/>
      <c r="M37" s="8" t="s">
        <v>37</v>
      </c>
      <c r="N37" s="8"/>
      <c r="O37" s="20" t="str">
        <f>ANALISA!$H$100</f>
        <v>A. 5.1.1.31</v>
      </c>
      <c r="P37" s="9">
        <f>(4.5*6)+(10.3*2)+(5.3*4)</f>
        <v>68.8</v>
      </c>
      <c r="Q37" s="8" t="s">
        <v>47</v>
      </c>
      <c r="R37" s="10">
        <f>ANALISA!$I$126</f>
        <v>145822</v>
      </c>
      <c r="S37" s="11">
        <f t="shared" si="4"/>
        <v>10032553.6</v>
      </c>
    </row>
    <row r="38" spans="7:22" ht="14.1" customHeight="1" x14ac:dyDescent="0.3">
      <c r="G38" s="59"/>
      <c r="K38" s="18">
        <v>3</v>
      </c>
      <c r="L38" s="8"/>
      <c r="M38" s="8" t="s">
        <v>107</v>
      </c>
      <c r="N38" s="8"/>
      <c r="O38" s="20" t="str">
        <f>ANALISA!$Q$100</f>
        <v>HSPK-E.D4.023</v>
      </c>
      <c r="P38" s="9">
        <f>(19.55*1.2)*2</f>
        <v>46.92</v>
      </c>
      <c r="Q38" s="8" t="s">
        <v>41</v>
      </c>
      <c r="R38" s="10">
        <f>ANALISA!$R$131</f>
        <v>841258</v>
      </c>
      <c r="S38" s="11">
        <f t="shared" si="4"/>
        <v>39471825.359999999</v>
      </c>
    </row>
    <row r="39" spans="7:22" ht="14.1" customHeight="1" x14ac:dyDescent="0.3">
      <c r="G39" s="59"/>
      <c r="K39" s="18">
        <v>4</v>
      </c>
      <c r="L39" s="8"/>
      <c r="M39" s="8" t="s">
        <v>38</v>
      </c>
      <c r="N39" s="8"/>
      <c r="O39" s="20" t="str">
        <f>ANALISA!$Z$100</f>
        <v>A.4.2.1.19</v>
      </c>
      <c r="P39" s="9">
        <f>19.5*2</f>
        <v>39</v>
      </c>
      <c r="Q39" s="8" t="s">
        <v>47</v>
      </c>
      <c r="R39" s="10">
        <f>ANALISA!$AA$128</f>
        <v>190859</v>
      </c>
      <c r="S39" s="13">
        <f t="shared" si="4"/>
        <v>7443501</v>
      </c>
    </row>
    <row r="40" spans="7:22" ht="14.1" customHeight="1" x14ac:dyDescent="0.3">
      <c r="G40" s="59"/>
      <c r="K40" s="18"/>
      <c r="L40" s="8"/>
      <c r="M40" s="8"/>
      <c r="N40" s="8"/>
      <c r="O40" s="20"/>
      <c r="P40" s="9"/>
      <c r="Q40" s="8"/>
      <c r="R40" s="10"/>
      <c r="S40" s="31">
        <f>SUM(S36:S39)</f>
        <v>57247879.960000001</v>
      </c>
    </row>
    <row r="41" spans="7:22" ht="14.1" customHeight="1" x14ac:dyDescent="0.3">
      <c r="G41" s="59"/>
      <c r="K41" s="7" t="s">
        <v>224</v>
      </c>
      <c r="L41" s="6" t="s">
        <v>42</v>
      </c>
      <c r="M41" s="8"/>
      <c r="N41" s="8"/>
      <c r="O41" s="20"/>
      <c r="P41" s="9"/>
      <c r="Q41" s="8"/>
      <c r="R41" s="10"/>
      <c r="S41" s="11"/>
    </row>
    <row r="42" spans="7:22" ht="14.1" customHeight="1" x14ac:dyDescent="0.3">
      <c r="G42" s="281"/>
      <c r="K42" s="18">
        <v>1</v>
      </c>
      <c r="L42" s="8"/>
      <c r="M42" s="8" t="s">
        <v>309</v>
      </c>
      <c r="N42" s="8"/>
      <c r="O42" s="20" t="str">
        <f>ANALISA!$Q$198</f>
        <v>A. 4.7.1.10</v>
      </c>
      <c r="P42" s="9">
        <f>(P26*2)+(P56)+(P57)</f>
        <v>227.9</v>
      </c>
      <c r="Q42" s="8" t="s">
        <v>41</v>
      </c>
      <c r="R42" s="10">
        <f>ANALISA!$R$225</f>
        <v>36504</v>
      </c>
      <c r="S42" s="11">
        <f t="shared" ref="S42:S43" si="5">SUM(P42*R42)</f>
        <v>8319261.6000000006</v>
      </c>
    </row>
    <row r="43" spans="7:22" ht="14.1" customHeight="1" x14ac:dyDescent="0.3">
      <c r="G43" s="66" t="s">
        <v>20</v>
      </c>
      <c r="K43" s="18">
        <v>2</v>
      </c>
      <c r="L43" s="8"/>
      <c r="M43" s="8" t="s">
        <v>43</v>
      </c>
      <c r="N43" s="8"/>
      <c r="O43" s="20" t="str">
        <f>ANALISA!$Z$198</f>
        <v>Dihitung-3</v>
      </c>
      <c r="P43" s="9">
        <f>(1.5*2)*2</f>
        <v>6</v>
      </c>
      <c r="Q43" s="8" t="s">
        <v>41</v>
      </c>
      <c r="R43" s="10">
        <f>ANALISA!$AA$225</f>
        <v>182977</v>
      </c>
      <c r="S43" s="13">
        <f t="shared" si="5"/>
        <v>1097862</v>
      </c>
    </row>
    <row r="44" spans="7:22" ht="14.1" customHeight="1" x14ac:dyDescent="0.3">
      <c r="G44" s="59" t="s">
        <v>21</v>
      </c>
      <c r="K44" s="18"/>
      <c r="L44" s="8"/>
      <c r="M44" s="8"/>
      <c r="N44" s="8"/>
      <c r="O44" s="20"/>
      <c r="P44" s="9"/>
      <c r="Q44" s="8"/>
      <c r="R44" s="10"/>
      <c r="S44" s="31">
        <f>SUM(S42:S43)</f>
        <v>9417123.6000000015</v>
      </c>
    </row>
    <row r="45" spans="7:22" ht="14.1" customHeight="1" x14ac:dyDescent="0.3">
      <c r="K45" s="18"/>
      <c r="L45" s="266"/>
      <c r="M45" s="266"/>
      <c r="N45" s="266"/>
      <c r="O45" s="272" t="s">
        <v>232</v>
      </c>
      <c r="P45" s="268"/>
      <c r="Q45" s="266"/>
      <c r="R45" s="269"/>
      <c r="S45" s="271">
        <f>SUM(S31+S34+S40+S44)</f>
        <v>173977107.31</v>
      </c>
    </row>
    <row r="46" spans="7:22" ht="14.1" customHeight="1" x14ac:dyDescent="0.3">
      <c r="K46" s="21" t="s">
        <v>225</v>
      </c>
      <c r="L46" s="22" t="s">
        <v>45</v>
      </c>
      <c r="M46" s="8"/>
      <c r="N46" s="8"/>
      <c r="O46" s="20"/>
      <c r="P46" s="9"/>
      <c r="Q46" s="8"/>
      <c r="R46" s="10"/>
      <c r="S46" s="11"/>
      <c r="U46" s="1">
        <f>5.35*0.32*4</f>
        <v>6.8479999999999999</v>
      </c>
      <c r="V46" s="1">
        <f>5.35*0.6</f>
        <v>3.2099999999999995</v>
      </c>
    </row>
    <row r="47" spans="7:22" ht="14.1" customHeight="1" x14ac:dyDescent="0.3">
      <c r="K47" s="7" t="s">
        <v>226</v>
      </c>
      <c r="L47" s="6" t="s">
        <v>46</v>
      </c>
      <c r="M47" s="8"/>
      <c r="N47" s="8"/>
      <c r="O47" s="20"/>
      <c r="P47" s="9"/>
      <c r="Q47" s="8"/>
      <c r="R47" s="10"/>
      <c r="S47" s="11"/>
    </row>
    <row r="48" spans="7:22" ht="14.1" customHeight="1" x14ac:dyDescent="0.3">
      <c r="K48" s="18">
        <v>1</v>
      </c>
      <c r="L48" s="8"/>
      <c r="M48" s="8" t="s">
        <v>198</v>
      </c>
      <c r="N48" s="8"/>
      <c r="O48" s="20" t="str">
        <f>ANALISA!$H$134</f>
        <v>Dihit.- A.4.4.3.42b</v>
      </c>
      <c r="P48" s="9">
        <f>U46+V46</f>
        <v>10.058</v>
      </c>
      <c r="Q48" s="8" t="s">
        <v>41</v>
      </c>
      <c r="R48" s="10">
        <f>ANALISA!$I$162</f>
        <v>760545</v>
      </c>
      <c r="S48" s="11">
        <f t="shared" ref="S48:S52" si="6">SUM(P48*R48)</f>
        <v>7649561.6100000003</v>
      </c>
    </row>
    <row r="49" spans="11:24" ht="14.1" customHeight="1" x14ac:dyDescent="0.3">
      <c r="K49" s="18">
        <v>2</v>
      </c>
      <c r="L49" s="8"/>
      <c r="M49" s="8" t="s">
        <v>199</v>
      </c>
      <c r="N49" s="8"/>
      <c r="O49" s="20" t="str">
        <f>O48</f>
        <v>Dihit.- A.4.4.3.42b</v>
      </c>
      <c r="P49" s="9">
        <f>(21.4*0.3)*2</f>
        <v>12.839999999999998</v>
      </c>
      <c r="Q49" s="8" t="s">
        <v>41</v>
      </c>
      <c r="R49" s="10">
        <f>R48</f>
        <v>760545</v>
      </c>
      <c r="S49" s="11">
        <f t="shared" si="6"/>
        <v>9765397.7999999989</v>
      </c>
    </row>
    <row r="50" spans="11:24" ht="14.1" customHeight="1" x14ac:dyDescent="0.3">
      <c r="K50" s="18">
        <v>3</v>
      </c>
      <c r="L50" s="8"/>
      <c r="M50" s="8" t="s">
        <v>127</v>
      </c>
      <c r="N50" s="8"/>
      <c r="O50" s="20" t="str">
        <f>ANALISA!$Q$134</f>
        <v>Dihit.- A.4.4.3.59a</v>
      </c>
      <c r="P50" s="9">
        <v>147.19999999999999</v>
      </c>
      <c r="Q50" s="8" t="s">
        <v>41</v>
      </c>
      <c r="R50" s="10">
        <f>ANALISA!$R$161</f>
        <v>285756</v>
      </c>
      <c r="S50" s="11">
        <f t="shared" si="6"/>
        <v>42063283.199999996</v>
      </c>
    </row>
    <row r="51" spans="11:24" ht="14.1" customHeight="1" x14ac:dyDescent="0.3">
      <c r="K51" s="18">
        <v>4</v>
      </c>
      <c r="L51" s="8"/>
      <c r="M51" s="8" t="s">
        <v>197</v>
      </c>
      <c r="N51" s="8"/>
      <c r="O51" s="20" t="str">
        <f>ANALISA!$Z$134</f>
        <v>Dihit.- A.4.4.3.62a</v>
      </c>
      <c r="P51" s="9">
        <f>(19.2)*2</f>
        <v>38.4</v>
      </c>
      <c r="Q51" s="8" t="s">
        <v>47</v>
      </c>
      <c r="R51" s="10">
        <f>ANALISA!$AA$163</f>
        <v>117979</v>
      </c>
      <c r="S51" s="11">
        <f t="shared" si="6"/>
        <v>4530393.5999999996</v>
      </c>
    </row>
    <row r="52" spans="11:24" ht="14.1" customHeight="1" x14ac:dyDescent="0.3">
      <c r="K52" s="18">
        <v>5</v>
      </c>
      <c r="L52" s="8"/>
      <c r="M52" s="8" t="s">
        <v>48</v>
      </c>
      <c r="N52" s="8"/>
      <c r="O52" s="20" t="s">
        <v>71</v>
      </c>
      <c r="P52" s="9">
        <f>9*3</f>
        <v>27</v>
      </c>
      <c r="Q52" s="8" t="s">
        <v>47</v>
      </c>
      <c r="R52" s="10">
        <v>54000</v>
      </c>
      <c r="S52" s="13">
        <f t="shared" si="6"/>
        <v>1458000</v>
      </c>
    </row>
    <row r="53" spans="11:24" ht="14.1" customHeight="1" x14ac:dyDescent="0.3">
      <c r="K53" s="18"/>
      <c r="L53" s="8"/>
      <c r="M53" s="8"/>
      <c r="N53" s="8"/>
      <c r="O53" s="20"/>
      <c r="P53" s="9"/>
      <c r="Q53" s="8"/>
      <c r="R53" s="10"/>
      <c r="S53" s="31">
        <f>SUM(S48:S52)</f>
        <v>65466636.210000001</v>
      </c>
      <c r="U53" s="1">
        <f>((2.45*2.95)*6)</f>
        <v>43.365000000000009</v>
      </c>
      <c r="V53" s="1">
        <f>1.1*2.95*2</f>
        <v>6.4900000000000011</v>
      </c>
      <c r="W53" s="1">
        <f>((1.34*2.95)*4)</f>
        <v>15.812000000000001</v>
      </c>
      <c r="X53" s="1">
        <f>((0.94+2.39)*2.95)*2</f>
        <v>19.647000000000002</v>
      </c>
    </row>
    <row r="54" spans="11:24" ht="14.1" customHeight="1" x14ac:dyDescent="0.3">
      <c r="K54" s="7" t="s">
        <v>227</v>
      </c>
      <c r="L54" s="6" t="s">
        <v>49</v>
      </c>
      <c r="M54" s="8"/>
      <c r="N54" s="8"/>
      <c r="O54" s="20"/>
      <c r="P54" s="9"/>
      <c r="Q54" s="8"/>
      <c r="R54" s="10"/>
      <c r="S54" s="11"/>
    </row>
    <row r="55" spans="11:24" ht="14.1" customHeight="1" x14ac:dyDescent="0.3">
      <c r="K55" s="18">
        <v>1</v>
      </c>
      <c r="L55" s="8"/>
      <c r="M55" s="8" t="s">
        <v>50</v>
      </c>
      <c r="N55" s="8"/>
      <c r="O55" s="20" t="str">
        <f>ANALISA!$H$69</f>
        <v>Dihit.- A.4.2.1.21a</v>
      </c>
      <c r="P55" s="9">
        <f>P56+P57</f>
        <v>189.6</v>
      </c>
      <c r="Q55" s="8" t="s">
        <v>41</v>
      </c>
      <c r="R55" s="10">
        <f>ANALISA!$I$96</f>
        <v>188548</v>
      </c>
      <c r="S55" s="11">
        <f t="shared" ref="S55:S57" si="7">SUM(P55*R55)</f>
        <v>35748700.799999997</v>
      </c>
    </row>
    <row r="56" spans="11:24" ht="14.1" customHeight="1" x14ac:dyDescent="0.3">
      <c r="K56" s="18">
        <v>2</v>
      </c>
      <c r="L56" s="8"/>
      <c r="M56" s="8" t="s">
        <v>51</v>
      </c>
      <c r="N56" s="8"/>
      <c r="O56" s="20" t="str">
        <f>ANALISA!$Q$69</f>
        <v>A.4.5.1.7</v>
      </c>
      <c r="P56" s="9">
        <v>174.2</v>
      </c>
      <c r="Q56" s="8" t="s">
        <v>41</v>
      </c>
      <c r="R56" s="10">
        <f>ANALISA!$R$97</f>
        <v>83819</v>
      </c>
      <c r="S56" s="11">
        <f t="shared" si="7"/>
        <v>14601269.799999999</v>
      </c>
    </row>
    <row r="57" spans="11:24" ht="14.1" customHeight="1" x14ac:dyDescent="0.3">
      <c r="K57" s="18">
        <v>3</v>
      </c>
      <c r="L57" s="8"/>
      <c r="M57" s="8" t="s">
        <v>215</v>
      </c>
      <c r="N57" s="8"/>
      <c r="O57" s="20" t="str">
        <f>ANALISA!$Z$69</f>
        <v>Dihit.- A.4.5.1.7a</v>
      </c>
      <c r="P57" s="9">
        <f>(2.2*7)</f>
        <v>15.400000000000002</v>
      </c>
      <c r="Q57" s="8" t="s">
        <v>41</v>
      </c>
      <c r="R57" s="10">
        <f>ANALISA!$AA$97</f>
        <v>184813</v>
      </c>
      <c r="S57" s="13">
        <f t="shared" si="7"/>
        <v>2846120.2</v>
      </c>
    </row>
    <row r="58" spans="11:24" ht="14.1" customHeight="1" x14ac:dyDescent="0.3">
      <c r="K58" s="18"/>
      <c r="L58" s="8"/>
      <c r="M58" s="8"/>
      <c r="N58" s="8"/>
      <c r="O58" s="20"/>
      <c r="P58" s="9"/>
      <c r="Q58" s="8"/>
      <c r="R58" s="10"/>
      <c r="S58" s="31">
        <f>SUM(S55:S57)</f>
        <v>53196090.799999997</v>
      </c>
    </row>
    <row r="59" spans="11:24" ht="14.1" customHeight="1" x14ac:dyDescent="0.3">
      <c r="K59" s="7" t="s">
        <v>228</v>
      </c>
      <c r="L59" s="6" t="s">
        <v>52</v>
      </c>
      <c r="M59" s="8"/>
      <c r="N59" s="8"/>
      <c r="O59" s="20"/>
      <c r="P59" s="9"/>
      <c r="Q59" s="8"/>
      <c r="R59" s="10"/>
      <c r="S59" s="11"/>
    </row>
    <row r="60" spans="11:24" ht="14.1" customHeight="1" x14ac:dyDescent="0.3">
      <c r="K60" s="18">
        <v>1</v>
      </c>
      <c r="L60" s="8"/>
      <c r="M60" s="8" t="s">
        <v>53</v>
      </c>
      <c r="N60" s="8"/>
      <c r="O60" s="20" t="s">
        <v>71</v>
      </c>
      <c r="P60" s="9">
        <f>P63+P64+P65</f>
        <v>46</v>
      </c>
      <c r="Q60" s="8" t="s">
        <v>73</v>
      </c>
      <c r="R60" s="10">
        <v>105000</v>
      </c>
      <c r="S60" s="11">
        <f t="shared" ref="S60:S66" si="8">SUM(P60*R60)</f>
        <v>4830000</v>
      </c>
    </row>
    <row r="61" spans="11:24" ht="14.1" customHeight="1" x14ac:dyDescent="0.3">
      <c r="K61" s="18">
        <v>2</v>
      </c>
      <c r="L61" s="8"/>
      <c r="M61" s="8" t="s">
        <v>54</v>
      </c>
      <c r="N61" s="8"/>
      <c r="O61" s="20" t="s">
        <v>71</v>
      </c>
      <c r="P61" s="9">
        <v>1.5</v>
      </c>
      <c r="Q61" s="8" t="s">
        <v>74</v>
      </c>
      <c r="R61" s="10">
        <f>(T62*0.3)+T62</f>
        <v>672750</v>
      </c>
      <c r="S61" s="11">
        <f t="shared" si="8"/>
        <v>1009125</v>
      </c>
    </row>
    <row r="62" spans="11:24" ht="14.1" customHeight="1" x14ac:dyDescent="0.3">
      <c r="K62" s="18">
        <v>3</v>
      </c>
      <c r="L62" s="8"/>
      <c r="M62" s="8" t="s">
        <v>55</v>
      </c>
      <c r="N62" s="8"/>
      <c r="O62" s="20" t="s">
        <v>71</v>
      </c>
      <c r="P62" s="9">
        <v>1</v>
      </c>
      <c r="Q62" s="8" t="s">
        <v>74</v>
      </c>
      <c r="R62" s="10">
        <f>(T63*0.3)+T63</f>
        <v>792350</v>
      </c>
      <c r="S62" s="11">
        <f t="shared" si="8"/>
        <v>792350</v>
      </c>
      <c r="T62" s="23">
        <f>450000+(450000*15%)</f>
        <v>517500</v>
      </c>
    </row>
    <row r="63" spans="11:24" ht="14.1" customHeight="1" x14ac:dyDescent="0.3">
      <c r="K63" s="18">
        <v>4</v>
      </c>
      <c r="L63" s="8"/>
      <c r="M63" s="8" t="s">
        <v>58</v>
      </c>
      <c r="N63" s="8"/>
      <c r="O63" s="20" t="s">
        <v>71</v>
      </c>
      <c r="P63" s="9">
        <v>30</v>
      </c>
      <c r="Q63" s="8" t="s">
        <v>56</v>
      </c>
      <c r="R63" s="10">
        <f>(T64*0.5)+T64</f>
        <v>77625</v>
      </c>
      <c r="S63" s="11">
        <f t="shared" si="8"/>
        <v>2328750</v>
      </c>
      <c r="T63" s="23">
        <f>530000+(530000*15%)</f>
        <v>609500</v>
      </c>
    </row>
    <row r="64" spans="11:24" ht="14.1" customHeight="1" x14ac:dyDescent="0.3">
      <c r="K64" s="18">
        <v>5</v>
      </c>
      <c r="L64" s="8"/>
      <c r="M64" s="8" t="s">
        <v>57</v>
      </c>
      <c r="N64" s="8"/>
      <c r="O64" s="20" t="s">
        <v>71</v>
      </c>
      <c r="P64" s="9">
        <v>12</v>
      </c>
      <c r="Q64" s="8" t="s">
        <v>56</v>
      </c>
      <c r="R64" s="10">
        <f>(T65*0.5)+T65</f>
        <v>69000</v>
      </c>
      <c r="S64" s="11">
        <f t="shared" si="8"/>
        <v>828000</v>
      </c>
      <c r="T64" s="23">
        <f>45000+(45000*15%)</f>
        <v>51750</v>
      </c>
    </row>
    <row r="65" spans="11:20" ht="14.1" customHeight="1" x14ac:dyDescent="0.3">
      <c r="K65" s="18">
        <v>6</v>
      </c>
      <c r="L65" s="8"/>
      <c r="M65" s="8" t="s">
        <v>59</v>
      </c>
      <c r="N65" s="8"/>
      <c r="O65" s="20" t="s">
        <v>71</v>
      </c>
      <c r="P65" s="9">
        <v>4</v>
      </c>
      <c r="Q65" s="8" t="s">
        <v>56</v>
      </c>
      <c r="R65" s="10">
        <f>(T66*0.5)+T66</f>
        <v>39675</v>
      </c>
      <c r="S65" s="11">
        <f t="shared" si="8"/>
        <v>158700</v>
      </c>
      <c r="T65" s="23">
        <f>40000+(40000*15%)</f>
        <v>46000</v>
      </c>
    </row>
    <row r="66" spans="11:20" ht="14.1" customHeight="1" x14ac:dyDescent="0.3">
      <c r="K66" s="18">
        <v>7</v>
      </c>
      <c r="L66" s="8"/>
      <c r="M66" s="8" t="s">
        <v>60</v>
      </c>
      <c r="N66" s="8"/>
      <c r="O66" s="20" t="s">
        <v>71</v>
      </c>
      <c r="P66" s="9">
        <v>2</v>
      </c>
      <c r="Q66" s="8" t="s">
        <v>56</v>
      </c>
      <c r="R66" s="10">
        <f>(T67*0.5)+T67</f>
        <v>30187.5</v>
      </c>
      <c r="S66" s="13">
        <f t="shared" si="8"/>
        <v>60375</v>
      </c>
      <c r="T66" s="23">
        <f>23000+(23000*15%)</f>
        <v>26450</v>
      </c>
    </row>
    <row r="67" spans="11:20" ht="14.1" customHeight="1" x14ac:dyDescent="0.3">
      <c r="K67" s="19"/>
      <c r="L67" s="4"/>
      <c r="M67" s="4"/>
      <c r="N67" s="4"/>
      <c r="O67" s="28"/>
      <c r="P67" s="12"/>
      <c r="Q67" s="4"/>
      <c r="R67" s="13"/>
      <c r="S67" s="32">
        <f>SUM(S60:S66)</f>
        <v>10007300</v>
      </c>
      <c r="T67" s="23">
        <f>17500+(17500*15%)</f>
        <v>20125</v>
      </c>
    </row>
    <row r="68" spans="11:20" ht="14.1" customHeight="1" x14ac:dyDescent="0.3">
      <c r="K68" s="101"/>
      <c r="L68" s="2"/>
      <c r="M68" s="2"/>
      <c r="N68" s="2"/>
      <c r="O68" s="102"/>
      <c r="P68" s="103"/>
      <c r="Q68" s="2"/>
      <c r="R68" s="3"/>
      <c r="S68" s="104"/>
    </row>
    <row r="69" spans="11:20" ht="14.1" customHeight="1" thickBot="1" x14ac:dyDescent="0.35">
      <c r="K69" s="95"/>
      <c r="L69" s="96"/>
      <c r="M69" s="96"/>
      <c r="N69" s="96"/>
      <c r="O69" s="97"/>
      <c r="P69" s="98"/>
      <c r="Q69" s="96"/>
      <c r="R69" s="99"/>
      <c r="S69" s="100"/>
    </row>
    <row r="70" spans="11:20" ht="14.1" customHeight="1" thickTop="1" x14ac:dyDescent="0.3">
      <c r="K70" s="282"/>
      <c r="L70" s="283"/>
      <c r="M70" s="283"/>
      <c r="N70" s="283"/>
      <c r="O70" s="284"/>
      <c r="P70" s="285"/>
      <c r="Q70" s="283"/>
      <c r="R70" s="286"/>
      <c r="S70" s="287"/>
    </row>
    <row r="71" spans="11:20" ht="14.1" customHeight="1" x14ac:dyDescent="0.3">
      <c r="K71" s="7" t="s">
        <v>229</v>
      </c>
      <c r="L71" s="6" t="s">
        <v>33</v>
      </c>
      <c r="M71" s="8"/>
      <c r="N71" s="8"/>
      <c r="O71" s="20"/>
      <c r="P71" s="9"/>
      <c r="Q71" s="8"/>
      <c r="R71" s="10"/>
      <c r="S71" s="11"/>
    </row>
    <row r="72" spans="11:20" ht="14.1" customHeight="1" x14ac:dyDescent="0.3">
      <c r="K72" s="18">
        <v>1</v>
      </c>
      <c r="L72" s="8"/>
      <c r="M72" s="8" t="s">
        <v>61</v>
      </c>
      <c r="N72" s="8"/>
      <c r="O72" s="20" t="s">
        <v>71</v>
      </c>
      <c r="P72" s="9">
        <f>(3)*2</f>
        <v>6</v>
      </c>
      <c r="Q72" s="8" t="s">
        <v>56</v>
      </c>
      <c r="R72" s="10">
        <f>(T73*0.5)+T73</f>
        <v>1267500</v>
      </c>
      <c r="S72" s="13">
        <f>SUM(P72*R72)</f>
        <v>7605000</v>
      </c>
    </row>
    <row r="73" spans="11:20" ht="14.1" customHeight="1" x14ac:dyDescent="0.3">
      <c r="K73" s="18"/>
      <c r="L73" s="8"/>
      <c r="M73" s="8"/>
      <c r="N73" s="8"/>
      <c r="O73" s="20"/>
      <c r="P73" s="9"/>
      <c r="Q73" s="8"/>
      <c r="R73" s="10"/>
      <c r="S73" s="31">
        <f>SUM(S72)</f>
        <v>7605000</v>
      </c>
      <c r="T73" s="23">
        <v>845000</v>
      </c>
    </row>
    <row r="74" spans="11:20" ht="14.1" customHeight="1" x14ac:dyDescent="0.3">
      <c r="K74" s="7" t="s">
        <v>230</v>
      </c>
      <c r="L74" s="6" t="s">
        <v>42</v>
      </c>
      <c r="M74" s="8"/>
      <c r="N74" s="8"/>
      <c r="O74" s="20"/>
      <c r="P74" s="9"/>
      <c r="Q74" s="8"/>
      <c r="R74" s="10"/>
      <c r="S74" s="26"/>
    </row>
    <row r="75" spans="11:20" ht="14.1" customHeight="1" x14ac:dyDescent="0.3">
      <c r="K75" s="18">
        <v>1</v>
      </c>
      <c r="L75" s="8"/>
      <c r="M75" s="8" t="s">
        <v>67</v>
      </c>
      <c r="N75" s="8"/>
      <c r="O75" s="20" t="str">
        <f>ANALISA!$Q$198</f>
        <v>A. 4.7.1.10</v>
      </c>
      <c r="P75" s="9">
        <f>SUM(P56:P57)</f>
        <v>189.6</v>
      </c>
      <c r="Q75" s="8" t="s">
        <v>41</v>
      </c>
      <c r="R75" s="10">
        <f>ANALISA!$R$225</f>
        <v>36504</v>
      </c>
      <c r="S75" s="25">
        <f>SUM(P75*R75)</f>
        <v>6921158.3999999994</v>
      </c>
    </row>
    <row r="76" spans="11:20" ht="14.1" customHeight="1" x14ac:dyDescent="0.3">
      <c r="K76" s="18">
        <v>1</v>
      </c>
      <c r="L76" s="8"/>
      <c r="M76" s="8" t="s">
        <v>317</v>
      </c>
      <c r="N76" s="8"/>
      <c r="O76" s="20" t="str">
        <f>ANALISA!$Q$198</f>
        <v>A. 4.7.1.10</v>
      </c>
      <c r="P76" s="9">
        <f>P52</f>
        <v>27</v>
      </c>
      <c r="Q76" s="8" t="s">
        <v>41</v>
      </c>
      <c r="R76" s="10">
        <f>ANALISA!$R$225</f>
        <v>36504</v>
      </c>
      <c r="S76" s="25">
        <f>SUM(P76*R76)</f>
        <v>985608</v>
      </c>
    </row>
    <row r="77" spans="11:20" ht="14.1" customHeight="1" x14ac:dyDescent="0.3">
      <c r="K77" s="18"/>
      <c r="L77" s="8"/>
      <c r="M77" s="8"/>
      <c r="N77" s="8"/>
      <c r="O77" s="20"/>
      <c r="P77" s="9"/>
      <c r="Q77" s="8"/>
      <c r="R77" s="10"/>
      <c r="S77" s="324">
        <f>SUM(S75:S76)</f>
        <v>7906766.3999999994</v>
      </c>
    </row>
    <row r="78" spans="11:20" ht="14.1" customHeight="1" x14ac:dyDescent="0.3">
      <c r="K78" s="18"/>
      <c r="L78" s="266"/>
      <c r="M78" s="266"/>
      <c r="N78" s="266"/>
      <c r="O78" s="272" t="s">
        <v>233</v>
      </c>
      <c r="P78" s="268"/>
      <c r="Q78" s="266"/>
      <c r="R78" s="269"/>
      <c r="S78" s="271">
        <f>SUM(S53+S58+S67+S73+S77)</f>
        <v>144181793.41</v>
      </c>
    </row>
    <row r="79" spans="11:20" ht="14.1" customHeight="1" x14ac:dyDescent="0.3">
      <c r="K79" s="21" t="s">
        <v>231</v>
      </c>
      <c r="L79" s="22" t="s">
        <v>18</v>
      </c>
      <c r="M79" s="8"/>
      <c r="N79" s="8"/>
      <c r="O79" s="20"/>
      <c r="P79" s="9"/>
      <c r="Q79" s="8"/>
      <c r="R79" s="10"/>
      <c r="S79" s="11"/>
    </row>
    <row r="80" spans="11:20" ht="14.1" customHeight="1" x14ac:dyDescent="0.3">
      <c r="K80" s="18">
        <v>1</v>
      </c>
      <c r="L80" s="8"/>
      <c r="M80" s="8" t="s">
        <v>62</v>
      </c>
      <c r="N80" s="8"/>
      <c r="O80" s="20" t="s">
        <v>71</v>
      </c>
      <c r="P80" s="9">
        <v>1</v>
      </c>
      <c r="Q80" s="8" t="s">
        <v>64</v>
      </c>
      <c r="R80" s="10">
        <v>2750000</v>
      </c>
      <c r="S80" s="11">
        <f>SUM(P80*R80)</f>
        <v>2750000</v>
      </c>
    </row>
    <row r="81" spans="11:20" ht="14.1" customHeight="1" x14ac:dyDescent="0.3">
      <c r="K81" s="18"/>
      <c r="L81" s="8"/>
      <c r="M81" s="8" t="s">
        <v>63</v>
      </c>
      <c r="N81" s="8"/>
      <c r="O81" s="20"/>
      <c r="P81" s="9"/>
      <c r="Q81" s="8"/>
      <c r="R81" s="10"/>
      <c r="S81" s="11"/>
    </row>
    <row r="82" spans="11:20" ht="14.1" customHeight="1" x14ac:dyDescent="0.3">
      <c r="K82" s="18">
        <v>3</v>
      </c>
      <c r="L82" s="8"/>
      <c r="M82" s="8" t="s">
        <v>65</v>
      </c>
      <c r="N82" s="8"/>
      <c r="O82" s="20" t="s">
        <v>71</v>
      </c>
      <c r="P82" s="9">
        <v>3</v>
      </c>
      <c r="Q82" s="8" t="s">
        <v>56</v>
      </c>
      <c r="R82" s="10">
        <f>(T84*0.4)+T84</f>
        <v>458850</v>
      </c>
      <c r="S82" s="11">
        <f>SUM(P82*R82)</f>
        <v>1376550</v>
      </c>
    </row>
    <row r="83" spans="11:20" ht="14.1" customHeight="1" x14ac:dyDescent="0.3">
      <c r="K83" s="18">
        <v>4</v>
      </c>
      <c r="L83" s="8"/>
      <c r="M83" s="8" t="s">
        <v>66</v>
      </c>
      <c r="N83" s="8"/>
      <c r="O83" s="20" t="s">
        <v>71</v>
      </c>
      <c r="P83" s="9">
        <v>10</v>
      </c>
      <c r="Q83" s="8" t="s">
        <v>11</v>
      </c>
      <c r="R83" s="10">
        <v>250000</v>
      </c>
      <c r="S83" s="13">
        <f>SUM(P83*R83)</f>
        <v>2500000</v>
      </c>
      <c r="T83" s="23">
        <v>19150000</v>
      </c>
    </row>
    <row r="84" spans="11:20" ht="14.1" customHeight="1" x14ac:dyDescent="0.3">
      <c r="K84" s="24"/>
      <c r="L84" s="273"/>
      <c r="M84" s="273"/>
      <c r="N84" s="273"/>
      <c r="O84" s="274"/>
      <c r="P84" s="275"/>
      <c r="Q84" s="273"/>
      <c r="R84" s="276"/>
      <c r="S84" s="277">
        <f>SUM(S80:S83)</f>
        <v>6626550</v>
      </c>
      <c r="T84" s="23">
        <f>285000+(285000*15%)</f>
        <v>327750</v>
      </c>
    </row>
    <row r="85" spans="11:20" ht="14.1" customHeight="1" x14ac:dyDescent="0.3">
      <c r="K85" s="19"/>
      <c r="L85" s="4"/>
      <c r="M85" s="4"/>
      <c r="N85" s="4"/>
      <c r="O85" s="28"/>
      <c r="P85" s="12"/>
      <c r="Q85" s="4"/>
      <c r="R85" s="13"/>
      <c r="S85" s="14"/>
    </row>
    <row r="86" spans="11:20" ht="14.1" customHeight="1" x14ac:dyDescent="0.3">
      <c r="K86" s="2"/>
      <c r="L86" s="2"/>
      <c r="M86" s="2"/>
      <c r="N86" s="2"/>
      <c r="O86" s="2"/>
      <c r="P86" s="2"/>
      <c r="S86" s="2"/>
    </row>
    <row r="87" spans="11:20" ht="14.1" customHeight="1" x14ac:dyDescent="0.3">
      <c r="K87" s="2"/>
      <c r="L87" s="2"/>
      <c r="M87" s="2"/>
      <c r="N87" s="2"/>
      <c r="O87" s="2"/>
      <c r="P87" s="2"/>
      <c r="S87" s="3"/>
    </row>
    <row r="88" spans="11:20" ht="14.1" customHeight="1" x14ac:dyDescent="0.3">
      <c r="K88" s="2"/>
      <c r="L88" s="2"/>
      <c r="M88" s="2"/>
      <c r="N88" s="2"/>
      <c r="O88" s="2"/>
      <c r="P88" s="2"/>
      <c r="S88" s="2"/>
    </row>
    <row r="89" spans="11:20" ht="14.1" customHeight="1" x14ac:dyDescent="0.3">
      <c r="K89" s="2"/>
      <c r="L89" s="2"/>
      <c r="M89" s="2"/>
      <c r="O89" s="2"/>
      <c r="P89" s="2"/>
      <c r="Q89" s="15"/>
      <c r="S89" s="2"/>
    </row>
    <row r="90" spans="11:20" ht="14.1" customHeight="1" x14ac:dyDescent="0.3">
      <c r="K90" s="2"/>
      <c r="L90" s="2"/>
      <c r="M90" s="2"/>
      <c r="N90" s="105" t="s">
        <v>130</v>
      </c>
      <c r="O90" s="2"/>
      <c r="P90" s="2"/>
      <c r="Q90" s="27" t="str">
        <f>G36</f>
        <v>Dibuat Oleh :</v>
      </c>
      <c r="S90" s="2"/>
    </row>
    <row r="91" spans="11:20" ht="14.1" customHeight="1" x14ac:dyDescent="0.3">
      <c r="K91" s="2"/>
      <c r="L91" s="2"/>
      <c r="M91" s="2"/>
      <c r="N91" s="106" t="s">
        <v>19</v>
      </c>
      <c r="O91" s="2"/>
      <c r="P91" s="2"/>
      <c r="Q91" s="16" t="str">
        <f>G37</f>
        <v>PT. WARTA BUANA ANUGERAH</v>
      </c>
      <c r="S91" s="2"/>
    </row>
    <row r="92" spans="11:20" ht="14.1" customHeight="1" x14ac:dyDescent="0.3">
      <c r="K92" s="2"/>
      <c r="L92" s="2"/>
      <c r="M92" s="2"/>
      <c r="N92" s="2"/>
      <c r="O92" s="2"/>
      <c r="P92" s="2"/>
      <c r="Q92" s="15"/>
      <c r="S92" s="2"/>
    </row>
    <row r="93" spans="11:20" ht="14.1" customHeight="1" x14ac:dyDescent="0.3">
      <c r="K93" s="2"/>
      <c r="L93" s="2"/>
      <c r="M93" s="2"/>
      <c r="N93" s="2"/>
      <c r="O93" s="2"/>
      <c r="P93" s="2"/>
      <c r="Q93" s="15"/>
      <c r="S93" s="2"/>
    </row>
    <row r="94" spans="11:20" ht="14.1" customHeight="1" x14ac:dyDescent="0.3">
      <c r="K94" s="2"/>
      <c r="L94" s="2"/>
      <c r="M94" s="2"/>
      <c r="N94" s="2"/>
      <c r="O94" s="2"/>
      <c r="P94" s="2"/>
      <c r="Q94" s="15"/>
      <c r="S94" s="2"/>
    </row>
    <row r="95" spans="11:20" ht="14.1" customHeight="1" x14ac:dyDescent="0.3">
      <c r="K95" s="2"/>
      <c r="L95" s="2"/>
      <c r="M95" s="2"/>
      <c r="N95" s="107" t="str">
        <f t="shared" ref="N95:N96" si="9">G43</f>
        <v>KHAIRAWAN NOVANDRA, S.Ars</v>
      </c>
      <c r="O95" s="2"/>
      <c r="P95" s="2"/>
      <c r="Q95" s="17" t="s">
        <v>128</v>
      </c>
      <c r="S95" s="2"/>
    </row>
    <row r="96" spans="11:20" ht="14.1" customHeight="1" x14ac:dyDescent="0.3">
      <c r="N96" s="2" t="str">
        <f t="shared" si="9"/>
        <v>Direktur</v>
      </c>
      <c r="Q96" s="15" t="s">
        <v>129</v>
      </c>
    </row>
  </sheetData>
  <mergeCells count="25">
    <mergeCell ref="B30:D31"/>
    <mergeCell ref="E30:H31"/>
    <mergeCell ref="E24:F25"/>
    <mergeCell ref="G24:G25"/>
    <mergeCell ref="G26:G27"/>
    <mergeCell ref="G28:G29"/>
    <mergeCell ref="H24:H25"/>
    <mergeCell ref="H26:H27"/>
    <mergeCell ref="H28:H29"/>
    <mergeCell ref="E28:F29"/>
    <mergeCell ref="E26:F27"/>
    <mergeCell ref="E22:F23"/>
    <mergeCell ref="G22:G23"/>
    <mergeCell ref="H22:H23"/>
    <mergeCell ref="G8:H8"/>
    <mergeCell ref="G9:H9"/>
    <mergeCell ref="L8:N10"/>
    <mergeCell ref="O8:O10"/>
    <mergeCell ref="P8:Q10"/>
    <mergeCell ref="K2:S3"/>
    <mergeCell ref="B2:H2"/>
    <mergeCell ref="B3:H3"/>
    <mergeCell ref="B8:B10"/>
    <mergeCell ref="C8:F10"/>
    <mergeCell ref="K8:K10"/>
  </mergeCells>
  <printOptions horizontalCentered="1"/>
  <pageMargins left="0.39370078740157483" right="0.11811023622047245" top="0.19685039370078741" bottom="0.19685039370078741" header="0.11811023622047245" footer="0.15748031496062992"/>
  <pageSetup paperSize="9" scale="84" orientation="portrait" horizontalDpi="300" verticalDpi="300" r:id="rId1"/>
  <headerFooter>
    <oddFooter>&amp;C&amp;"Agency FB,Regular"&amp;10Page &amp;P of &amp;N</oddFooter>
  </headerFooter>
  <rowBreaks count="1" manualBreakCount="1">
    <brk id="68" min="9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A233"/>
  <sheetViews>
    <sheetView showGridLines="0" view="pageBreakPreview" zoomScale="70" zoomScaleNormal="100" zoomScaleSheetLayoutView="70" workbookViewId="0">
      <selection activeCell="G12" sqref="G12"/>
    </sheetView>
  </sheetViews>
  <sheetFormatPr defaultRowHeight="20.100000000000001" customHeight="1" x14ac:dyDescent="0.3"/>
  <cols>
    <col min="1" max="1" width="1.85546875" style="1" customWidth="1"/>
    <col min="2" max="2" width="4.85546875" style="1" customWidth="1"/>
    <col min="3" max="3" width="3.7109375" style="1" customWidth="1"/>
    <col min="4" max="4" width="29.85546875" style="1" customWidth="1"/>
    <col min="5" max="5" width="7.7109375" style="1" customWidth="1"/>
    <col min="6" max="6" width="9.140625" style="1" customWidth="1"/>
    <col min="7" max="7" width="9.85546875" style="1" customWidth="1"/>
    <col min="8" max="8" width="13.7109375" style="1" customWidth="1"/>
    <col min="9" max="9" width="17.7109375" style="1" customWidth="1"/>
    <col min="10" max="10" width="5.7109375" customWidth="1"/>
    <col min="11" max="11" width="4.85546875" style="1" customWidth="1"/>
    <col min="12" max="12" width="2" style="1" customWidth="1"/>
    <col min="13" max="13" width="31.7109375" style="1" customWidth="1"/>
    <col min="14" max="14" width="8.7109375" style="1" customWidth="1"/>
    <col min="15" max="15" width="9.140625" style="1" customWidth="1"/>
    <col min="16" max="16" width="9.85546875" style="1" customWidth="1"/>
    <col min="17" max="17" width="14.7109375" style="1" customWidth="1"/>
    <col min="18" max="18" width="16.7109375" style="1" customWidth="1"/>
    <col min="19" max="19" width="5.7109375" customWidth="1"/>
    <col min="20" max="20" width="4.85546875" style="1" customWidth="1"/>
    <col min="21" max="21" width="2" style="1" customWidth="1"/>
    <col min="22" max="22" width="31.7109375" style="1" customWidth="1"/>
    <col min="23" max="23" width="8.7109375" style="1" customWidth="1"/>
    <col min="24" max="24" width="9.140625" style="1" customWidth="1"/>
    <col min="25" max="25" width="9.85546875" style="1" customWidth="1"/>
    <col min="26" max="26" width="14.7109375" style="1" customWidth="1"/>
    <col min="27" max="27" width="16.7109375" style="1" customWidth="1"/>
  </cols>
  <sheetData>
    <row r="2" spans="2:27" ht="20.100000000000001" customHeight="1" x14ac:dyDescent="0.3">
      <c r="B2" s="382" t="s">
        <v>99</v>
      </c>
      <c r="C2" s="382"/>
      <c r="D2" s="382"/>
      <c r="E2" s="382"/>
      <c r="F2" s="382"/>
      <c r="G2" s="382"/>
      <c r="H2" s="382"/>
      <c r="I2" s="382"/>
    </row>
    <row r="3" spans="2:27" s="265" customFormat="1" ht="9.75" customHeight="1" x14ac:dyDescent="0.25"/>
    <row r="4" spans="2:27" s="265" customFormat="1" ht="20.100000000000001" customHeight="1" x14ac:dyDescent="0.25">
      <c r="B4" s="278" t="str">
        <f>EE!K4</f>
        <v>Pekerjaan</v>
      </c>
      <c r="C4" s="278"/>
      <c r="D4" s="278" t="str">
        <f>EE!N4</f>
        <v>: Perbaikan Jembatan Penghubung Gedung Paripurna dan Gedung DPRD Provsu</v>
      </c>
      <c r="E4" s="278"/>
      <c r="F4" s="278"/>
      <c r="G4" s="278"/>
      <c r="H4" s="278"/>
      <c r="I4" s="278"/>
    </row>
    <row r="5" spans="2:27" s="265" customFormat="1" ht="20.100000000000001" customHeight="1" x14ac:dyDescent="0.25">
      <c r="B5" s="278" t="str">
        <f>EE!K5</f>
        <v>Lokasi</v>
      </c>
      <c r="C5" s="278"/>
      <c r="D5" s="278" t="str">
        <f>EE!N5</f>
        <v>: Jalan Imam Bonjol No. 5 Medan</v>
      </c>
      <c r="E5" s="278"/>
      <c r="F5" s="278"/>
      <c r="G5" s="278"/>
      <c r="H5" s="278"/>
      <c r="I5" s="278"/>
    </row>
    <row r="6" spans="2:27" s="265" customFormat="1" ht="20.100000000000001" customHeight="1" x14ac:dyDescent="0.25">
      <c r="B6" s="278" t="str">
        <f>EE!K6</f>
        <v>Tahun</v>
      </c>
      <c r="C6" s="278"/>
      <c r="D6" s="278" t="str">
        <f>EE!N6</f>
        <v>: 2022</v>
      </c>
      <c r="E6" s="278"/>
      <c r="F6" s="278"/>
      <c r="G6" s="278"/>
      <c r="H6" s="278"/>
      <c r="I6" s="278"/>
    </row>
    <row r="7" spans="2:27" s="265" customFormat="1" ht="20.100000000000001" customHeight="1" x14ac:dyDescent="0.25">
      <c r="B7" s="278"/>
      <c r="C7" s="278"/>
      <c r="D7" s="278"/>
      <c r="E7" s="278"/>
      <c r="F7" s="278"/>
      <c r="G7" s="278"/>
      <c r="H7" s="278"/>
      <c r="I7" s="278"/>
    </row>
    <row r="8" spans="2:27" ht="20.100000000000001" customHeight="1" x14ac:dyDescent="0.3">
      <c r="B8" s="373" t="s">
        <v>109</v>
      </c>
      <c r="C8" s="374"/>
      <c r="D8" s="374"/>
      <c r="E8" s="374"/>
      <c r="F8" s="374"/>
      <c r="G8" s="375"/>
      <c r="H8" s="114" t="s">
        <v>291</v>
      </c>
      <c r="I8" s="130"/>
      <c r="K8" s="373" t="s">
        <v>109</v>
      </c>
      <c r="L8" s="374"/>
      <c r="M8" s="374"/>
      <c r="N8" s="374"/>
      <c r="O8" s="374"/>
      <c r="P8" s="375"/>
      <c r="Q8" s="114" t="s">
        <v>292</v>
      </c>
      <c r="R8" s="115"/>
      <c r="T8" s="373" t="s">
        <v>109</v>
      </c>
      <c r="U8" s="374"/>
      <c r="V8" s="374"/>
      <c r="W8" s="374"/>
      <c r="X8" s="374"/>
      <c r="Y8" s="375"/>
      <c r="Z8" s="114" t="s">
        <v>293</v>
      </c>
      <c r="AA8" s="115"/>
    </row>
    <row r="9" spans="2:27" ht="20.100000000000001" customHeight="1" x14ac:dyDescent="0.3">
      <c r="B9" s="367" t="s">
        <v>132</v>
      </c>
      <c r="C9" s="378"/>
      <c r="D9" s="378"/>
      <c r="E9" s="378"/>
      <c r="F9" s="378"/>
      <c r="G9" s="369"/>
      <c r="H9" s="119"/>
      <c r="I9" s="120"/>
      <c r="K9" s="367"/>
      <c r="L9" s="378"/>
      <c r="M9" s="378"/>
      <c r="N9" s="378"/>
      <c r="O9" s="378"/>
      <c r="P9" s="369"/>
      <c r="Q9" s="119"/>
      <c r="R9" s="120"/>
      <c r="T9" s="367"/>
      <c r="U9" s="378"/>
      <c r="V9" s="378"/>
      <c r="W9" s="378"/>
      <c r="X9" s="378"/>
      <c r="Y9" s="369"/>
      <c r="Z9" s="119"/>
      <c r="AA9" s="120"/>
    </row>
    <row r="10" spans="2:27" ht="20.100000000000001" customHeight="1" x14ac:dyDescent="0.3">
      <c r="B10" s="121"/>
      <c r="C10" s="122"/>
      <c r="D10" s="122"/>
      <c r="E10" s="123"/>
      <c r="F10" s="124"/>
      <c r="G10" s="125"/>
      <c r="H10" s="119"/>
      <c r="I10" s="127"/>
      <c r="K10" s="367" t="s">
        <v>131</v>
      </c>
      <c r="L10" s="378"/>
      <c r="M10" s="378"/>
      <c r="N10" s="378"/>
      <c r="O10" s="378"/>
      <c r="P10" s="369"/>
      <c r="Q10" s="119"/>
      <c r="R10" s="120"/>
      <c r="T10" s="367" t="s">
        <v>133</v>
      </c>
      <c r="U10" s="378"/>
      <c r="V10" s="378"/>
      <c r="W10" s="378"/>
      <c r="X10" s="378"/>
      <c r="Y10" s="369"/>
      <c r="Z10" s="119"/>
      <c r="AA10" s="120"/>
    </row>
    <row r="11" spans="2:27" ht="20.100000000000001" customHeight="1" x14ac:dyDescent="0.3">
      <c r="B11" s="128"/>
      <c r="C11" s="129"/>
      <c r="D11" s="130"/>
      <c r="E11" s="131"/>
      <c r="F11" s="132"/>
      <c r="G11" s="133"/>
      <c r="H11" s="132" t="s">
        <v>9</v>
      </c>
      <c r="I11" s="134" t="s">
        <v>0</v>
      </c>
      <c r="K11" s="121"/>
      <c r="L11" s="122"/>
      <c r="M11" s="122"/>
      <c r="N11" s="123"/>
      <c r="O11" s="124"/>
      <c r="P11" s="125"/>
      <c r="Q11" s="126"/>
      <c r="R11" s="127"/>
      <c r="T11" s="121"/>
      <c r="U11" s="122"/>
      <c r="V11" s="122"/>
      <c r="W11" s="123"/>
      <c r="X11" s="124"/>
      <c r="Y11" s="125"/>
      <c r="Z11" s="126"/>
      <c r="AA11" s="127"/>
    </row>
    <row r="12" spans="2:27" ht="20.100000000000001" customHeight="1" x14ac:dyDescent="0.3">
      <c r="B12" s="135" t="s">
        <v>10</v>
      </c>
      <c r="C12" s="376" t="s">
        <v>111</v>
      </c>
      <c r="D12" s="377"/>
      <c r="E12" s="138" t="s">
        <v>112</v>
      </c>
      <c r="F12" s="135" t="s">
        <v>2</v>
      </c>
      <c r="G12" s="5" t="s">
        <v>113</v>
      </c>
      <c r="H12" s="135" t="s">
        <v>2</v>
      </c>
      <c r="I12" s="118" t="s">
        <v>9</v>
      </c>
      <c r="K12" s="128"/>
      <c r="L12" s="129"/>
      <c r="M12" s="130"/>
      <c r="N12" s="131"/>
      <c r="O12" s="132"/>
      <c r="P12" s="133"/>
      <c r="Q12" s="132" t="s">
        <v>9</v>
      </c>
      <c r="R12" s="134" t="s">
        <v>0</v>
      </c>
      <c r="T12" s="128"/>
      <c r="U12" s="129"/>
      <c r="V12" s="130"/>
      <c r="W12" s="131"/>
      <c r="X12" s="132"/>
      <c r="Y12" s="133"/>
      <c r="Z12" s="132" t="s">
        <v>9</v>
      </c>
      <c r="AA12" s="134" t="s">
        <v>0</v>
      </c>
    </row>
    <row r="13" spans="2:27" ht="20.100000000000001" customHeight="1" x14ac:dyDescent="0.3">
      <c r="B13" s="139"/>
      <c r="C13" s="126"/>
      <c r="D13" s="140"/>
      <c r="E13" s="141"/>
      <c r="F13" s="142"/>
      <c r="G13" s="125"/>
      <c r="H13" s="142" t="s">
        <v>4</v>
      </c>
      <c r="I13" s="143" t="s">
        <v>4</v>
      </c>
      <c r="K13" s="135" t="s">
        <v>10</v>
      </c>
      <c r="L13" s="376" t="s">
        <v>111</v>
      </c>
      <c r="M13" s="377"/>
      <c r="N13" s="138" t="s">
        <v>112</v>
      </c>
      <c r="O13" s="135" t="s">
        <v>2</v>
      </c>
      <c r="P13" s="5" t="s">
        <v>113</v>
      </c>
      <c r="Q13" s="135" t="s">
        <v>2</v>
      </c>
      <c r="R13" s="118" t="s">
        <v>9</v>
      </c>
      <c r="T13" s="135" t="s">
        <v>10</v>
      </c>
      <c r="U13" s="376" t="s">
        <v>111</v>
      </c>
      <c r="V13" s="377"/>
      <c r="W13" s="138" t="s">
        <v>112</v>
      </c>
      <c r="X13" s="135" t="s">
        <v>2</v>
      </c>
      <c r="Y13" s="5" t="s">
        <v>113</v>
      </c>
      <c r="Z13" s="135" t="s">
        <v>2</v>
      </c>
      <c r="AA13" s="118" t="s">
        <v>9</v>
      </c>
    </row>
    <row r="14" spans="2:27" ht="20.100000000000001" customHeight="1" x14ac:dyDescent="0.3">
      <c r="B14" s="144" t="s">
        <v>30</v>
      </c>
      <c r="C14" s="145" t="s">
        <v>114</v>
      </c>
      <c r="D14" s="146"/>
      <c r="E14" s="147"/>
      <c r="F14" s="148"/>
      <c r="G14" s="149"/>
      <c r="H14" s="150"/>
      <c r="I14" s="151"/>
      <c r="K14" s="139"/>
      <c r="L14" s="126"/>
      <c r="M14" s="140"/>
      <c r="N14" s="141"/>
      <c r="O14" s="142"/>
      <c r="P14" s="125"/>
      <c r="Q14" s="142" t="s">
        <v>4</v>
      </c>
      <c r="R14" s="143" t="s">
        <v>4</v>
      </c>
      <c r="T14" s="139"/>
      <c r="U14" s="126"/>
      <c r="V14" s="140"/>
      <c r="W14" s="141"/>
      <c r="X14" s="142"/>
      <c r="Y14" s="125"/>
      <c r="Z14" s="142" t="s">
        <v>4</v>
      </c>
      <c r="AA14" s="143" t="s">
        <v>4</v>
      </c>
    </row>
    <row r="15" spans="2:27" ht="20.100000000000001" customHeight="1" x14ac:dyDescent="0.3">
      <c r="B15" s="152"/>
      <c r="C15" s="153" t="s">
        <v>108</v>
      </c>
      <c r="D15" s="154" t="s">
        <v>81</v>
      </c>
      <c r="E15" s="155"/>
      <c r="F15" s="156" t="s">
        <v>115</v>
      </c>
      <c r="G15" s="194">
        <f>(6.667/3)*(2)</f>
        <v>4.4446666666666665</v>
      </c>
      <c r="H15" s="158">
        <f>H175</f>
        <v>110000</v>
      </c>
      <c r="I15" s="159">
        <f>SUM(G15*H15)</f>
        <v>488913.33333333331</v>
      </c>
      <c r="K15" s="144" t="s">
        <v>30</v>
      </c>
      <c r="L15" s="145" t="s">
        <v>114</v>
      </c>
      <c r="M15" s="146"/>
      <c r="N15" s="147"/>
      <c r="O15" s="148"/>
      <c r="P15" s="149"/>
      <c r="Q15" s="150"/>
      <c r="R15" s="151"/>
      <c r="T15" s="144" t="s">
        <v>30</v>
      </c>
      <c r="U15" s="145" t="s">
        <v>114</v>
      </c>
      <c r="V15" s="146"/>
      <c r="W15" s="147"/>
      <c r="X15" s="148"/>
      <c r="Y15" s="149"/>
      <c r="Z15" s="150"/>
      <c r="AA15" s="151"/>
    </row>
    <row r="16" spans="2:27" ht="20.100000000000001" customHeight="1" x14ac:dyDescent="0.3">
      <c r="B16" s="152"/>
      <c r="C16" s="153" t="s">
        <v>108</v>
      </c>
      <c r="D16" s="154" t="s">
        <v>96</v>
      </c>
      <c r="E16" s="155"/>
      <c r="F16" s="156" t="s">
        <v>115</v>
      </c>
      <c r="G16" s="160">
        <f>(0.333/3)*(2)</f>
        <v>0.222</v>
      </c>
      <c r="H16" s="158">
        <f>H178</f>
        <v>204500</v>
      </c>
      <c r="I16" s="159">
        <f t="shared" ref="I16" si="0">SUM(G16*H16)</f>
        <v>45399</v>
      </c>
      <c r="K16" s="152"/>
      <c r="L16" s="153" t="s">
        <v>108</v>
      </c>
      <c r="M16" s="154" t="s">
        <v>81</v>
      </c>
      <c r="N16" s="155"/>
      <c r="O16" s="156" t="s">
        <v>115</v>
      </c>
      <c r="P16" s="157">
        <v>0.1</v>
      </c>
      <c r="Q16" s="158">
        <f t="shared" ref="Q16:Q17" si="1">H15</f>
        <v>110000</v>
      </c>
      <c r="R16" s="159">
        <f>SUM(P16*Q16)</f>
        <v>11000</v>
      </c>
      <c r="T16" s="152"/>
      <c r="U16" s="153" t="s">
        <v>108</v>
      </c>
      <c r="V16" s="154" t="s">
        <v>81</v>
      </c>
      <c r="W16" s="155"/>
      <c r="X16" s="156" t="s">
        <v>115</v>
      </c>
      <c r="Y16" s="157">
        <v>0.1</v>
      </c>
      <c r="Z16" s="158">
        <f t="shared" ref="Z16:Z17" si="2">H15</f>
        <v>110000</v>
      </c>
      <c r="AA16" s="159">
        <f>SUM(Y16*Z16)</f>
        <v>11000</v>
      </c>
    </row>
    <row r="17" spans="2:27" ht="20.100000000000001" customHeight="1" x14ac:dyDescent="0.3">
      <c r="B17" s="152"/>
      <c r="C17" s="153"/>
      <c r="D17" s="154"/>
      <c r="E17" s="155"/>
      <c r="F17" s="156"/>
      <c r="G17" s="160"/>
      <c r="H17" s="158"/>
      <c r="I17" s="159"/>
      <c r="K17" s="152"/>
      <c r="L17" s="153" t="s">
        <v>108</v>
      </c>
      <c r="M17" s="154" t="s">
        <v>96</v>
      </c>
      <c r="N17" s="155"/>
      <c r="O17" s="156" t="s">
        <v>115</v>
      </c>
      <c r="P17" s="160">
        <v>0.05</v>
      </c>
      <c r="Q17" s="158">
        <f t="shared" si="1"/>
        <v>204500</v>
      </c>
      <c r="R17" s="159">
        <f>SUM(P17*Q17)</f>
        <v>10225</v>
      </c>
      <c r="T17" s="152"/>
      <c r="U17" s="153" t="s">
        <v>108</v>
      </c>
      <c r="V17" s="154" t="s">
        <v>96</v>
      </c>
      <c r="W17" s="155"/>
      <c r="X17" s="156" t="s">
        <v>115</v>
      </c>
      <c r="Y17" s="160">
        <v>0.05</v>
      </c>
      <c r="Z17" s="158">
        <f t="shared" si="2"/>
        <v>204500</v>
      </c>
      <c r="AA17" s="159">
        <f t="shared" ref="AA17" si="3">SUM(Y17*Z17)</f>
        <v>10225</v>
      </c>
    </row>
    <row r="18" spans="2:27" ht="20.100000000000001" customHeight="1" x14ac:dyDescent="0.3">
      <c r="B18" s="161"/>
      <c r="C18" s="162"/>
      <c r="D18" s="163"/>
      <c r="E18" s="147"/>
      <c r="F18" s="148"/>
      <c r="G18" s="164"/>
      <c r="H18" s="165" t="s">
        <v>116</v>
      </c>
      <c r="I18" s="166">
        <f>SUM(I15:I16)</f>
        <v>534312.33333333326</v>
      </c>
      <c r="K18" s="161"/>
      <c r="L18" s="162"/>
      <c r="M18" s="163"/>
      <c r="N18" s="147"/>
      <c r="O18" s="148"/>
      <c r="P18" s="164"/>
      <c r="Q18" s="165" t="s">
        <v>116</v>
      </c>
      <c r="R18" s="166">
        <f>SUM(R16:R17)</f>
        <v>21225</v>
      </c>
      <c r="T18" s="161"/>
      <c r="U18" s="162"/>
      <c r="V18" s="163"/>
      <c r="W18" s="147"/>
      <c r="X18" s="148"/>
      <c r="Y18" s="164"/>
      <c r="Z18" s="165" t="s">
        <v>116</v>
      </c>
      <c r="AA18" s="166">
        <f>SUM(AA16:AA17)</f>
        <v>21225</v>
      </c>
    </row>
    <row r="19" spans="2:27" ht="20.100000000000001" customHeight="1" x14ac:dyDescent="0.3">
      <c r="B19" s="144" t="s">
        <v>31</v>
      </c>
      <c r="C19" s="145" t="s">
        <v>117</v>
      </c>
      <c r="D19" s="146"/>
      <c r="E19" s="147"/>
      <c r="F19" s="167"/>
      <c r="G19" s="164"/>
      <c r="H19" s="168"/>
      <c r="I19" s="151"/>
      <c r="K19" s="144" t="s">
        <v>31</v>
      </c>
      <c r="L19" s="145" t="s">
        <v>117</v>
      </c>
      <c r="M19" s="146"/>
      <c r="N19" s="147"/>
      <c r="O19" s="167"/>
      <c r="P19" s="164"/>
      <c r="Q19" s="168"/>
      <c r="R19" s="151"/>
      <c r="T19" s="144" t="s">
        <v>31</v>
      </c>
      <c r="U19" s="145" t="s">
        <v>117</v>
      </c>
      <c r="V19" s="146"/>
      <c r="W19" s="147"/>
      <c r="X19" s="167"/>
      <c r="Y19" s="164"/>
      <c r="Z19" s="168"/>
      <c r="AA19" s="151"/>
    </row>
    <row r="20" spans="2:27" ht="20.100000000000001" customHeight="1" x14ac:dyDescent="0.3">
      <c r="B20" s="152"/>
      <c r="C20" s="153"/>
      <c r="D20" s="154"/>
      <c r="E20" s="155"/>
      <c r="F20" s="195"/>
      <c r="G20" s="160">
        <v>0</v>
      </c>
      <c r="H20" s="158"/>
      <c r="I20" s="159">
        <f>SUM(G20*H20)</f>
        <v>0</v>
      </c>
      <c r="K20" s="152"/>
      <c r="L20" s="153"/>
      <c r="M20" s="154"/>
      <c r="N20" s="155"/>
      <c r="O20" s="169"/>
      <c r="P20" s="160"/>
      <c r="Q20" s="158"/>
      <c r="R20" s="159"/>
      <c r="T20" s="152"/>
      <c r="U20" s="153"/>
      <c r="V20" s="154"/>
      <c r="W20" s="155"/>
      <c r="X20" s="169"/>
      <c r="Y20" s="160"/>
      <c r="Z20" s="158"/>
      <c r="AA20" s="159"/>
    </row>
    <row r="21" spans="2:27" ht="20.100000000000001" customHeight="1" x14ac:dyDescent="0.3">
      <c r="B21" s="161"/>
      <c r="C21" s="162"/>
      <c r="D21" s="163"/>
      <c r="E21" s="170"/>
      <c r="F21" s="148"/>
      <c r="G21" s="171"/>
      <c r="H21" s="165" t="s">
        <v>118</v>
      </c>
      <c r="I21" s="166">
        <f>SUM(I20:I20)</f>
        <v>0</v>
      </c>
      <c r="K21" s="161"/>
      <c r="L21" s="162"/>
      <c r="M21" s="163"/>
      <c r="N21" s="170"/>
      <c r="O21" s="148"/>
      <c r="P21" s="171"/>
      <c r="Q21" s="165" t="s">
        <v>118</v>
      </c>
      <c r="R21" s="166">
        <f>SUM(R20:R20)</f>
        <v>0</v>
      </c>
      <c r="T21" s="161"/>
      <c r="U21" s="162"/>
      <c r="V21" s="163"/>
      <c r="W21" s="170"/>
      <c r="X21" s="148"/>
      <c r="Y21" s="171"/>
      <c r="Z21" s="165" t="s">
        <v>118</v>
      </c>
      <c r="AA21" s="166">
        <f>SUM(AA20:AA20)</f>
        <v>0</v>
      </c>
    </row>
    <row r="22" spans="2:27" ht="20.100000000000001" customHeight="1" x14ac:dyDescent="0.3">
      <c r="B22" s="144" t="s">
        <v>32</v>
      </c>
      <c r="C22" s="145" t="s">
        <v>119</v>
      </c>
      <c r="D22" s="146"/>
      <c r="E22" s="147"/>
      <c r="F22" s="148"/>
      <c r="G22" s="171"/>
      <c r="H22" s="168"/>
      <c r="I22" s="151"/>
      <c r="K22" s="144" t="s">
        <v>32</v>
      </c>
      <c r="L22" s="145" t="s">
        <v>119</v>
      </c>
      <c r="M22" s="146"/>
      <c r="N22" s="147"/>
      <c r="O22" s="148"/>
      <c r="P22" s="171"/>
      <c r="Q22" s="168"/>
      <c r="R22" s="151"/>
      <c r="T22" s="144" t="s">
        <v>32</v>
      </c>
      <c r="U22" s="145" t="s">
        <v>119</v>
      </c>
      <c r="V22" s="146"/>
      <c r="W22" s="147"/>
      <c r="X22" s="148"/>
      <c r="Y22" s="171"/>
      <c r="Z22" s="168"/>
      <c r="AA22" s="151"/>
    </row>
    <row r="23" spans="2:27" ht="20.100000000000001" customHeight="1" x14ac:dyDescent="0.3">
      <c r="B23" s="152"/>
      <c r="C23" s="153"/>
      <c r="D23" s="154"/>
      <c r="E23" s="155"/>
      <c r="F23" s="172"/>
      <c r="G23" s="173">
        <v>0</v>
      </c>
      <c r="H23" s="158"/>
      <c r="I23" s="159">
        <f>SUM(G23*H23)</f>
        <v>0</v>
      </c>
      <c r="K23" s="152"/>
      <c r="L23" s="153"/>
      <c r="M23" s="154"/>
      <c r="N23" s="155"/>
      <c r="O23" s="172"/>
      <c r="P23" s="173">
        <v>0</v>
      </c>
      <c r="Q23" s="158"/>
      <c r="R23" s="159">
        <f>SUM(P23*Q23)</f>
        <v>0</v>
      </c>
      <c r="T23" s="152"/>
      <c r="U23" s="153"/>
      <c r="V23" s="154"/>
      <c r="W23" s="155"/>
      <c r="X23" s="172"/>
      <c r="Y23" s="173">
        <v>0</v>
      </c>
      <c r="Z23" s="158"/>
      <c r="AA23" s="159">
        <f>SUM(Y23*Z23)</f>
        <v>0</v>
      </c>
    </row>
    <row r="24" spans="2:27" ht="20.100000000000001" customHeight="1" x14ac:dyDescent="0.3">
      <c r="B24" s="161"/>
      <c r="C24" s="162"/>
      <c r="D24" s="163"/>
      <c r="E24" s="170"/>
      <c r="F24" s="148"/>
      <c r="G24" s="174"/>
      <c r="H24" s="165" t="s">
        <v>120</v>
      </c>
      <c r="I24" s="166">
        <f>SUM(I23:I23)</f>
        <v>0</v>
      </c>
      <c r="K24" s="161"/>
      <c r="L24" s="162"/>
      <c r="M24" s="163"/>
      <c r="N24" s="170"/>
      <c r="O24" s="148"/>
      <c r="P24" s="174"/>
      <c r="Q24" s="165" t="s">
        <v>120</v>
      </c>
      <c r="R24" s="166">
        <f>SUM(R23:R23)</f>
        <v>0</v>
      </c>
      <c r="T24" s="161"/>
      <c r="U24" s="162"/>
      <c r="V24" s="163"/>
      <c r="W24" s="170"/>
      <c r="X24" s="148"/>
      <c r="Y24" s="174"/>
      <c r="Z24" s="165" t="s">
        <v>120</v>
      </c>
      <c r="AA24" s="166">
        <f>SUM(AA23:AA23)</f>
        <v>0</v>
      </c>
    </row>
    <row r="25" spans="2:27" ht="20.100000000000001" customHeight="1" x14ac:dyDescent="0.3">
      <c r="B25" s="175"/>
      <c r="C25" s="153"/>
      <c r="D25" s="58"/>
      <c r="E25" s="176"/>
      <c r="F25" s="177"/>
      <c r="G25" s="178"/>
      <c r="H25" s="179"/>
      <c r="I25" s="180"/>
      <c r="K25" s="175"/>
      <c r="L25" s="153"/>
      <c r="M25" s="58"/>
      <c r="N25" s="176"/>
      <c r="O25" s="177"/>
      <c r="P25" s="178"/>
      <c r="Q25" s="179"/>
      <c r="R25" s="180"/>
      <c r="T25" s="175"/>
      <c r="U25" s="153"/>
      <c r="V25" s="58"/>
      <c r="W25" s="176"/>
      <c r="X25" s="177"/>
      <c r="Y25" s="178"/>
      <c r="Z25" s="179"/>
      <c r="AA25" s="180"/>
    </row>
    <row r="26" spans="2:27" ht="20.100000000000001" customHeight="1" x14ac:dyDescent="0.3">
      <c r="B26" s="181" t="s">
        <v>44</v>
      </c>
      <c r="C26" s="153" t="s">
        <v>121</v>
      </c>
      <c r="D26" s="58"/>
      <c r="E26" s="155" t="s">
        <v>125</v>
      </c>
      <c r="F26" s="60"/>
      <c r="G26" s="182"/>
      <c r="H26" s="183"/>
      <c r="I26" s="159">
        <f>SUM(I18+I21+I24)</f>
        <v>534312.33333333326</v>
      </c>
      <c r="K26" s="181" t="s">
        <v>44</v>
      </c>
      <c r="L26" s="153" t="s">
        <v>121</v>
      </c>
      <c r="M26" s="58"/>
      <c r="N26" s="155" t="s">
        <v>125</v>
      </c>
      <c r="O26" s="60"/>
      <c r="P26" s="182"/>
      <c r="Q26" s="183"/>
      <c r="R26" s="159">
        <f>SUM(R18+R21+R24)</f>
        <v>21225</v>
      </c>
      <c r="T26" s="181" t="s">
        <v>44</v>
      </c>
      <c r="U26" s="153" t="s">
        <v>121</v>
      </c>
      <c r="V26" s="58"/>
      <c r="W26" s="155" t="s">
        <v>125</v>
      </c>
      <c r="X26" s="60"/>
      <c r="Y26" s="182"/>
      <c r="Z26" s="183"/>
      <c r="AA26" s="159">
        <f>SUM(AA18+AA21+AA24)</f>
        <v>21225</v>
      </c>
    </row>
    <row r="27" spans="2:27" ht="20.100000000000001" customHeight="1" x14ac:dyDescent="0.3">
      <c r="B27" s="181" t="s">
        <v>68</v>
      </c>
      <c r="C27" s="153" t="s">
        <v>122</v>
      </c>
      <c r="D27" s="58"/>
      <c r="E27" s="155" t="s">
        <v>125</v>
      </c>
      <c r="F27" s="60"/>
      <c r="G27" s="184"/>
      <c r="H27" s="183"/>
      <c r="I27" s="185">
        <f>SUM(I26*15/100)</f>
        <v>80146.849999999991</v>
      </c>
      <c r="K27" s="181" t="s">
        <v>68</v>
      </c>
      <c r="L27" s="153" t="s">
        <v>122</v>
      </c>
      <c r="M27" s="58"/>
      <c r="N27" s="155" t="s">
        <v>125</v>
      </c>
      <c r="O27" s="60"/>
      <c r="P27" s="184"/>
      <c r="Q27" s="183"/>
      <c r="R27" s="185">
        <f>SUM(R26*15/100)</f>
        <v>3183.75</v>
      </c>
      <c r="T27" s="181" t="s">
        <v>68</v>
      </c>
      <c r="U27" s="153" t="s">
        <v>122</v>
      </c>
      <c r="V27" s="58"/>
      <c r="W27" s="155" t="s">
        <v>125</v>
      </c>
      <c r="X27" s="60"/>
      <c r="Y27" s="184"/>
      <c r="Z27" s="183"/>
      <c r="AA27" s="185">
        <f>SUM(AA26*15/100)</f>
        <v>3183.75</v>
      </c>
    </row>
    <row r="28" spans="2:27" ht="20.100000000000001" customHeight="1" x14ac:dyDescent="0.3">
      <c r="B28" s="181" t="s">
        <v>123</v>
      </c>
      <c r="C28" s="153" t="s">
        <v>124</v>
      </c>
      <c r="D28" s="58"/>
      <c r="E28" s="155" t="s">
        <v>125</v>
      </c>
      <c r="F28" s="60"/>
      <c r="G28" s="184"/>
      <c r="H28" s="183"/>
      <c r="I28" s="159">
        <f>SUM(I26:I27)</f>
        <v>614459.18333333323</v>
      </c>
      <c r="K28" s="181" t="s">
        <v>123</v>
      </c>
      <c r="L28" s="153" t="s">
        <v>124</v>
      </c>
      <c r="M28" s="58"/>
      <c r="N28" s="155" t="s">
        <v>125</v>
      </c>
      <c r="O28" s="60"/>
      <c r="P28" s="184"/>
      <c r="Q28" s="183"/>
      <c r="R28" s="159">
        <f>SUM(R26:R27)</f>
        <v>24408.75</v>
      </c>
      <c r="T28" s="181" t="s">
        <v>123</v>
      </c>
      <c r="U28" s="153" t="s">
        <v>124</v>
      </c>
      <c r="V28" s="58"/>
      <c r="W28" s="155" t="s">
        <v>125</v>
      </c>
      <c r="X28" s="60"/>
      <c r="Y28" s="184"/>
      <c r="Z28" s="183"/>
      <c r="AA28" s="159">
        <f>SUM(AA26:AA27)</f>
        <v>24408.75</v>
      </c>
    </row>
    <row r="29" spans="2:27" ht="20.100000000000001" customHeight="1" x14ac:dyDescent="0.3">
      <c r="B29" s="196"/>
      <c r="C29" s="187" t="s">
        <v>12</v>
      </c>
      <c r="D29" s="197"/>
      <c r="E29" s="198"/>
      <c r="F29" s="199"/>
      <c r="G29" s="200"/>
      <c r="H29" s="201"/>
      <c r="I29" s="193">
        <f>ROUND(I28,0)</f>
        <v>614459</v>
      </c>
      <c r="K29" s="186"/>
      <c r="L29" s="187" t="s">
        <v>12</v>
      </c>
      <c r="M29" s="188"/>
      <c r="N29" s="189"/>
      <c r="O29" s="190"/>
      <c r="P29" s="191"/>
      <c r="Q29" s="192"/>
      <c r="R29" s="193">
        <f>ROUND(R28,0)</f>
        <v>24409</v>
      </c>
      <c r="T29" s="196"/>
      <c r="U29" s="187" t="s">
        <v>12</v>
      </c>
      <c r="V29" s="197"/>
      <c r="W29" s="198"/>
      <c r="X29" s="199"/>
      <c r="Y29" s="200"/>
      <c r="Z29" s="201"/>
      <c r="AA29" s="193">
        <f>ROUND(AA28,0)</f>
        <v>24409</v>
      </c>
    </row>
    <row r="33" spans="2:18" ht="20.100000000000001" customHeight="1" x14ac:dyDescent="0.3">
      <c r="B33" s="373"/>
      <c r="C33" s="374"/>
      <c r="D33" s="374"/>
      <c r="E33" s="374"/>
      <c r="F33" s="374"/>
      <c r="G33" s="375"/>
      <c r="H33" s="202"/>
      <c r="I33" s="115"/>
      <c r="K33" s="373" t="s">
        <v>109</v>
      </c>
      <c r="L33" s="374"/>
      <c r="M33" s="374"/>
      <c r="N33" s="374"/>
      <c r="O33" s="374"/>
      <c r="P33" s="375"/>
      <c r="Q33" s="129" t="s">
        <v>304</v>
      </c>
      <c r="R33" s="115"/>
    </row>
    <row r="34" spans="2:18" ht="20.100000000000001" customHeight="1" x14ac:dyDescent="0.3">
      <c r="B34" s="370"/>
      <c r="C34" s="371"/>
      <c r="D34" s="371"/>
      <c r="E34" s="371"/>
      <c r="F34" s="371"/>
      <c r="G34" s="372"/>
      <c r="H34" s="119"/>
      <c r="I34" s="120"/>
      <c r="K34" s="315"/>
      <c r="L34" s="316"/>
      <c r="M34" s="316"/>
      <c r="N34" s="316"/>
      <c r="O34" s="316"/>
      <c r="P34" s="317"/>
      <c r="Q34" s="119" t="s">
        <v>136</v>
      </c>
      <c r="R34" s="318"/>
    </row>
    <row r="35" spans="2:18" ht="20.100000000000001" customHeight="1" x14ac:dyDescent="0.3">
      <c r="B35" s="367"/>
      <c r="C35" s="368"/>
      <c r="D35" s="368"/>
      <c r="E35" s="368"/>
      <c r="F35" s="368"/>
      <c r="G35" s="369"/>
      <c r="H35" s="119"/>
      <c r="I35" s="120"/>
      <c r="K35" s="367" t="s">
        <v>311</v>
      </c>
      <c r="L35" s="378"/>
      <c r="M35" s="378"/>
      <c r="N35" s="378"/>
      <c r="O35" s="378"/>
      <c r="P35" s="369"/>
      <c r="Q35" s="119" t="s">
        <v>110</v>
      </c>
      <c r="R35" s="120"/>
    </row>
    <row r="36" spans="2:18" ht="20.100000000000001" customHeight="1" x14ac:dyDescent="0.3">
      <c r="B36" s="367"/>
      <c r="C36" s="368"/>
      <c r="D36" s="368"/>
      <c r="E36" s="368"/>
      <c r="F36" s="368"/>
      <c r="G36" s="369"/>
      <c r="H36" s="119"/>
      <c r="I36" s="120"/>
      <c r="K36" s="367" t="s">
        <v>312</v>
      </c>
      <c r="L36" s="378"/>
      <c r="M36" s="378"/>
      <c r="N36" s="378"/>
      <c r="O36" s="378"/>
      <c r="P36" s="369"/>
      <c r="Q36" s="58"/>
      <c r="R36" s="120"/>
    </row>
    <row r="37" spans="2:18" ht="20.100000000000001" customHeight="1" x14ac:dyDescent="0.3">
      <c r="B37" s="121"/>
      <c r="C37" s="122"/>
      <c r="D37" s="122"/>
      <c r="E37" s="123"/>
      <c r="F37" s="124"/>
      <c r="G37" s="125"/>
      <c r="H37" s="126"/>
      <c r="I37" s="127"/>
      <c r="K37" s="379"/>
      <c r="L37" s="380"/>
      <c r="M37" s="380"/>
      <c r="N37" s="380"/>
      <c r="O37" s="380"/>
      <c r="P37" s="381"/>
      <c r="Q37" s="126"/>
      <c r="R37" s="127"/>
    </row>
    <row r="38" spans="2:18" ht="20.100000000000001" customHeight="1" x14ac:dyDescent="0.3">
      <c r="B38" s="206"/>
      <c r="C38" s="207"/>
      <c r="D38" s="208"/>
      <c r="E38" s="209"/>
      <c r="F38" s="210"/>
      <c r="G38" s="211"/>
      <c r="H38" s="210"/>
      <c r="I38" s="212"/>
      <c r="K38" s="128"/>
      <c r="L38" s="129"/>
      <c r="M38" s="130"/>
      <c r="N38" s="131"/>
      <c r="O38" s="132"/>
      <c r="P38" s="133"/>
      <c r="Q38" s="132" t="s">
        <v>9</v>
      </c>
      <c r="R38" s="134" t="s">
        <v>0</v>
      </c>
    </row>
    <row r="39" spans="2:18" ht="20.100000000000001" customHeight="1" x14ac:dyDescent="0.3">
      <c r="B39" s="156"/>
      <c r="C39" s="365"/>
      <c r="D39" s="366"/>
      <c r="E39" s="213"/>
      <c r="F39" s="156"/>
      <c r="G39" s="61"/>
      <c r="H39" s="156"/>
      <c r="I39" s="214"/>
      <c r="K39" s="135" t="s">
        <v>10</v>
      </c>
      <c r="L39" s="376" t="s">
        <v>111</v>
      </c>
      <c r="M39" s="377"/>
      <c r="N39" s="138" t="s">
        <v>112</v>
      </c>
      <c r="O39" s="135" t="s">
        <v>2</v>
      </c>
      <c r="P39" s="5" t="s">
        <v>113</v>
      </c>
      <c r="Q39" s="135" t="s">
        <v>2</v>
      </c>
      <c r="R39" s="118" t="s">
        <v>9</v>
      </c>
    </row>
    <row r="40" spans="2:18" ht="20.100000000000001" customHeight="1" x14ac:dyDescent="0.3">
      <c r="B40" s="215"/>
      <c r="C40" s="162"/>
      <c r="D40" s="163"/>
      <c r="E40" s="216"/>
      <c r="F40" s="217"/>
      <c r="G40" s="218"/>
      <c r="H40" s="217"/>
      <c r="I40" s="219"/>
      <c r="K40" s="139"/>
      <c r="L40" s="126"/>
      <c r="M40" s="140"/>
      <c r="N40" s="141"/>
      <c r="O40" s="142"/>
      <c r="P40" s="125"/>
      <c r="Q40" s="142" t="s">
        <v>4</v>
      </c>
      <c r="R40" s="143" t="s">
        <v>4</v>
      </c>
    </row>
    <row r="41" spans="2:18" ht="20.100000000000001" customHeight="1" x14ac:dyDescent="0.3">
      <c r="B41" s="144"/>
      <c r="C41" s="145"/>
      <c r="D41" s="226"/>
      <c r="E41" s="147"/>
      <c r="F41" s="148"/>
      <c r="G41" s="149"/>
      <c r="H41" s="150"/>
      <c r="I41" s="151"/>
      <c r="K41" s="144" t="s">
        <v>30</v>
      </c>
      <c r="L41" s="145" t="s">
        <v>114</v>
      </c>
      <c r="M41" s="146"/>
      <c r="N41" s="147"/>
      <c r="O41" s="148"/>
      <c r="P41" s="149"/>
      <c r="Q41" s="150"/>
      <c r="R41" s="151"/>
    </row>
    <row r="42" spans="2:18" ht="20.100000000000001" customHeight="1" x14ac:dyDescent="0.3">
      <c r="B42" s="152"/>
      <c r="C42" s="153"/>
      <c r="D42" s="154"/>
      <c r="E42" s="155"/>
      <c r="F42" s="156"/>
      <c r="G42" s="244"/>
      <c r="H42" s="221"/>
      <c r="I42" s="159"/>
      <c r="K42" s="152"/>
      <c r="L42" s="153" t="s">
        <v>108</v>
      </c>
      <c r="M42" s="154" t="s">
        <v>81</v>
      </c>
      <c r="N42" s="155"/>
      <c r="O42" s="156" t="s">
        <v>115</v>
      </c>
      <c r="P42" s="194">
        <v>0.25</v>
      </c>
      <c r="Q42" s="158">
        <f>'UPAH &amp; BAHAN'!H11</f>
        <v>110000</v>
      </c>
      <c r="R42" s="159">
        <f>SUM(P42*Q42)</f>
        <v>27500</v>
      </c>
    </row>
    <row r="43" spans="2:18" ht="20.100000000000001" customHeight="1" x14ac:dyDescent="0.3">
      <c r="B43" s="152"/>
      <c r="C43" s="153"/>
      <c r="D43" s="154"/>
      <c r="E43" s="155"/>
      <c r="F43" s="156"/>
      <c r="G43" s="223"/>
      <c r="H43" s="221"/>
      <c r="I43" s="159"/>
      <c r="K43" s="152"/>
      <c r="L43" s="153" t="s">
        <v>108</v>
      </c>
      <c r="M43" s="154" t="s">
        <v>149</v>
      </c>
      <c r="N43" s="155"/>
      <c r="O43" s="156" t="s">
        <v>115</v>
      </c>
      <c r="P43" s="160">
        <v>0.25</v>
      </c>
      <c r="Q43" s="158">
        <f>'UPAH &amp; BAHAN'!H17</f>
        <v>170400</v>
      </c>
      <c r="R43" s="159">
        <f>SUM(P43*Q43)</f>
        <v>42600</v>
      </c>
    </row>
    <row r="44" spans="2:18" ht="20.100000000000001" customHeight="1" x14ac:dyDescent="0.3">
      <c r="B44" s="152"/>
      <c r="C44" s="153"/>
      <c r="D44" s="154"/>
      <c r="E44" s="155"/>
      <c r="F44" s="156"/>
      <c r="G44" s="223"/>
      <c r="H44" s="221"/>
      <c r="I44" s="159"/>
      <c r="K44" s="152"/>
      <c r="L44" s="153" t="s">
        <v>108</v>
      </c>
      <c r="M44" s="154" t="s">
        <v>95</v>
      </c>
      <c r="N44" s="155"/>
      <c r="O44" s="156" t="s">
        <v>115</v>
      </c>
      <c r="P44" s="160">
        <v>2.5000000000000001E-2</v>
      </c>
      <c r="Q44" s="158">
        <f>'UPAH &amp; BAHAN'!H24</f>
        <v>218100</v>
      </c>
      <c r="R44" s="159">
        <f>SUM(P44*Q44)</f>
        <v>5452.5</v>
      </c>
    </row>
    <row r="45" spans="2:18" ht="20.100000000000001" customHeight="1" x14ac:dyDescent="0.3">
      <c r="B45" s="152"/>
      <c r="C45" s="153"/>
      <c r="D45" s="154"/>
      <c r="E45" s="155"/>
      <c r="F45" s="156"/>
      <c r="G45" s="223"/>
      <c r="H45" s="221"/>
      <c r="I45" s="159"/>
      <c r="K45" s="152"/>
      <c r="L45" s="153" t="s">
        <v>108</v>
      </c>
      <c r="M45" s="154" t="s">
        <v>96</v>
      </c>
      <c r="N45" s="155"/>
      <c r="O45" s="156" t="s">
        <v>115</v>
      </c>
      <c r="P45" s="160">
        <v>1.2999999999999999E-2</v>
      </c>
      <c r="Q45" s="158">
        <f>'UPAH &amp; BAHAN'!H25</f>
        <v>204500</v>
      </c>
      <c r="R45" s="159">
        <f>SUM(P45*Q45)</f>
        <v>2658.5</v>
      </c>
    </row>
    <row r="46" spans="2:18" ht="20.100000000000001" customHeight="1" x14ac:dyDescent="0.3">
      <c r="B46" s="161"/>
      <c r="C46" s="162"/>
      <c r="D46" s="163"/>
      <c r="E46" s="147"/>
      <c r="F46" s="148"/>
      <c r="G46" s="224"/>
      <c r="H46" s="225"/>
      <c r="I46" s="166"/>
      <c r="K46" s="152"/>
      <c r="L46" s="153"/>
      <c r="M46" s="154"/>
      <c r="N46" s="155"/>
      <c r="O46" s="156"/>
      <c r="P46" s="160"/>
      <c r="Q46" s="158"/>
      <c r="R46" s="159"/>
    </row>
    <row r="47" spans="2:18" ht="20.100000000000001" customHeight="1" x14ac:dyDescent="0.3">
      <c r="B47" s="144"/>
      <c r="C47" s="145"/>
      <c r="D47" s="146"/>
      <c r="E47" s="147"/>
      <c r="F47" s="167"/>
      <c r="G47" s="224"/>
      <c r="H47" s="227"/>
      <c r="I47" s="151"/>
      <c r="K47" s="161"/>
      <c r="L47" s="162"/>
      <c r="M47" s="163"/>
      <c r="N47" s="147"/>
      <c r="O47" s="148"/>
      <c r="P47" s="164"/>
      <c r="Q47" s="165" t="s">
        <v>116</v>
      </c>
      <c r="R47" s="166">
        <f>SUM(R42:R46)</f>
        <v>78211</v>
      </c>
    </row>
    <row r="48" spans="2:18" ht="20.100000000000001" customHeight="1" x14ac:dyDescent="0.3">
      <c r="B48" s="152"/>
      <c r="C48" s="119"/>
      <c r="D48" s="154"/>
      <c r="E48" s="155"/>
      <c r="F48" s="169"/>
      <c r="G48" s="228"/>
      <c r="H48" s="221"/>
      <c r="I48" s="159"/>
      <c r="K48" s="144" t="s">
        <v>31</v>
      </c>
      <c r="L48" s="145" t="s">
        <v>117</v>
      </c>
      <c r="M48" s="146"/>
      <c r="N48" s="147"/>
      <c r="O48" s="167"/>
      <c r="P48" s="164"/>
      <c r="Q48" s="168"/>
      <c r="R48" s="151"/>
    </row>
    <row r="49" spans="2:18" ht="20.100000000000001" customHeight="1" x14ac:dyDescent="0.3">
      <c r="B49" s="152"/>
      <c r="C49" s="119"/>
      <c r="D49" s="245"/>
      <c r="E49" s="155"/>
      <c r="F49" s="169"/>
      <c r="G49" s="228"/>
      <c r="H49" s="221"/>
      <c r="I49" s="159"/>
      <c r="K49" s="152"/>
      <c r="L49" s="153" t="s">
        <v>108</v>
      </c>
      <c r="M49" s="154" t="s">
        <v>305</v>
      </c>
      <c r="N49" s="155"/>
      <c r="O49" s="323" t="s">
        <v>316</v>
      </c>
      <c r="P49" s="160">
        <v>0.35</v>
      </c>
      <c r="Q49" s="158">
        <f>'UPAH &amp; BAHAN'!$R$18</f>
        <v>201940</v>
      </c>
      <c r="R49" s="159">
        <f>SUM(P49*Q49)</f>
        <v>70679</v>
      </c>
    </row>
    <row r="50" spans="2:18" ht="20.100000000000001" customHeight="1" x14ac:dyDescent="0.3">
      <c r="B50" s="152"/>
      <c r="C50" s="119"/>
      <c r="D50" s="154"/>
      <c r="E50" s="155"/>
      <c r="F50" s="169"/>
      <c r="G50" s="228"/>
      <c r="H50" s="221"/>
      <c r="I50" s="159"/>
      <c r="K50" s="152"/>
      <c r="L50" s="153" t="s">
        <v>108</v>
      </c>
      <c r="M50" s="154" t="s">
        <v>306</v>
      </c>
      <c r="N50" s="155"/>
      <c r="O50" s="169" t="s">
        <v>11</v>
      </c>
      <c r="P50" s="319">
        <v>1</v>
      </c>
      <c r="Q50" s="158">
        <f>R49</f>
        <v>70679</v>
      </c>
      <c r="R50" s="159">
        <f>SUM(P50*Q50)</f>
        <v>70679</v>
      </c>
    </row>
    <row r="51" spans="2:18" ht="20.100000000000001" customHeight="1" x14ac:dyDescent="0.3">
      <c r="B51" s="152"/>
      <c r="C51" s="119"/>
      <c r="D51" s="154"/>
      <c r="E51" s="155"/>
      <c r="F51" s="169"/>
      <c r="G51" s="228"/>
      <c r="H51" s="221"/>
      <c r="I51" s="159"/>
      <c r="K51" s="152"/>
      <c r="L51" s="153" t="s">
        <v>108</v>
      </c>
      <c r="M51" s="154" t="s">
        <v>313</v>
      </c>
      <c r="N51" s="155"/>
      <c r="O51" s="169" t="s">
        <v>201</v>
      </c>
      <c r="P51" s="160">
        <v>0.40311744154797097</v>
      </c>
      <c r="Q51" s="158">
        <f>'UPAH &amp; BAHAN'!$R$30</f>
        <v>78900</v>
      </c>
      <c r="R51" s="159">
        <f t="shared" ref="R51:R54" si="4">SUM(P51*Q51)</f>
        <v>31805.966138134911</v>
      </c>
    </row>
    <row r="52" spans="2:18" ht="20.100000000000001" customHeight="1" x14ac:dyDescent="0.3">
      <c r="B52" s="152"/>
      <c r="C52" s="153"/>
      <c r="D52" s="245"/>
      <c r="E52" s="155"/>
      <c r="F52" s="169"/>
      <c r="G52" s="228"/>
      <c r="H52" s="221"/>
      <c r="I52" s="159"/>
      <c r="K52" s="152"/>
      <c r="L52" s="153" t="s">
        <v>108</v>
      </c>
      <c r="M52" s="154" t="s">
        <v>211</v>
      </c>
      <c r="N52" s="155"/>
      <c r="O52" s="169" t="s">
        <v>72</v>
      </c>
      <c r="P52" s="160">
        <v>0.11</v>
      </c>
      <c r="Q52" s="158">
        <f>'UPAH &amp; BAHAN'!$R$36</f>
        <v>64225</v>
      </c>
      <c r="R52" s="159">
        <f t="shared" si="4"/>
        <v>7064.75</v>
      </c>
    </row>
    <row r="53" spans="2:18" ht="20.100000000000001" customHeight="1" x14ac:dyDescent="0.3">
      <c r="B53" s="161"/>
      <c r="C53" s="162"/>
      <c r="D53" s="163"/>
      <c r="E53" s="170"/>
      <c r="F53" s="148"/>
      <c r="G53" s="230"/>
      <c r="H53" s="225"/>
      <c r="I53" s="166"/>
      <c r="K53" s="152"/>
      <c r="L53" s="153" t="s">
        <v>108</v>
      </c>
      <c r="M53" s="154" t="s">
        <v>212</v>
      </c>
      <c r="N53" s="155"/>
      <c r="O53" s="169" t="s">
        <v>74</v>
      </c>
      <c r="P53" s="160">
        <v>0.02</v>
      </c>
      <c r="Q53" s="158">
        <f>'UPAH &amp; BAHAN'!$R$37</f>
        <v>15000</v>
      </c>
      <c r="R53" s="159">
        <f t="shared" si="4"/>
        <v>300</v>
      </c>
    </row>
    <row r="54" spans="2:18" ht="20.100000000000001" customHeight="1" x14ac:dyDescent="0.3">
      <c r="B54" s="144"/>
      <c r="C54" s="145"/>
      <c r="D54" s="146"/>
      <c r="E54" s="147"/>
      <c r="F54" s="148"/>
      <c r="G54" s="230"/>
      <c r="H54" s="231"/>
      <c r="I54" s="151"/>
      <c r="K54" s="152"/>
      <c r="L54" s="153" t="s">
        <v>108</v>
      </c>
      <c r="M54" s="154" t="s">
        <v>314</v>
      </c>
      <c r="N54" s="155"/>
      <c r="O54" s="169" t="s">
        <v>72</v>
      </c>
      <c r="P54" s="160">
        <v>0.19</v>
      </c>
      <c r="Q54" s="158">
        <f>'UPAH &amp; BAHAN'!$T$38</f>
        <v>3620</v>
      </c>
      <c r="R54" s="159">
        <f t="shared" si="4"/>
        <v>687.8</v>
      </c>
    </row>
    <row r="55" spans="2:18" ht="20.100000000000001" customHeight="1" x14ac:dyDescent="0.3">
      <c r="B55" s="152"/>
      <c r="C55" s="153"/>
      <c r="D55" s="154"/>
      <c r="E55" s="155"/>
      <c r="F55" s="172"/>
      <c r="G55" s="232"/>
      <c r="H55" s="221"/>
      <c r="I55" s="159"/>
      <c r="K55" s="152"/>
      <c r="L55" s="153"/>
      <c r="M55" s="154"/>
      <c r="N55" s="155"/>
      <c r="O55" s="195"/>
      <c r="P55" s="160"/>
      <c r="Q55" s="158"/>
      <c r="R55" s="159"/>
    </row>
    <row r="56" spans="2:18" ht="20.100000000000001" customHeight="1" x14ac:dyDescent="0.3">
      <c r="B56" s="152"/>
      <c r="C56" s="153"/>
      <c r="D56" s="154"/>
      <c r="E56" s="155"/>
      <c r="F56" s="172"/>
      <c r="G56" s="232"/>
      <c r="H56" s="221"/>
      <c r="I56" s="159"/>
      <c r="K56" s="161"/>
      <c r="L56" s="162"/>
      <c r="M56" s="163"/>
      <c r="N56" s="170"/>
      <c r="O56" s="148"/>
      <c r="P56" s="171"/>
      <c r="Q56" s="165" t="s">
        <v>118</v>
      </c>
      <c r="R56" s="166">
        <f>SUM(R49:R55)</f>
        <v>181216.5161381349</v>
      </c>
    </row>
    <row r="57" spans="2:18" ht="20.100000000000001" customHeight="1" x14ac:dyDescent="0.3">
      <c r="B57" s="161"/>
      <c r="C57" s="162"/>
      <c r="D57" s="163"/>
      <c r="E57" s="170"/>
      <c r="F57" s="148"/>
      <c r="G57" s="230"/>
      <c r="H57" s="225"/>
      <c r="I57" s="166"/>
      <c r="K57" s="144" t="s">
        <v>32</v>
      </c>
      <c r="L57" s="145" t="s">
        <v>119</v>
      </c>
      <c r="M57" s="146"/>
      <c r="N57" s="147"/>
      <c r="O57" s="148"/>
      <c r="P57" s="171"/>
      <c r="Q57" s="168"/>
      <c r="R57" s="151"/>
    </row>
    <row r="58" spans="2:18" ht="20.100000000000001" customHeight="1" x14ac:dyDescent="0.3">
      <c r="B58" s="175"/>
      <c r="C58" s="153"/>
      <c r="D58" s="58"/>
      <c r="E58" s="176"/>
      <c r="F58" s="177"/>
      <c r="G58" s="178"/>
      <c r="H58" s="233"/>
      <c r="I58" s="180"/>
      <c r="K58" s="152"/>
      <c r="L58" s="153"/>
      <c r="M58" s="154"/>
      <c r="N58" s="155"/>
      <c r="O58" s="156"/>
      <c r="P58" s="255"/>
      <c r="Q58" s="158"/>
      <c r="R58" s="159">
        <f>SUM(P58*Q58)</f>
        <v>0</v>
      </c>
    </row>
    <row r="59" spans="2:18" ht="20.100000000000001" customHeight="1" x14ac:dyDescent="0.3">
      <c r="B59" s="181"/>
      <c r="C59" s="153"/>
      <c r="D59" s="58"/>
      <c r="E59" s="155"/>
      <c r="F59" s="60"/>
      <c r="G59" s="182"/>
      <c r="H59" s="183"/>
      <c r="I59" s="159"/>
      <c r="K59" s="152"/>
      <c r="L59" s="153"/>
      <c r="M59" s="154"/>
      <c r="N59" s="155"/>
      <c r="O59" s="172"/>
      <c r="P59" s="173"/>
      <c r="Q59" s="158"/>
      <c r="R59" s="159"/>
    </row>
    <row r="60" spans="2:18" ht="20.100000000000001" customHeight="1" x14ac:dyDescent="0.3">
      <c r="B60" s="181"/>
      <c r="C60" s="153"/>
      <c r="D60" s="58"/>
      <c r="E60" s="155"/>
      <c r="F60" s="60"/>
      <c r="G60" s="184"/>
      <c r="H60" s="183"/>
      <c r="I60" s="185"/>
      <c r="K60" s="161"/>
      <c r="L60" s="162"/>
      <c r="M60" s="163"/>
      <c r="N60" s="170"/>
      <c r="O60" s="148"/>
      <c r="P60" s="174"/>
      <c r="Q60" s="165" t="s">
        <v>120</v>
      </c>
      <c r="R60" s="166">
        <f>SUM(R58:R59)</f>
        <v>0</v>
      </c>
    </row>
    <row r="61" spans="2:18" ht="20.100000000000001" customHeight="1" x14ac:dyDescent="0.3">
      <c r="B61" s="181"/>
      <c r="C61" s="153"/>
      <c r="D61" s="58"/>
      <c r="E61" s="155"/>
      <c r="F61" s="60"/>
      <c r="G61" s="184"/>
      <c r="H61" s="183"/>
      <c r="I61" s="159"/>
      <c r="K61" s="175"/>
      <c r="L61" s="153"/>
      <c r="M61" s="58"/>
      <c r="N61" s="176"/>
      <c r="O61" s="177"/>
      <c r="P61" s="178"/>
      <c r="Q61" s="179"/>
      <c r="R61" s="180"/>
    </row>
    <row r="62" spans="2:18" ht="20.100000000000001" customHeight="1" x14ac:dyDescent="0.3">
      <c r="B62" s="186"/>
      <c r="C62" s="187"/>
      <c r="D62" s="239"/>
      <c r="E62" s="189"/>
      <c r="F62" s="190"/>
      <c r="G62" s="191"/>
      <c r="H62" s="192"/>
      <c r="I62" s="193"/>
      <c r="K62" s="181" t="s">
        <v>44</v>
      </c>
      <c r="L62" s="153" t="s">
        <v>121</v>
      </c>
      <c r="M62" s="58"/>
      <c r="N62" s="234" t="s">
        <v>307</v>
      </c>
      <c r="O62" s="60"/>
      <c r="P62" s="182"/>
      <c r="Q62" s="183"/>
      <c r="R62" s="159">
        <f>SUM(R47+R56+R60)</f>
        <v>259427.5161381349</v>
      </c>
    </row>
    <row r="63" spans="2:18" ht="20.100000000000001" customHeight="1" x14ac:dyDescent="0.3">
      <c r="K63" s="181" t="s">
        <v>68</v>
      </c>
      <c r="L63" s="153" t="s">
        <v>122</v>
      </c>
      <c r="M63" s="58"/>
      <c r="N63" s="234" t="s">
        <v>307</v>
      </c>
      <c r="O63" s="60"/>
      <c r="P63" s="184"/>
      <c r="Q63" s="183"/>
      <c r="R63" s="185">
        <f>SUM(R62*15/100)</f>
        <v>38914.127420720237</v>
      </c>
    </row>
    <row r="64" spans="2:18" ht="20.100000000000001" customHeight="1" x14ac:dyDescent="0.3">
      <c r="K64" s="181" t="s">
        <v>123</v>
      </c>
      <c r="L64" s="153" t="s">
        <v>124</v>
      </c>
      <c r="M64" s="58"/>
      <c r="N64" s="234" t="s">
        <v>307</v>
      </c>
      <c r="O64" s="60"/>
      <c r="P64" s="184"/>
      <c r="Q64" s="183"/>
      <c r="R64" s="159">
        <f>SUM(R62:R63)</f>
        <v>298341.64355885517</v>
      </c>
    </row>
    <row r="65" spans="2:27" ht="20.100000000000001" customHeight="1" x14ac:dyDescent="0.3">
      <c r="K65" s="186"/>
      <c r="L65" s="187" t="s">
        <v>12</v>
      </c>
      <c r="M65" s="188"/>
      <c r="N65" s="320" t="s">
        <v>308</v>
      </c>
      <c r="O65" s="190"/>
      <c r="P65" s="191"/>
      <c r="Q65" s="192"/>
      <c r="R65" s="193">
        <f>ROUND(R64,0)</f>
        <v>298342</v>
      </c>
    </row>
    <row r="69" spans="2:27" ht="20.100000000000001" customHeight="1" x14ac:dyDescent="0.3">
      <c r="B69" s="373" t="s">
        <v>109</v>
      </c>
      <c r="C69" s="374"/>
      <c r="D69" s="374"/>
      <c r="E69" s="374"/>
      <c r="F69" s="374"/>
      <c r="G69" s="375"/>
      <c r="H69" s="202" t="s">
        <v>290</v>
      </c>
      <c r="I69" s="203"/>
      <c r="K69" s="373" t="s">
        <v>109</v>
      </c>
      <c r="L69" s="374"/>
      <c r="M69" s="374"/>
      <c r="N69" s="374"/>
      <c r="O69" s="374"/>
      <c r="P69" s="375"/>
      <c r="Q69" s="202" t="s">
        <v>207</v>
      </c>
      <c r="R69" s="256"/>
      <c r="T69" s="373" t="s">
        <v>109</v>
      </c>
      <c r="U69" s="374"/>
      <c r="V69" s="374"/>
      <c r="W69" s="374"/>
      <c r="X69" s="374"/>
      <c r="Y69" s="375"/>
      <c r="Z69" s="202" t="s">
        <v>294</v>
      </c>
      <c r="AA69" s="256"/>
    </row>
    <row r="70" spans="2:27" ht="20.100000000000001" customHeight="1" x14ac:dyDescent="0.3">
      <c r="B70" s="370" t="s">
        <v>202</v>
      </c>
      <c r="C70" s="371"/>
      <c r="D70" s="371"/>
      <c r="E70" s="371"/>
      <c r="F70" s="371"/>
      <c r="G70" s="372"/>
      <c r="H70" s="119" t="s">
        <v>136</v>
      </c>
      <c r="I70" s="204"/>
      <c r="K70" s="367"/>
      <c r="L70" s="378"/>
      <c r="M70" s="378"/>
      <c r="N70" s="378"/>
      <c r="O70" s="378"/>
      <c r="P70" s="369"/>
      <c r="Q70" s="119" t="s">
        <v>136</v>
      </c>
      <c r="R70" s="120"/>
      <c r="T70" s="367"/>
      <c r="U70" s="378"/>
      <c r="V70" s="378"/>
      <c r="W70" s="378"/>
      <c r="X70" s="378"/>
      <c r="Y70" s="369"/>
      <c r="Z70" s="119" t="s">
        <v>136</v>
      </c>
      <c r="AA70" s="120"/>
    </row>
    <row r="71" spans="2:27" ht="20.100000000000001" customHeight="1" x14ac:dyDescent="0.3">
      <c r="B71" s="367" t="s">
        <v>203</v>
      </c>
      <c r="C71" s="378"/>
      <c r="D71" s="378"/>
      <c r="E71" s="378"/>
      <c r="F71" s="378"/>
      <c r="G71" s="369"/>
      <c r="H71" s="119" t="s">
        <v>110</v>
      </c>
      <c r="I71" s="154"/>
      <c r="K71" s="367" t="s">
        <v>208</v>
      </c>
      <c r="L71" s="378"/>
      <c r="M71" s="378"/>
      <c r="N71" s="378"/>
      <c r="O71" s="378"/>
      <c r="P71" s="369"/>
      <c r="Q71" s="119" t="s">
        <v>110</v>
      </c>
      <c r="R71" s="154"/>
      <c r="T71" s="367" t="s">
        <v>208</v>
      </c>
      <c r="U71" s="378"/>
      <c r="V71" s="378"/>
      <c r="W71" s="378"/>
      <c r="X71" s="378"/>
      <c r="Y71" s="369"/>
      <c r="Z71" s="119" t="s">
        <v>110</v>
      </c>
      <c r="AA71" s="154"/>
    </row>
    <row r="72" spans="2:27" ht="20.100000000000001" customHeight="1" x14ac:dyDescent="0.3">
      <c r="B72" s="116"/>
      <c r="C72" s="117"/>
      <c r="D72" s="117"/>
      <c r="E72" s="117"/>
      <c r="F72" s="117"/>
      <c r="G72" s="117"/>
      <c r="H72" s="119"/>
      <c r="I72" s="154"/>
      <c r="K72" s="116"/>
      <c r="L72" s="117"/>
      <c r="M72" s="117"/>
      <c r="N72" s="117"/>
      <c r="O72" s="117"/>
      <c r="P72" s="117"/>
      <c r="Q72" s="119"/>
      <c r="R72" s="154"/>
      <c r="T72" s="367" t="s">
        <v>214</v>
      </c>
      <c r="U72" s="378"/>
      <c r="V72" s="378"/>
      <c r="W72" s="378"/>
      <c r="X72" s="378"/>
      <c r="Y72" s="369"/>
      <c r="Z72" s="119"/>
      <c r="AA72" s="154"/>
    </row>
    <row r="73" spans="2:27" ht="20.100000000000001" customHeight="1" x14ac:dyDescent="0.3">
      <c r="B73" s="121"/>
      <c r="C73" s="122"/>
      <c r="D73" s="122"/>
      <c r="E73" s="123"/>
      <c r="F73" s="124"/>
      <c r="G73" s="125"/>
      <c r="H73" s="162"/>
      <c r="I73" s="205"/>
      <c r="K73" s="121"/>
      <c r="L73" s="122"/>
      <c r="M73" s="122"/>
      <c r="N73" s="123"/>
      <c r="O73" s="124"/>
      <c r="P73" s="125"/>
      <c r="Q73" s="126"/>
      <c r="R73" s="127"/>
      <c r="T73" s="379"/>
      <c r="U73" s="380"/>
      <c r="V73" s="380"/>
      <c r="W73" s="380"/>
      <c r="X73" s="380"/>
      <c r="Y73" s="381"/>
      <c r="Z73" s="126"/>
      <c r="AA73" s="127"/>
    </row>
    <row r="74" spans="2:27" ht="20.100000000000001" customHeight="1" x14ac:dyDescent="0.3">
      <c r="B74" s="206"/>
      <c r="C74" s="207"/>
      <c r="D74" s="208"/>
      <c r="E74" s="209"/>
      <c r="F74" s="210"/>
      <c r="G74" s="211"/>
      <c r="H74" s="210" t="s">
        <v>9</v>
      </c>
      <c r="I74" s="212" t="s">
        <v>0</v>
      </c>
      <c r="K74" s="206"/>
      <c r="L74" s="207"/>
      <c r="M74" s="208"/>
      <c r="N74" s="209"/>
      <c r="O74" s="210"/>
      <c r="P74" s="211"/>
      <c r="Q74" s="210" t="s">
        <v>9</v>
      </c>
      <c r="R74" s="212" t="s">
        <v>0</v>
      </c>
      <c r="T74" s="206"/>
      <c r="U74" s="207"/>
      <c r="V74" s="208"/>
      <c r="W74" s="209"/>
      <c r="X74" s="210"/>
      <c r="Y74" s="211"/>
      <c r="Z74" s="210" t="s">
        <v>9</v>
      </c>
      <c r="AA74" s="212" t="s">
        <v>0</v>
      </c>
    </row>
    <row r="75" spans="2:27" ht="20.100000000000001" customHeight="1" x14ac:dyDescent="0.3">
      <c r="B75" s="156" t="s">
        <v>10</v>
      </c>
      <c r="C75" s="365" t="s">
        <v>111</v>
      </c>
      <c r="D75" s="366"/>
      <c r="E75" s="213" t="s">
        <v>112</v>
      </c>
      <c r="F75" s="156" t="s">
        <v>2</v>
      </c>
      <c r="G75" s="61" t="s">
        <v>113</v>
      </c>
      <c r="H75" s="156" t="s">
        <v>2</v>
      </c>
      <c r="I75" s="214" t="s">
        <v>9</v>
      </c>
      <c r="K75" s="156" t="s">
        <v>10</v>
      </c>
      <c r="L75" s="365" t="s">
        <v>111</v>
      </c>
      <c r="M75" s="366"/>
      <c r="N75" s="213" t="s">
        <v>112</v>
      </c>
      <c r="O75" s="156" t="s">
        <v>2</v>
      </c>
      <c r="P75" s="61" t="s">
        <v>113</v>
      </c>
      <c r="Q75" s="156" t="s">
        <v>2</v>
      </c>
      <c r="R75" s="214" t="s">
        <v>9</v>
      </c>
      <c r="T75" s="156" t="s">
        <v>10</v>
      </c>
      <c r="U75" s="365" t="s">
        <v>111</v>
      </c>
      <c r="V75" s="366"/>
      <c r="W75" s="213" t="s">
        <v>112</v>
      </c>
      <c r="X75" s="156" t="s">
        <v>2</v>
      </c>
      <c r="Y75" s="61" t="s">
        <v>113</v>
      </c>
      <c r="Z75" s="156" t="s">
        <v>2</v>
      </c>
      <c r="AA75" s="214" t="s">
        <v>9</v>
      </c>
    </row>
    <row r="76" spans="2:27" ht="20.100000000000001" customHeight="1" x14ac:dyDescent="0.3">
      <c r="B76" s="215"/>
      <c r="C76" s="162"/>
      <c r="D76" s="163"/>
      <c r="E76" s="216"/>
      <c r="F76" s="217"/>
      <c r="G76" s="218"/>
      <c r="H76" s="217" t="s">
        <v>4</v>
      </c>
      <c r="I76" s="219" t="s">
        <v>4</v>
      </c>
      <c r="K76" s="215"/>
      <c r="L76" s="162"/>
      <c r="M76" s="163"/>
      <c r="N76" s="216"/>
      <c r="O76" s="217"/>
      <c r="P76" s="218"/>
      <c r="Q76" s="217" t="s">
        <v>4</v>
      </c>
      <c r="R76" s="219" t="s">
        <v>4</v>
      </c>
      <c r="T76" s="215"/>
      <c r="U76" s="162"/>
      <c r="V76" s="163"/>
      <c r="W76" s="216"/>
      <c r="X76" s="217"/>
      <c r="Y76" s="218"/>
      <c r="Z76" s="217" t="s">
        <v>4</v>
      </c>
      <c r="AA76" s="219" t="s">
        <v>4</v>
      </c>
    </row>
    <row r="77" spans="2:27" ht="20.100000000000001" customHeight="1" x14ac:dyDescent="0.3">
      <c r="B77" s="144" t="s">
        <v>30</v>
      </c>
      <c r="C77" s="145" t="s">
        <v>114</v>
      </c>
      <c r="D77" s="146"/>
      <c r="E77" s="147"/>
      <c r="F77" s="148"/>
      <c r="G77" s="149"/>
      <c r="H77" s="150"/>
      <c r="I77" s="151"/>
      <c r="K77" s="144" t="s">
        <v>30</v>
      </c>
      <c r="L77" s="145" t="s">
        <v>114</v>
      </c>
      <c r="M77" s="146"/>
      <c r="N77" s="147"/>
      <c r="O77" s="148"/>
      <c r="P77" s="149"/>
      <c r="Q77" s="150"/>
      <c r="R77" s="151"/>
      <c r="T77" s="144" t="s">
        <v>30</v>
      </c>
      <c r="U77" s="145" t="s">
        <v>114</v>
      </c>
      <c r="V77" s="146"/>
      <c r="W77" s="147"/>
      <c r="X77" s="148"/>
      <c r="Y77" s="149"/>
      <c r="Z77" s="150"/>
      <c r="AA77" s="151"/>
    </row>
    <row r="78" spans="2:27" ht="20.100000000000001" customHeight="1" x14ac:dyDescent="0.3">
      <c r="B78" s="152"/>
      <c r="C78" s="153" t="s">
        <v>108</v>
      </c>
      <c r="D78" s="154" t="s">
        <v>81</v>
      </c>
      <c r="E78" s="155"/>
      <c r="F78" s="156" t="s">
        <v>115</v>
      </c>
      <c r="G78" s="244">
        <v>0.35</v>
      </c>
      <c r="H78" s="221">
        <f>'UPAH &amp; BAHAN'!H11</f>
        <v>110000</v>
      </c>
      <c r="I78" s="159">
        <f>SUM(G78*H78)</f>
        <v>38500</v>
      </c>
      <c r="K78" s="152"/>
      <c r="L78" s="153" t="s">
        <v>108</v>
      </c>
      <c r="M78" s="154" t="s">
        <v>81</v>
      </c>
      <c r="N78" s="155"/>
      <c r="O78" s="156" t="s">
        <v>115</v>
      </c>
      <c r="P78" s="244">
        <v>0.1</v>
      </c>
      <c r="Q78" s="221">
        <f t="shared" ref="Q78:Q81" si="5">H78</f>
        <v>110000</v>
      </c>
      <c r="R78" s="159">
        <f>SUM(P78*Q78)</f>
        <v>11000</v>
      </c>
      <c r="T78" s="152"/>
      <c r="U78" s="153" t="s">
        <v>108</v>
      </c>
      <c r="V78" s="154" t="s">
        <v>81</v>
      </c>
      <c r="W78" s="155"/>
      <c r="X78" s="156" t="s">
        <v>115</v>
      </c>
      <c r="Y78" s="244">
        <v>0.35</v>
      </c>
      <c r="Z78" s="221">
        <f t="shared" ref="Z78:Z81" si="6">Q78</f>
        <v>110000</v>
      </c>
      <c r="AA78" s="159">
        <f>SUM(Y78*Z78)</f>
        <v>38500</v>
      </c>
    </row>
    <row r="79" spans="2:27" ht="20.100000000000001" customHeight="1" x14ac:dyDescent="0.3">
      <c r="B79" s="152"/>
      <c r="C79" s="153" t="s">
        <v>108</v>
      </c>
      <c r="D79" s="154" t="s">
        <v>89</v>
      </c>
      <c r="E79" s="155"/>
      <c r="F79" s="156" t="s">
        <v>115</v>
      </c>
      <c r="G79" s="244">
        <v>0.35</v>
      </c>
      <c r="H79" s="221">
        <f>'UPAH &amp; BAHAN'!H17</f>
        <v>170400</v>
      </c>
      <c r="I79" s="159">
        <f>SUM(G79*H79)</f>
        <v>59639.999999999993</v>
      </c>
      <c r="K79" s="152"/>
      <c r="L79" s="153" t="s">
        <v>108</v>
      </c>
      <c r="M79" s="154" t="s">
        <v>209</v>
      </c>
      <c r="N79" s="155"/>
      <c r="O79" s="156" t="s">
        <v>115</v>
      </c>
      <c r="P79" s="223">
        <v>0.05</v>
      </c>
      <c r="Q79" s="221">
        <f t="shared" si="5"/>
        <v>170400</v>
      </c>
      <c r="R79" s="159">
        <f>SUM(P79*Q79)</f>
        <v>8520</v>
      </c>
      <c r="T79" s="152"/>
      <c r="U79" s="153" t="s">
        <v>108</v>
      </c>
      <c r="V79" s="154" t="s">
        <v>209</v>
      </c>
      <c r="W79" s="155"/>
      <c r="X79" s="156" t="s">
        <v>115</v>
      </c>
      <c r="Y79" s="223">
        <v>0.35</v>
      </c>
      <c r="Z79" s="221">
        <f t="shared" si="6"/>
        <v>170400</v>
      </c>
      <c r="AA79" s="159">
        <f>SUM(Y79*Z79)</f>
        <v>59639.999999999993</v>
      </c>
    </row>
    <row r="80" spans="2:27" ht="20.100000000000001" customHeight="1" x14ac:dyDescent="0.3">
      <c r="B80" s="152"/>
      <c r="C80" s="153" t="s">
        <v>108</v>
      </c>
      <c r="D80" s="154" t="s">
        <v>139</v>
      </c>
      <c r="E80" s="155"/>
      <c r="F80" s="156" t="s">
        <v>115</v>
      </c>
      <c r="G80" s="244">
        <v>3.5000000000000003E-2</v>
      </c>
      <c r="H80" s="221">
        <f>'UPAH &amp; BAHAN'!H24</f>
        <v>218100</v>
      </c>
      <c r="I80" s="159">
        <f>SUM(G80*H80)</f>
        <v>7633.5000000000009</v>
      </c>
      <c r="K80" s="152"/>
      <c r="L80" s="153" t="s">
        <v>108</v>
      </c>
      <c r="M80" s="154" t="s">
        <v>95</v>
      </c>
      <c r="N80" s="155"/>
      <c r="O80" s="156" t="s">
        <v>115</v>
      </c>
      <c r="P80" s="223">
        <v>5.0000000000000001E-3</v>
      </c>
      <c r="Q80" s="221">
        <f t="shared" si="5"/>
        <v>218100</v>
      </c>
      <c r="R80" s="159">
        <f>SUM(P80*Q80)</f>
        <v>1090.5</v>
      </c>
      <c r="T80" s="152"/>
      <c r="U80" s="153" t="s">
        <v>108</v>
      </c>
      <c r="V80" s="154" t="s">
        <v>95</v>
      </c>
      <c r="W80" s="155"/>
      <c r="X80" s="156" t="s">
        <v>115</v>
      </c>
      <c r="Y80" s="223">
        <v>3.5000000000000003E-2</v>
      </c>
      <c r="Z80" s="221">
        <f t="shared" si="6"/>
        <v>218100</v>
      </c>
      <c r="AA80" s="159">
        <f>SUM(Y80*Z80)</f>
        <v>7633.5000000000009</v>
      </c>
    </row>
    <row r="81" spans="2:27" ht="20.100000000000001" customHeight="1" x14ac:dyDescent="0.3">
      <c r="B81" s="152"/>
      <c r="C81" s="153" t="s">
        <v>108</v>
      </c>
      <c r="D81" s="154" t="s">
        <v>96</v>
      </c>
      <c r="E81" s="155"/>
      <c r="F81" s="156" t="s">
        <v>115</v>
      </c>
      <c r="G81" s="223">
        <v>1.7999999999999999E-2</v>
      </c>
      <c r="H81" s="221">
        <f>'UPAH &amp; BAHAN'!H25</f>
        <v>204500</v>
      </c>
      <c r="I81" s="159">
        <f>SUM(G81*H81)</f>
        <v>3680.9999999999995</v>
      </c>
      <c r="K81" s="152"/>
      <c r="L81" s="153" t="s">
        <v>108</v>
      </c>
      <c r="M81" s="154" t="s">
        <v>96</v>
      </c>
      <c r="N81" s="155"/>
      <c r="O81" s="156" t="s">
        <v>115</v>
      </c>
      <c r="P81" s="223">
        <v>5.0000000000000001E-3</v>
      </c>
      <c r="Q81" s="221">
        <f t="shared" si="5"/>
        <v>204500</v>
      </c>
      <c r="R81" s="159">
        <f>SUM(P81*Q81)</f>
        <v>1022.5</v>
      </c>
      <c r="T81" s="152"/>
      <c r="U81" s="153" t="s">
        <v>108</v>
      </c>
      <c r="V81" s="154" t="s">
        <v>96</v>
      </c>
      <c r="W81" s="155"/>
      <c r="X81" s="156" t="s">
        <v>115</v>
      </c>
      <c r="Y81" s="223">
        <v>1.7999999999999999E-2</v>
      </c>
      <c r="Z81" s="221">
        <f t="shared" si="6"/>
        <v>204500</v>
      </c>
      <c r="AA81" s="159">
        <f>SUM(Y81*Z81)</f>
        <v>3680.9999999999995</v>
      </c>
    </row>
    <row r="82" spans="2:27" ht="20.100000000000001" customHeight="1" x14ac:dyDescent="0.3">
      <c r="B82" s="161"/>
      <c r="C82" s="162"/>
      <c r="D82" s="163"/>
      <c r="E82" s="147"/>
      <c r="F82" s="148"/>
      <c r="G82" s="224"/>
      <c r="H82" s="225" t="s">
        <v>116</v>
      </c>
      <c r="I82" s="166">
        <f>SUM(I78:I81)</f>
        <v>109454.5</v>
      </c>
      <c r="K82" s="161"/>
      <c r="L82" s="162"/>
      <c r="M82" s="163"/>
      <c r="N82" s="147"/>
      <c r="O82" s="148"/>
      <c r="P82" s="224"/>
      <c r="Q82" s="225" t="s">
        <v>116</v>
      </c>
      <c r="R82" s="166">
        <f>SUM(R78:R81)</f>
        <v>21633</v>
      </c>
      <c r="T82" s="161"/>
      <c r="U82" s="162"/>
      <c r="V82" s="163"/>
      <c r="W82" s="147"/>
      <c r="X82" s="148"/>
      <c r="Y82" s="224"/>
      <c r="Z82" s="225" t="s">
        <v>116</v>
      </c>
      <c r="AA82" s="166">
        <f>SUM(AA78:AA81)</f>
        <v>109454.5</v>
      </c>
    </row>
    <row r="83" spans="2:27" ht="20.100000000000001" customHeight="1" x14ac:dyDescent="0.3">
      <c r="B83" s="144" t="s">
        <v>31</v>
      </c>
      <c r="C83" s="145" t="s">
        <v>117</v>
      </c>
      <c r="D83" s="226"/>
      <c r="E83" s="147"/>
      <c r="F83" s="167"/>
      <c r="G83" s="224"/>
      <c r="H83" s="227"/>
      <c r="I83" s="151"/>
      <c r="K83" s="144" t="s">
        <v>31</v>
      </c>
      <c r="L83" s="145" t="s">
        <v>117</v>
      </c>
      <c r="M83" s="146"/>
      <c r="N83" s="147"/>
      <c r="O83" s="167"/>
      <c r="P83" s="224"/>
      <c r="Q83" s="227"/>
      <c r="R83" s="151"/>
      <c r="T83" s="144" t="s">
        <v>31</v>
      </c>
      <c r="U83" s="145" t="s">
        <v>117</v>
      </c>
      <c r="V83" s="146"/>
      <c r="W83" s="147"/>
      <c r="X83" s="167"/>
      <c r="Y83" s="224"/>
      <c r="Z83" s="227"/>
      <c r="AA83" s="151"/>
    </row>
    <row r="84" spans="2:27" ht="20.100000000000001" customHeight="1" x14ac:dyDescent="0.3">
      <c r="B84" s="152"/>
      <c r="C84" s="119" t="s">
        <v>108</v>
      </c>
      <c r="D84" s="154" t="s">
        <v>204</v>
      </c>
      <c r="E84" s="155"/>
      <c r="F84" s="169" t="s">
        <v>151</v>
      </c>
      <c r="G84" s="229">
        <v>4</v>
      </c>
      <c r="H84" s="221">
        <f>'UPAH &amp; BAHAN'!$R$33</f>
        <v>7375</v>
      </c>
      <c r="I84" s="159">
        <f>SUM(G84*H84)</f>
        <v>29500</v>
      </c>
      <c r="K84" s="152"/>
      <c r="L84" s="153" t="s">
        <v>108</v>
      </c>
      <c r="M84" s="154" t="s">
        <v>210</v>
      </c>
      <c r="N84" s="155"/>
      <c r="O84" s="195" t="s">
        <v>201</v>
      </c>
      <c r="P84" s="228">
        <v>0.36399999999999999</v>
      </c>
      <c r="Q84" s="221">
        <f>'UPAH &amp; BAHAN'!R35</f>
        <v>88000</v>
      </c>
      <c r="R84" s="159">
        <f>SUM(P84*Q84)</f>
        <v>32032</v>
      </c>
      <c r="T84" s="152"/>
      <c r="U84" s="153" t="s">
        <v>108</v>
      </c>
      <c r="V84" s="154" t="s">
        <v>210</v>
      </c>
      <c r="W84" s="155"/>
      <c r="X84" s="195" t="s">
        <v>201</v>
      </c>
      <c r="Y84" s="228">
        <v>0.36399999999999999</v>
      </c>
      <c r="Z84" s="221">
        <f>Q84</f>
        <v>88000</v>
      </c>
      <c r="AA84" s="159">
        <f>SUM(Y84*Z84)</f>
        <v>32032</v>
      </c>
    </row>
    <row r="85" spans="2:27" ht="20.100000000000001" customHeight="1" x14ac:dyDescent="0.3">
      <c r="B85" s="152"/>
      <c r="C85" s="119" t="s">
        <v>108</v>
      </c>
      <c r="D85" s="245" t="s">
        <v>205</v>
      </c>
      <c r="E85" s="155"/>
      <c r="F85" s="169" t="s">
        <v>11</v>
      </c>
      <c r="G85" s="229">
        <v>1</v>
      </c>
      <c r="H85" s="221">
        <v>25000</v>
      </c>
      <c r="I85" s="159">
        <f>SUM(G85*H85)</f>
        <v>25000</v>
      </c>
      <c r="K85" s="152"/>
      <c r="L85" s="153" t="s">
        <v>108</v>
      </c>
      <c r="M85" s="154" t="s">
        <v>211</v>
      </c>
      <c r="N85" s="155"/>
      <c r="O85" s="195" t="s">
        <v>72</v>
      </c>
      <c r="P85" s="228">
        <v>0.11</v>
      </c>
      <c r="Q85" s="221">
        <f>'UPAH &amp; BAHAN'!R36</f>
        <v>64225</v>
      </c>
      <c r="R85" s="159">
        <f t="shared" ref="R85:R86" si="7">SUM(P85*Q85)</f>
        <v>7064.75</v>
      </c>
      <c r="T85" s="152"/>
      <c r="U85" s="153" t="s">
        <v>108</v>
      </c>
      <c r="V85" s="154" t="s">
        <v>211</v>
      </c>
      <c r="W85" s="155"/>
      <c r="X85" s="195" t="s">
        <v>72</v>
      </c>
      <c r="Y85" s="228">
        <v>0.11</v>
      </c>
      <c r="Z85" s="221">
        <f>Q85</f>
        <v>64225</v>
      </c>
      <c r="AA85" s="159">
        <f t="shared" ref="AA85:AA86" si="8">SUM(Y85*Z85)</f>
        <v>7064.75</v>
      </c>
    </row>
    <row r="86" spans="2:27" ht="20.100000000000001" customHeight="1" x14ac:dyDescent="0.3">
      <c r="B86" s="152"/>
      <c r="C86" s="119"/>
      <c r="D86" s="245" t="s">
        <v>206</v>
      </c>
      <c r="E86" s="155"/>
      <c r="F86" s="169"/>
      <c r="G86" s="229"/>
      <c r="H86" s="221"/>
      <c r="I86" s="159"/>
      <c r="K86" s="152"/>
      <c r="L86" s="153" t="s">
        <v>108</v>
      </c>
      <c r="M86" s="154" t="s">
        <v>212</v>
      </c>
      <c r="N86" s="155"/>
      <c r="O86" s="195" t="s">
        <v>74</v>
      </c>
      <c r="P86" s="229">
        <v>0.02</v>
      </c>
      <c r="Q86" s="221">
        <f>'UPAH &amp; BAHAN'!R37</f>
        <v>15000</v>
      </c>
      <c r="R86" s="159">
        <f t="shared" si="7"/>
        <v>300</v>
      </c>
      <c r="T86" s="152"/>
      <c r="U86" s="153" t="s">
        <v>108</v>
      </c>
      <c r="V86" s="154" t="s">
        <v>212</v>
      </c>
      <c r="W86" s="155"/>
      <c r="X86" s="195" t="s">
        <v>74</v>
      </c>
      <c r="Y86" s="229">
        <v>0.02</v>
      </c>
      <c r="Z86" s="221">
        <f t="shared" ref="Z86:Z87" si="9">Q86</f>
        <v>15000</v>
      </c>
      <c r="AA86" s="159">
        <f t="shared" si="8"/>
        <v>300</v>
      </c>
    </row>
    <row r="87" spans="2:27" ht="20.100000000000001" customHeight="1" x14ac:dyDescent="0.3">
      <c r="B87" s="161"/>
      <c r="C87" s="162"/>
      <c r="D87" s="163"/>
      <c r="E87" s="170"/>
      <c r="F87" s="148"/>
      <c r="G87" s="230"/>
      <c r="H87" s="225" t="s">
        <v>118</v>
      </c>
      <c r="I87" s="166">
        <f>SUM(I84:I86)</f>
        <v>54500</v>
      </c>
      <c r="K87" s="152"/>
      <c r="L87" s="153" t="s">
        <v>108</v>
      </c>
      <c r="M87" s="154" t="s">
        <v>213</v>
      </c>
      <c r="N87" s="155"/>
      <c r="O87" s="195" t="s">
        <v>72</v>
      </c>
      <c r="P87" s="264">
        <v>0.19</v>
      </c>
      <c r="Q87" s="221">
        <f>'UPAH &amp; BAHAN'!R38</f>
        <v>62400</v>
      </c>
      <c r="R87" s="159">
        <f>SUM(P87*Q87)</f>
        <v>11856</v>
      </c>
      <c r="T87" s="152"/>
      <c r="U87" s="153" t="s">
        <v>108</v>
      </c>
      <c r="V87" s="154" t="s">
        <v>213</v>
      </c>
      <c r="W87" s="155"/>
      <c r="X87" s="195" t="s">
        <v>72</v>
      </c>
      <c r="Y87" s="264">
        <v>0.19</v>
      </c>
      <c r="Z87" s="221">
        <f t="shared" si="9"/>
        <v>62400</v>
      </c>
      <c r="AA87" s="159">
        <f>SUM(Y87*Z87)</f>
        <v>11856</v>
      </c>
    </row>
    <row r="88" spans="2:27" ht="20.100000000000001" customHeight="1" x14ac:dyDescent="0.3">
      <c r="B88" s="144" t="s">
        <v>32</v>
      </c>
      <c r="C88" s="145" t="s">
        <v>119</v>
      </c>
      <c r="D88" s="226"/>
      <c r="E88" s="147"/>
      <c r="F88" s="148"/>
      <c r="G88" s="230"/>
      <c r="H88" s="231"/>
      <c r="I88" s="151"/>
      <c r="K88" s="161"/>
      <c r="L88" s="162"/>
      <c r="M88" s="163"/>
      <c r="N88" s="170"/>
      <c r="O88" s="148"/>
      <c r="P88" s="230"/>
      <c r="Q88" s="225" t="s">
        <v>118</v>
      </c>
      <c r="R88" s="166">
        <f>SUM(R84:R87)</f>
        <v>51252.75</v>
      </c>
      <c r="T88" s="161"/>
      <c r="U88" s="162"/>
      <c r="V88" s="163"/>
      <c r="W88" s="170"/>
      <c r="X88" s="148"/>
      <c r="Y88" s="230"/>
      <c r="Z88" s="225" t="s">
        <v>118</v>
      </c>
      <c r="AA88" s="166">
        <f>SUM(AA84:AA87)</f>
        <v>51252.75</v>
      </c>
    </row>
    <row r="89" spans="2:27" ht="20.100000000000001" customHeight="1" x14ac:dyDescent="0.3">
      <c r="B89" s="152"/>
      <c r="C89" s="153"/>
      <c r="D89" s="154"/>
      <c r="E89" s="155"/>
      <c r="F89" s="172"/>
      <c r="G89" s="232"/>
      <c r="H89" s="221"/>
      <c r="I89" s="159"/>
      <c r="K89" s="144" t="s">
        <v>32</v>
      </c>
      <c r="L89" s="145" t="s">
        <v>119</v>
      </c>
      <c r="M89" s="226"/>
      <c r="N89" s="147"/>
      <c r="O89" s="148"/>
      <c r="P89" s="230"/>
      <c r="Q89" s="231"/>
      <c r="R89" s="151"/>
      <c r="T89" s="144" t="s">
        <v>32</v>
      </c>
      <c r="U89" s="145" t="s">
        <v>119</v>
      </c>
      <c r="V89" s="226"/>
      <c r="W89" s="147"/>
      <c r="X89" s="148"/>
      <c r="Y89" s="230"/>
      <c r="Z89" s="231"/>
      <c r="AA89" s="151"/>
    </row>
    <row r="90" spans="2:27" ht="20.100000000000001" customHeight="1" x14ac:dyDescent="0.3">
      <c r="B90" s="152"/>
      <c r="C90" s="153"/>
      <c r="D90" s="154"/>
      <c r="E90" s="155"/>
      <c r="F90" s="172"/>
      <c r="G90" s="232"/>
      <c r="H90" s="221"/>
      <c r="I90" s="159"/>
      <c r="K90" s="152"/>
      <c r="L90" s="153"/>
      <c r="M90" s="154"/>
      <c r="N90" s="155"/>
      <c r="O90" s="172"/>
      <c r="P90" s="232"/>
      <c r="Q90" s="221"/>
      <c r="R90" s="159"/>
      <c r="T90" s="152"/>
      <c r="U90" s="153"/>
      <c r="V90" s="154"/>
      <c r="W90" s="155"/>
      <c r="X90" s="172"/>
      <c r="Y90" s="232"/>
      <c r="Z90" s="221"/>
      <c r="AA90" s="159"/>
    </row>
    <row r="91" spans="2:27" ht="20.100000000000001" customHeight="1" x14ac:dyDescent="0.3">
      <c r="B91" s="161"/>
      <c r="C91" s="162"/>
      <c r="D91" s="163"/>
      <c r="E91" s="170"/>
      <c r="F91" s="148"/>
      <c r="G91" s="230"/>
      <c r="H91" s="225" t="s">
        <v>120</v>
      </c>
      <c r="I91" s="166">
        <f>SUM(I89:I90)</f>
        <v>0</v>
      </c>
      <c r="K91" s="152"/>
      <c r="L91" s="153"/>
      <c r="M91" s="154"/>
      <c r="N91" s="155"/>
      <c r="O91" s="172"/>
      <c r="P91" s="232"/>
      <c r="Q91" s="221"/>
      <c r="R91" s="159"/>
      <c r="T91" s="152"/>
      <c r="U91" s="153"/>
      <c r="V91" s="154"/>
      <c r="W91" s="155"/>
      <c r="X91" s="172"/>
      <c r="Y91" s="232"/>
      <c r="Z91" s="221"/>
      <c r="AA91" s="159"/>
    </row>
    <row r="92" spans="2:27" ht="20.100000000000001" customHeight="1" x14ac:dyDescent="0.3">
      <c r="B92" s="175"/>
      <c r="C92" s="153"/>
      <c r="D92" s="58"/>
      <c r="E92" s="176"/>
      <c r="F92" s="177"/>
      <c r="G92" s="178"/>
      <c r="H92" s="233"/>
      <c r="I92" s="180"/>
      <c r="K92" s="161"/>
      <c r="L92" s="162"/>
      <c r="M92" s="163"/>
      <c r="N92" s="170"/>
      <c r="O92" s="148"/>
      <c r="P92" s="230"/>
      <c r="Q92" s="225" t="s">
        <v>120</v>
      </c>
      <c r="R92" s="166">
        <f>SUM(R90:R91)</f>
        <v>0</v>
      </c>
      <c r="T92" s="161"/>
      <c r="U92" s="162"/>
      <c r="V92" s="163"/>
      <c r="W92" s="170"/>
      <c r="X92" s="148"/>
      <c r="Y92" s="230"/>
      <c r="Z92" s="225" t="s">
        <v>120</v>
      </c>
      <c r="AA92" s="166">
        <f>SUM(AA90:AA91)</f>
        <v>0</v>
      </c>
    </row>
    <row r="93" spans="2:27" ht="20.100000000000001" customHeight="1" x14ac:dyDescent="0.3">
      <c r="B93" s="181" t="s">
        <v>44</v>
      </c>
      <c r="C93" s="153" t="s">
        <v>121</v>
      </c>
      <c r="D93" s="58"/>
      <c r="E93" s="234" t="s">
        <v>144</v>
      </c>
      <c r="F93" s="60"/>
      <c r="G93" s="182"/>
      <c r="H93" s="183"/>
      <c r="I93" s="159">
        <f>SUM(I82+I87+I91)</f>
        <v>163954.5</v>
      </c>
      <c r="K93" s="175"/>
      <c r="L93" s="153"/>
      <c r="M93" s="58"/>
      <c r="N93" s="176"/>
      <c r="O93" s="177"/>
      <c r="P93" s="178"/>
      <c r="Q93" s="233"/>
      <c r="R93" s="180"/>
      <c r="T93" s="175"/>
      <c r="U93" s="153"/>
      <c r="V93" s="58"/>
      <c r="W93" s="176"/>
      <c r="X93" s="177"/>
      <c r="Y93" s="178"/>
      <c r="Z93" s="233"/>
      <c r="AA93" s="180"/>
    </row>
    <row r="94" spans="2:27" ht="20.100000000000001" customHeight="1" x14ac:dyDescent="0.3">
      <c r="B94" s="181" t="s">
        <v>68</v>
      </c>
      <c r="C94" s="153" t="s">
        <v>122</v>
      </c>
      <c r="D94" s="58"/>
      <c r="E94" s="234" t="s">
        <v>144</v>
      </c>
      <c r="F94" s="235"/>
      <c r="G94" s="184"/>
      <c r="H94" s="236"/>
      <c r="I94" s="237">
        <f>SUM(I93*15/100)</f>
        <v>24593.174999999999</v>
      </c>
      <c r="K94" s="181" t="s">
        <v>44</v>
      </c>
      <c r="L94" s="153" t="s">
        <v>121</v>
      </c>
      <c r="M94" s="58"/>
      <c r="N94" s="234" t="s">
        <v>144</v>
      </c>
      <c r="O94" s="60"/>
      <c r="P94" s="182"/>
      <c r="Q94" s="183"/>
      <c r="R94" s="159">
        <f>SUM(R82+R88+R92)</f>
        <v>72885.75</v>
      </c>
      <c r="T94" s="181" t="s">
        <v>44</v>
      </c>
      <c r="U94" s="153" t="s">
        <v>121</v>
      </c>
      <c r="V94" s="58"/>
      <c r="W94" s="234" t="s">
        <v>144</v>
      </c>
      <c r="X94" s="60"/>
      <c r="Y94" s="182"/>
      <c r="Z94" s="183"/>
      <c r="AA94" s="159">
        <f>SUM(AA82+AA88+AA92)</f>
        <v>160707.25</v>
      </c>
    </row>
    <row r="95" spans="2:27" ht="20.100000000000001" customHeight="1" x14ac:dyDescent="0.3">
      <c r="B95" s="181" t="s">
        <v>123</v>
      </c>
      <c r="C95" s="153" t="s">
        <v>124</v>
      </c>
      <c r="D95" s="58"/>
      <c r="E95" s="234" t="s">
        <v>144</v>
      </c>
      <c r="F95" s="60"/>
      <c r="G95" s="184"/>
      <c r="H95" s="183"/>
      <c r="I95" s="159">
        <f>SUM(I93:I94)</f>
        <v>188547.67499999999</v>
      </c>
      <c r="K95" s="181" t="s">
        <v>68</v>
      </c>
      <c r="L95" s="153" t="s">
        <v>122</v>
      </c>
      <c r="M95" s="58"/>
      <c r="N95" s="234" t="s">
        <v>144</v>
      </c>
      <c r="O95" s="235"/>
      <c r="P95" s="184"/>
      <c r="Q95" s="236"/>
      <c r="R95" s="237">
        <f>SUM(R94*15/100)</f>
        <v>10932.862499999999</v>
      </c>
      <c r="T95" s="181" t="s">
        <v>68</v>
      </c>
      <c r="U95" s="153" t="s">
        <v>122</v>
      </c>
      <c r="V95" s="58"/>
      <c r="W95" s="234" t="s">
        <v>144</v>
      </c>
      <c r="X95" s="235"/>
      <c r="Y95" s="184"/>
      <c r="Z95" s="236"/>
      <c r="AA95" s="237">
        <f>SUM(AA94*15/100)</f>
        <v>24106.087500000001</v>
      </c>
    </row>
    <row r="96" spans="2:27" ht="20.100000000000001" customHeight="1" x14ac:dyDescent="0.3">
      <c r="B96" s="238"/>
      <c r="C96" s="187" t="s">
        <v>12</v>
      </c>
      <c r="D96" s="239"/>
      <c r="E96" s="240"/>
      <c r="F96" s="241"/>
      <c r="G96" s="242"/>
      <c r="H96" s="243"/>
      <c r="I96" s="193">
        <f>ROUND(I95,0)</f>
        <v>188548</v>
      </c>
      <c r="K96" s="181" t="s">
        <v>123</v>
      </c>
      <c r="L96" s="153" t="s">
        <v>124</v>
      </c>
      <c r="M96" s="58"/>
      <c r="N96" s="234" t="s">
        <v>144</v>
      </c>
      <c r="O96" s="60"/>
      <c r="P96" s="184"/>
      <c r="Q96" s="183"/>
      <c r="R96" s="159">
        <f>SUM(R94:R95)</f>
        <v>83818.612500000003</v>
      </c>
      <c r="T96" s="181" t="s">
        <v>123</v>
      </c>
      <c r="U96" s="153" t="s">
        <v>124</v>
      </c>
      <c r="V96" s="58"/>
      <c r="W96" s="234" t="s">
        <v>144</v>
      </c>
      <c r="X96" s="60"/>
      <c r="Y96" s="184"/>
      <c r="Z96" s="183"/>
      <c r="AA96" s="159">
        <f>SUM(AA94:AA95)</f>
        <v>184813.33749999999</v>
      </c>
    </row>
    <row r="97" spans="2:27" ht="20.100000000000001" customHeight="1" x14ac:dyDescent="0.3">
      <c r="K97" s="238"/>
      <c r="L97" s="187" t="s">
        <v>12</v>
      </c>
      <c r="M97" s="239"/>
      <c r="N97" s="240"/>
      <c r="O97" s="241"/>
      <c r="P97" s="242"/>
      <c r="Q97" s="243"/>
      <c r="R97" s="193">
        <f>ROUND(R96,0)</f>
        <v>83819</v>
      </c>
      <c r="T97" s="238"/>
      <c r="U97" s="187" t="s">
        <v>12</v>
      </c>
      <c r="V97" s="239"/>
      <c r="W97" s="240"/>
      <c r="X97" s="241"/>
      <c r="Y97" s="242"/>
      <c r="Z97" s="243"/>
      <c r="AA97" s="193">
        <f>ROUND(AA96,0)</f>
        <v>184813</v>
      </c>
    </row>
    <row r="100" spans="2:27" ht="20.100000000000001" customHeight="1" x14ac:dyDescent="0.3">
      <c r="B100" s="373" t="s">
        <v>109</v>
      </c>
      <c r="C100" s="374"/>
      <c r="D100" s="374"/>
      <c r="E100" s="374"/>
      <c r="F100" s="374"/>
      <c r="G100" s="375"/>
      <c r="H100" s="202" t="s">
        <v>106</v>
      </c>
      <c r="I100" s="115"/>
      <c r="K100" s="373" t="s">
        <v>109</v>
      </c>
      <c r="L100" s="374"/>
      <c r="M100" s="374"/>
      <c r="N100" s="374"/>
      <c r="O100" s="374"/>
      <c r="P100" s="375"/>
      <c r="Q100" s="202" t="s">
        <v>154</v>
      </c>
      <c r="R100" s="115"/>
      <c r="T100" s="373" t="s">
        <v>109</v>
      </c>
      <c r="U100" s="374"/>
      <c r="V100" s="374"/>
      <c r="W100" s="374"/>
      <c r="X100" s="374"/>
      <c r="Y100" s="375"/>
      <c r="Z100" s="202" t="s">
        <v>166</v>
      </c>
      <c r="AA100" s="203"/>
    </row>
    <row r="101" spans="2:27" ht="20.100000000000001" customHeight="1" x14ac:dyDescent="0.3">
      <c r="B101" s="367"/>
      <c r="C101" s="378"/>
      <c r="D101" s="378"/>
      <c r="E101" s="378"/>
      <c r="F101" s="378"/>
      <c r="G101" s="369"/>
      <c r="H101" s="119" t="s">
        <v>136</v>
      </c>
      <c r="I101" s="120"/>
      <c r="K101" s="367"/>
      <c r="L101" s="378"/>
      <c r="M101" s="378"/>
      <c r="N101" s="378"/>
      <c r="O101" s="378"/>
      <c r="P101" s="369"/>
      <c r="Q101" s="119"/>
      <c r="R101" s="120"/>
      <c r="T101" s="116"/>
      <c r="U101" s="117"/>
      <c r="V101" s="117"/>
      <c r="W101" s="117"/>
      <c r="X101" s="117"/>
      <c r="Y101" s="118"/>
      <c r="Z101" s="119" t="s">
        <v>136</v>
      </c>
      <c r="AA101" s="204"/>
    </row>
    <row r="102" spans="2:27" ht="20.100000000000001" customHeight="1" x14ac:dyDescent="0.3">
      <c r="B102" s="367" t="s">
        <v>148</v>
      </c>
      <c r="C102" s="378"/>
      <c r="D102" s="378"/>
      <c r="E102" s="378"/>
      <c r="F102" s="378"/>
      <c r="G102" s="369"/>
      <c r="H102" s="119" t="s">
        <v>110</v>
      </c>
      <c r="I102" s="120"/>
      <c r="K102" s="367" t="s">
        <v>155</v>
      </c>
      <c r="L102" s="378"/>
      <c r="M102" s="378"/>
      <c r="N102" s="378"/>
      <c r="O102" s="378"/>
      <c r="P102" s="369"/>
      <c r="Q102" s="119" t="s">
        <v>163</v>
      </c>
      <c r="R102" s="120"/>
      <c r="T102" s="367" t="s">
        <v>167</v>
      </c>
      <c r="U102" s="378"/>
      <c r="V102" s="378"/>
      <c r="W102" s="378"/>
      <c r="X102" s="378"/>
      <c r="Y102" s="369"/>
      <c r="Z102" s="119" t="s">
        <v>110</v>
      </c>
      <c r="AA102" s="154"/>
    </row>
    <row r="103" spans="2:27" ht="20.100000000000001" customHeight="1" x14ac:dyDescent="0.3">
      <c r="B103" s="121"/>
      <c r="C103" s="122"/>
      <c r="D103" s="122"/>
      <c r="E103" s="123"/>
      <c r="F103" s="124"/>
      <c r="G103" s="125"/>
      <c r="H103" s="126"/>
      <c r="I103" s="127"/>
      <c r="K103" s="367" t="s">
        <v>156</v>
      </c>
      <c r="L103" s="378"/>
      <c r="M103" s="378"/>
      <c r="N103" s="378"/>
      <c r="O103" s="378"/>
      <c r="P103" s="369"/>
      <c r="Q103" s="119"/>
      <c r="R103" s="120"/>
      <c r="T103" s="121"/>
      <c r="U103" s="122"/>
      <c r="V103" s="122"/>
      <c r="W103" s="123"/>
      <c r="X103" s="124"/>
      <c r="Y103" s="125"/>
      <c r="Z103" s="162"/>
      <c r="AA103" s="205"/>
    </row>
    <row r="104" spans="2:27" ht="20.100000000000001" customHeight="1" x14ac:dyDescent="0.3">
      <c r="B104" s="206"/>
      <c r="C104" s="207"/>
      <c r="D104" s="208"/>
      <c r="E104" s="209"/>
      <c r="F104" s="210"/>
      <c r="G104" s="211"/>
      <c r="H104" s="210" t="s">
        <v>9</v>
      </c>
      <c r="I104" s="212" t="s">
        <v>0</v>
      </c>
      <c r="K104" s="379"/>
      <c r="L104" s="380"/>
      <c r="M104" s="380"/>
      <c r="N104" s="380"/>
      <c r="O104" s="380"/>
      <c r="P104" s="381"/>
      <c r="Q104" s="126"/>
      <c r="R104" s="127"/>
      <c r="T104" s="206"/>
      <c r="U104" s="207"/>
      <c r="V104" s="208"/>
      <c r="W104" s="209"/>
      <c r="X104" s="210"/>
      <c r="Y104" s="211"/>
      <c r="Z104" s="210" t="s">
        <v>9</v>
      </c>
      <c r="AA104" s="212" t="s">
        <v>0</v>
      </c>
    </row>
    <row r="105" spans="2:27" ht="20.100000000000001" customHeight="1" x14ac:dyDescent="0.3">
      <c r="B105" s="156" t="s">
        <v>10</v>
      </c>
      <c r="C105" s="365" t="s">
        <v>111</v>
      </c>
      <c r="D105" s="366"/>
      <c r="E105" s="213" t="s">
        <v>112</v>
      </c>
      <c r="F105" s="156" t="s">
        <v>2</v>
      </c>
      <c r="G105" s="61" t="s">
        <v>113</v>
      </c>
      <c r="H105" s="156" t="s">
        <v>2</v>
      </c>
      <c r="I105" s="214" t="s">
        <v>9</v>
      </c>
      <c r="K105" s="128"/>
      <c r="L105" s="129"/>
      <c r="M105" s="130"/>
      <c r="N105" s="131"/>
      <c r="O105" s="132"/>
      <c r="P105" s="133"/>
      <c r="Q105" s="132" t="s">
        <v>9</v>
      </c>
      <c r="R105" s="134" t="s">
        <v>0</v>
      </c>
      <c r="T105" s="156" t="s">
        <v>10</v>
      </c>
      <c r="U105" s="365" t="s">
        <v>111</v>
      </c>
      <c r="V105" s="366"/>
      <c r="W105" s="213" t="s">
        <v>112</v>
      </c>
      <c r="X105" s="156" t="s">
        <v>2</v>
      </c>
      <c r="Y105" s="61" t="s">
        <v>113</v>
      </c>
      <c r="Z105" s="156" t="s">
        <v>2</v>
      </c>
      <c r="AA105" s="214" t="s">
        <v>9</v>
      </c>
    </row>
    <row r="106" spans="2:27" ht="20.100000000000001" customHeight="1" x14ac:dyDescent="0.3">
      <c r="B106" s="215"/>
      <c r="C106" s="162"/>
      <c r="D106" s="163"/>
      <c r="E106" s="216"/>
      <c r="F106" s="217"/>
      <c r="G106" s="218"/>
      <c r="H106" s="217" t="s">
        <v>4</v>
      </c>
      <c r="I106" s="219" t="s">
        <v>4</v>
      </c>
      <c r="K106" s="135" t="s">
        <v>10</v>
      </c>
      <c r="L106" s="376" t="s">
        <v>111</v>
      </c>
      <c r="M106" s="377"/>
      <c r="N106" s="138" t="s">
        <v>112</v>
      </c>
      <c r="O106" s="135" t="s">
        <v>2</v>
      </c>
      <c r="P106" s="5" t="s">
        <v>113</v>
      </c>
      <c r="Q106" s="135" t="s">
        <v>2</v>
      </c>
      <c r="R106" s="118" t="s">
        <v>9</v>
      </c>
      <c r="T106" s="215"/>
      <c r="U106" s="162"/>
      <c r="V106" s="163"/>
      <c r="W106" s="216"/>
      <c r="X106" s="217"/>
      <c r="Y106" s="218"/>
      <c r="Z106" s="217" t="s">
        <v>4</v>
      </c>
      <c r="AA106" s="219" t="s">
        <v>4</v>
      </c>
    </row>
    <row r="107" spans="2:27" ht="20.100000000000001" customHeight="1" x14ac:dyDescent="0.3">
      <c r="B107" s="144" t="s">
        <v>30</v>
      </c>
      <c r="C107" s="145" t="s">
        <v>114</v>
      </c>
      <c r="D107" s="146"/>
      <c r="E107" s="147"/>
      <c r="F107" s="148"/>
      <c r="G107" s="149"/>
      <c r="H107" s="150"/>
      <c r="I107" s="151"/>
      <c r="K107" s="139"/>
      <c r="L107" s="126"/>
      <c r="M107" s="140"/>
      <c r="N107" s="141"/>
      <c r="O107" s="142"/>
      <c r="P107" s="125"/>
      <c r="Q107" s="142" t="s">
        <v>4</v>
      </c>
      <c r="R107" s="143" t="s">
        <v>4</v>
      </c>
      <c r="T107" s="144" t="s">
        <v>30</v>
      </c>
      <c r="U107" s="145" t="s">
        <v>114</v>
      </c>
      <c r="V107" s="146"/>
      <c r="W107" s="147"/>
      <c r="X107" s="148"/>
      <c r="Y107" s="149"/>
      <c r="Z107" s="150"/>
      <c r="AA107" s="151"/>
    </row>
    <row r="108" spans="2:27" ht="20.100000000000001" customHeight="1" x14ac:dyDescent="0.3">
      <c r="B108" s="152"/>
      <c r="C108" s="153" t="s">
        <v>108</v>
      </c>
      <c r="D108" s="154" t="s">
        <v>81</v>
      </c>
      <c r="E108" s="155"/>
      <c r="F108" s="156" t="s">
        <v>115</v>
      </c>
      <c r="G108" s="244">
        <v>8.1000000000000003E-2</v>
      </c>
      <c r="H108" s="221">
        <f>H175</f>
        <v>110000</v>
      </c>
      <c r="I108" s="159">
        <f>SUM(G108*H108)</f>
        <v>8910</v>
      </c>
      <c r="K108" s="144" t="s">
        <v>30</v>
      </c>
      <c r="L108" s="145" t="s">
        <v>114</v>
      </c>
      <c r="M108" s="146"/>
      <c r="N108" s="147"/>
      <c r="O108" s="148"/>
      <c r="P108" s="149"/>
      <c r="Q108" s="150"/>
      <c r="R108" s="151"/>
      <c r="T108" s="152"/>
      <c r="U108" s="153" t="s">
        <v>108</v>
      </c>
      <c r="V108" s="154" t="s">
        <v>81</v>
      </c>
      <c r="W108" s="155"/>
      <c r="X108" s="156" t="s">
        <v>115</v>
      </c>
      <c r="Y108" s="244">
        <v>0.15</v>
      </c>
      <c r="Z108" s="221">
        <f t="shared" ref="Z108:Z111" si="10">Q109</f>
        <v>110000</v>
      </c>
      <c r="AA108" s="159">
        <f>SUM(Y108*Z108)</f>
        <v>16500</v>
      </c>
    </row>
    <row r="109" spans="2:27" ht="20.100000000000001" customHeight="1" x14ac:dyDescent="0.3">
      <c r="B109" s="152"/>
      <c r="C109" s="153" t="s">
        <v>108</v>
      </c>
      <c r="D109" s="154" t="s">
        <v>149</v>
      </c>
      <c r="E109" s="155"/>
      <c r="F109" s="156" t="s">
        <v>115</v>
      </c>
      <c r="G109" s="223">
        <v>0.13500000000000001</v>
      </c>
      <c r="H109" s="221">
        <f>H176</f>
        <v>170400</v>
      </c>
      <c r="I109" s="159">
        <f>SUM(G109*H109)</f>
        <v>23004</v>
      </c>
      <c r="K109" s="152"/>
      <c r="L109" s="153" t="s">
        <v>108</v>
      </c>
      <c r="M109" s="154" t="s">
        <v>81</v>
      </c>
      <c r="N109" s="155"/>
      <c r="O109" s="156" t="s">
        <v>115</v>
      </c>
      <c r="P109" s="194">
        <v>0.35349999999999998</v>
      </c>
      <c r="Q109" s="158">
        <f>H175</f>
        <v>110000</v>
      </c>
      <c r="R109" s="159">
        <f>SUM(P109*Q109)</f>
        <v>38885</v>
      </c>
      <c r="T109" s="152"/>
      <c r="U109" s="153" t="s">
        <v>108</v>
      </c>
      <c r="V109" s="154" t="s">
        <v>149</v>
      </c>
      <c r="W109" s="155"/>
      <c r="X109" s="156" t="s">
        <v>115</v>
      </c>
      <c r="Y109" s="244">
        <v>0.3</v>
      </c>
      <c r="Z109" s="221">
        <f t="shared" si="10"/>
        <v>170400</v>
      </c>
      <c r="AA109" s="159">
        <f>SUM(Y109*Z109)</f>
        <v>51120</v>
      </c>
    </row>
    <row r="110" spans="2:27" ht="20.100000000000001" customHeight="1" x14ac:dyDescent="0.3">
      <c r="B110" s="152"/>
      <c r="C110" s="153" t="s">
        <v>108</v>
      </c>
      <c r="D110" s="154" t="s">
        <v>95</v>
      </c>
      <c r="E110" s="155"/>
      <c r="F110" s="156" t="s">
        <v>115</v>
      </c>
      <c r="G110" s="222">
        <v>1.35E-2</v>
      </c>
      <c r="H110" s="221">
        <f>H177</f>
        <v>218100</v>
      </c>
      <c r="I110" s="159">
        <f>SUM(G110*H110)</f>
        <v>2944.35</v>
      </c>
      <c r="K110" s="152"/>
      <c r="L110" s="153" t="s">
        <v>108</v>
      </c>
      <c r="M110" s="154" t="s">
        <v>149</v>
      </c>
      <c r="N110" s="155"/>
      <c r="O110" s="156" t="s">
        <v>115</v>
      </c>
      <c r="P110" s="160">
        <v>0.17699999999999999</v>
      </c>
      <c r="Q110" s="158">
        <f>H176</f>
        <v>170400</v>
      </c>
      <c r="R110" s="159">
        <f t="shared" ref="R110:R112" si="11">SUM(P110*Q110)</f>
        <v>30160.799999999999</v>
      </c>
      <c r="T110" s="152"/>
      <c r="U110" s="153" t="s">
        <v>108</v>
      </c>
      <c r="V110" s="154" t="s">
        <v>139</v>
      </c>
      <c r="W110" s="155"/>
      <c r="X110" s="156" t="s">
        <v>115</v>
      </c>
      <c r="Y110" s="244">
        <v>0.03</v>
      </c>
      <c r="Z110" s="221">
        <f t="shared" si="10"/>
        <v>218100</v>
      </c>
      <c r="AA110" s="159">
        <f>SUM(Y110*Z110)</f>
        <v>6543</v>
      </c>
    </row>
    <row r="111" spans="2:27" ht="20.100000000000001" customHeight="1" x14ac:dyDescent="0.3">
      <c r="B111" s="152"/>
      <c r="C111" s="153" t="s">
        <v>108</v>
      </c>
      <c r="D111" s="154" t="s">
        <v>96</v>
      </c>
      <c r="E111" s="155"/>
      <c r="F111" s="156" t="s">
        <v>115</v>
      </c>
      <c r="G111" s="223">
        <v>4.0000000000000001E-3</v>
      </c>
      <c r="H111" s="221">
        <f>H178</f>
        <v>204500</v>
      </c>
      <c r="I111" s="159">
        <f>SUM(G111*H111)</f>
        <v>818</v>
      </c>
      <c r="K111" s="152"/>
      <c r="L111" s="153" t="s">
        <v>108</v>
      </c>
      <c r="M111" s="154" t="s">
        <v>95</v>
      </c>
      <c r="N111" s="155"/>
      <c r="O111" s="156" t="s">
        <v>115</v>
      </c>
      <c r="P111" s="160">
        <v>5.8999999999999997E-2</v>
      </c>
      <c r="Q111" s="158">
        <f>H177</f>
        <v>218100</v>
      </c>
      <c r="R111" s="159">
        <f t="shared" si="11"/>
        <v>12867.9</v>
      </c>
      <c r="T111" s="152"/>
      <c r="U111" s="153" t="s">
        <v>108</v>
      </c>
      <c r="V111" s="154" t="s">
        <v>96</v>
      </c>
      <c r="W111" s="155"/>
      <c r="X111" s="156" t="s">
        <v>115</v>
      </c>
      <c r="Y111" s="223">
        <v>8.0000000000000002E-3</v>
      </c>
      <c r="Z111" s="221">
        <f t="shared" si="10"/>
        <v>204500</v>
      </c>
      <c r="AA111" s="159">
        <f>SUM(Y111*Z111)</f>
        <v>1636</v>
      </c>
    </row>
    <row r="112" spans="2:27" ht="20.100000000000001" customHeight="1" x14ac:dyDescent="0.3">
      <c r="B112" s="161"/>
      <c r="C112" s="162"/>
      <c r="D112" s="163"/>
      <c r="E112" s="147"/>
      <c r="F112" s="148"/>
      <c r="G112" s="224"/>
      <c r="H112" s="225" t="s">
        <v>116</v>
      </c>
      <c r="I112" s="166">
        <f>SUM(I108:I111)</f>
        <v>35676.35</v>
      </c>
      <c r="K112" s="152"/>
      <c r="L112" s="153" t="s">
        <v>108</v>
      </c>
      <c r="M112" s="154" t="s">
        <v>96</v>
      </c>
      <c r="N112" s="155"/>
      <c r="O112" s="156" t="s">
        <v>115</v>
      </c>
      <c r="P112" s="250">
        <v>2.9499999999999998E-2</v>
      </c>
      <c r="Q112" s="158">
        <f>H178</f>
        <v>204500</v>
      </c>
      <c r="R112" s="159">
        <f t="shared" si="11"/>
        <v>6032.75</v>
      </c>
      <c r="T112" s="152"/>
      <c r="U112" s="153"/>
      <c r="V112" s="154"/>
      <c r="W112" s="155"/>
      <c r="X112" s="156"/>
      <c r="Y112" s="223"/>
      <c r="Z112" s="221"/>
      <c r="AA112" s="159"/>
    </row>
    <row r="113" spans="2:27" ht="20.100000000000001" customHeight="1" x14ac:dyDescent="0.3">
      <c r="B113" s="144" t="s">
        <v>31</v>
      </c>
      <c r="C113" s="145" t="s">
        <v>117</v>
      </c>
      <c r="D113" s="146"/>
      <c r="E113" s="147"/>
      <c r="F113" s="167"/>
      <c r="G113" s="224"/>
      <c r="H113" s="227"/>
      <c r="I113" s="151"/>
      <c r="K113" s="152"/>
      <c r="L113" s="153"/>
      <c r="M113" s="154"/>
      <c r="N113" s="155"/>
      <c r="O113" s="156"/>
      <c r="P113" s="160"/>
      <c r="Q113" s="158"/>
      <c r="R113" s="159"/>
      <c r="T113" s="161"/>
      <c r="U113" s="162"/>
      <c r="V113" s="163"/>
      <c r="W113" s="147"/>
      <c r="X113" s="148"/>
      <c r="Y113" s="224"/>
      <c r="Z113" s="225" t="s">
        <v>116</v>
      </c>
      <c r="AA113" s="166">
        <f>SUM(AA108:AA112)</f>
        <v>75799</v>
      </c>
    </row>
    <row r="114" spans="2:27" ht="20.100000000000001" customHeight="1" x14ac:dyDescent="0.3">
      <c r="B114" s="152"/>
      <c r="C114" s="153" t="s">
        <v>108</v>
      </c>
      <c r="D114" s="154" t="s">
        <v>150</v>
      </c>
      <c r="E114" s="155"/>
      <c r="F114" s="169" t="s">
        <v>151</v>
      </c>
      <c r="G114" s="247">
        <v>1.2</v>
      </c>
      <c r="H114" s="221">
        <f>'UPAH &amp; BAHAN'!$R$56</f>
        <v>56250</v>
      </c>
      <c r="I114" s="159">
        <f>SUM(G114*H114)</f>
        <v>67500</v>
      </c>
      <c r="K114" s="161"/>
      <c r="L114" s="162"/>
      <c r="M114" s="163"/>
      <c r="N114" s="147"/>
      <c r="O114" s="148"/>
      <c r="P114" s="164"/>
      <c r="Q114" s="165" t="s">
        <v>116</v>
      </c>
      <c r="R114" s="166">
        <f>SUM(R109:R113)</f>
        <v>87946.45</v>
      </c>
      <c r="T114" s="144" t="s">
        <v>31</v>
      </c>
      <c r="U114" s="145" t="s">
        <v>117</v>
      </c>
      <c r="V114" s="226"/>
      <c r="W114" s="147"/>
      <c r="X114" s="167"/>
      <c r="Y114" s="224"/>
      <c r="Z114" s="227"/>
      <c r="AA114" s="151"/>
    </row>
    <row r="115" spans="2:27" ht="20.100000000000001" customHeight="1" x14ac:dyDescent="0.3">
      <c r="B115" s="152"/>
      <c r="C115" s="119" t="s">
        <v>108</v>
      </c>
      <c r="D115" s="154" t="s">
        <v>152</v>
      </c>
      <c r="E115" s="155"/>
      <c r="F115" s="169" t="s">
        <v>11</v>
      </c>
      <c r="G115" s="229">
        <v>0.35</v>
      </c>
      <c r="H115" s="221">
        <f>I114</f>
        <v>67500</v>
      </c>
      <c r="I115" s="159">
        <f>SUM(G115*H115)</f>
        <v>23625</v>
      </c>
      <c r="K115" s="144" t="s">
        <v>31</v>
      </c>
      <c r="L115" s="145" t="s">
        <v>117</v>
      </c>
      <c r="M115" s="146"/>
      <c r="N115" s="147"/>
      <c r="O115" s="167"/>
      <c r="P115" s="164"/>
      <c r="Q115" s="168"/>
      <c r="R115" s="151"/>
      <c r="T115" s="152"/>
      <c r="U115" s="119" t="s">
        <v>108</v>
      </c>
      <c r="V115" s="154" t="s">
        <v>170</v>
      </c>
      <c r="W115" s="155"/>
      <c r="X115" s="253" t="s">
        <v>151</v>
      </c>
      <c r="Y115" s="229">
        <v>1.05</v>
      </c>
      <c r="Z115" s="221">
        <f>'UPAH &amp; BAHAN'!R21</f>
        <v>75600</v>
      </c>
      <c r="AA115" s="159">
        <f>SUM(Y115*Z115)</f>
        <v>79380</v>
      </c>
    </row>
    <row r="116" spans="2:27" ht="20.100000000000001" customHeight="1" x14ac:dyDescent="0.3">
      <c r="B116" s="152"/>
      <c r="C116" s="153"/>
      <c r="D116" s="154"/>
      <c r="E116" s="155"/>
      <c r="F116" s="169"/>
      <c r="G116" s="248"/>
      <c r="H116" s="221"/>
      <c r="I116" s="159"/>
      <c r="K116" s="152"/>
      <c r="L116" s="153" t="s">
        <v>108</v>
      </c>
      <c r="M116" s="154" t="s">
        <v>157</v>
      </c>
      <c r="N116" s="155"/>
      <c r="O116" s="169" t="s">
        <v>41</v>
      </c>
      <c r="P116" s="251">
        <v>1.05</v>
      </c>
      <c r="Q116" s="158">
        <f>'UPAH &amp; BAHAN'!R42</f>
        <v>456600</v>
      </c>
      <c r="R116" s="159">
        <f t="shared" ref="R116:R119" si="12">SUM(P116*Q116)</f>
        <v>479430</v>
      </c>
      <c r="T116" s="152"/>
      <c r="U116" s="119" t="s">
        <v>108</v>
      </c>
      <c r="V116" s="154" t="s">
        <v>168</v>
      </c>
      <c r="W116" s="155"/>
      <c r="X116" s="156" t="s">
        <v>72</v>
      </c>
      <c r="Y116" s="229">
        <v>0.01</v>
      </c>
      <c r="Z116" s="221">
        <f>'UPAH &amp; BAHAN'!$R$20</f>
        <v>28500</v>
      </c>
      <c r="AA116" s="159">
        <f t="shared" ref="AA116:AA117" si="13">SUM(Y116*Z116)</f>
        <v>285</v>
      </c>
    </row>
    <row r="117" spans="2:27" ht="20.100000000000001" customHeight="1" x14ac:dyDescent="0.3">
      <c r="B117" s="161"/>
      <c r="C117" s="162"/>
      <c r="D117" s="163"/>
      <c r="E117" s="170"/>
      <c r="F117" s="148"/>
      <c r="G117" s="230"/>
      <c r="H117" s="225" t="s">
        <v>118</v>
      </c>
      <c r="I117" s="166">
        <f>SUM(I114:I116)</f>
        <v>91125</v>
      </c>
      <c r="K117" s="152"/>
      <c r="L117" s="153" t="s">
        <v>108</v>
      </c>
      <c r="M117" s="154" t="s">
        <v>158</v>
      </c>
      <c r="N117" s="155"/>
      <c r="O117" s="169" t="s">
        <v>159</v>
      </c>
      <c r="P117" s="251">
        <v>8</v>
      </c>
      <c r="Q117" s="252">
        <f>'UPAH &amp; BAHAN'!R43</f>
        <v>4540</v>
      </c>
      <c r="R117" s="159">
        <f t="shared" si="12"/>
        <v>36320</v>
      </c>
      <c r="T117" s="152"/>
      <c r="U117" s="119" t="s">
        <v>108</v>
      </c>
      <c r="V117" s="154" t="s">
        <v>169</v>
      </c>
      <c r="W117" s="155"/>
      <c r="X117" s="156" t="s">
        <v>72</v>
      </c>
      <c r="Y117" s="229">
        <v>0.5</v>
      </c>
      <c r="Z117" s="221">
        <f>'UPAH &amp; BAHAN'!R19</f>
        <v>21000</v>
      </c>
      <c r="AA117" s="159">
        <f t="shared" si="13"/>
        <v>10500</v>
      </c>
    </row>
    <row r="118" spans="2:27" ht="20.100000000000001" customHeight="1" x14ac:dyDescent="0.3">
      <c r="B118" s="144" t="s">
        <v>32</v>
      </c>
      <c r="C118" s="145" t="s">
        <v>119</v>
      </c>
      <c r="D118" s="226"/>
      <c r="E118" s="147"/>
      <c r="F118" s="148"/>
      <c r="G118" s="230"/>
      <c r="H118" s="231"/>
      <c r="I118" s="151"/>
      <c r="K118" s="152"/>
      <c r="L118" s="153" t="s">
        <v>108</v>
      </c>
      <c r="M118" s="154" t="s">
        <v>160</v>
      </c>
      <c r="N118" s="155"/>
      <c r="O118" s="169" t="s">
        <v>151</v>
      </c>
      <c r="P118" s="251">
        <v>1.01</v>
      </c>
      <c r="Q118" s="252">
        <f>'UPAH &amp; BAHAN'!R44</f>
        <v>72220</v>
      </c>
      <c r="R118" s="159">
        <f t="shared" si="12"/>
        <v>72942.2</v>
      </c>
      <c r="T118" s="152"/>
      <c r="U118" s="119"/>
      <c r="V118" s="154"/>
      <c r="W118" s="155"/>
      <c r="X118" s="156"/>
      <c r="Y118" s="229"/>
      <c r="Z118" s="221"/>
      <c r="AA118" s="159"/>
    </row>
    <row r="119" spans="2:27" ht="20.100000000000001" customHeight="1" x14ac:dyDescent="0.3">
      <c r="B119" s="152"/>
      <c r="C119" s="153"/>
      <c r="D119" s="154"/>
      <c r="E119" s="155"/>
      <c r="F119" s="172"/>
      <c r="G119" s="232"/>
      <c r="H119" s="221"/>
      <c r="I119" s="159"/>
      <c r="K119" s="152"/>
      <c r="L119" s="153" t="s">
        <v>108</v>
      </c>
      <c r="M119" s="245" t="s">
        <v>165</v>
      </c>
      <c r="N119" s="155"/>
      <c r="O119" s="169" t="s">
        <v>141</v>
      </c>
      <c r="P119" s="251">
        <v>0.2</v>
      </c>
      <c r="Q119" s="158">
        <f>'UPAH &amp; BAHAN'!R17</f>
        <v>99450</v>
      </c>
      <c r="R119" s="159">
        <f t="shared" si="12"/>
        <v>19890</v>
      </c>
      <c r="T119" s="161"/>
      <c r="U119" s="162"/>
      <c r="V119" s="163"/>
      <c r="W119" s="170"/>
      <c r="X119" s="148"/>
      <c r="Y119" s="230"/>
      <c r="Z119" s="225" t="s">
        <v>118</v>
      </c>
      <c r="AA119" s="166">
        <f>SUM(AA115:AA118)</f>
        <v>90165</v>
      </c>
    </row>
    <row r="120" spans="2:27" ht="20.100000000000001" customHeight="1" x14ac:dyDescent="0.3">
      <c r="B120" s="152"/>
      <c r="C120" s="153"/>
      <c r="D120" s="154"/>
      <c r="E120" s="155"/>
      <c r="F120" s="172"/>
      <c r="G120" s="232"/>
      <c r="H120" s="221"/>
      <c r="I120" s="159"/>
      <c r="K120" s="152"/>
      <c r="L120" s="153" t="s">
        <v>108</v>
      </c>
      <c r="M120" s="154" t="s">
        <v>161</v>
      </c>
      <c r="N120" s="155"/>
      <c r="O120" s="169" t="s">
        <v>151</v>
      </c>
      <c r="P120" s="251">
        <v>7.8</v>
      </c>
      <c r="Q120" s="158">
        <f>'UPAH &amp; BAHAN'!$R$34</f>
        <v>16675</v>
      </c>
      <c r="R120" s="159"/>
      <c r="T120" s="144" t="s">
        <v>32</v>
      </c>
      <c r="U120" s="145" t="s">
        <v>119</v>
      </c>
      <c r="V120" s="226"/>
      <c r="W120" s="147"/>
      <c r="X120" s="148"/>
      <c r="Y120" s="230"/>
      <c r="Z120" s="231"/>
      <c r="AA120" s="151"/>
    </row>
    <row r="121" spans="2:27" ht="20.100000000000001" customHeight="1" x14ac:dyDescent="0.3">
      <c r="B121" s="161"/>
      <c r="C121" s="162"/>
      <c r="D121" s="163"/>
      <c r="E121" s="170"/>
      <c r="F121" s="148"/>
      <c r="G121" s="230"/>
      <c r="H121" s="225" t="s">
        <v>120</v>
      </c>
      <c r="I121" s="166">
        <f>SUM(I119:I120)</f>
        <v>0</v>
      </c>
      <c r="K121" s="152"/>
      <c r="L121" s="153"/>
      <c r="M121" s="154"/>
      <c r="N121" s="155"/>
      <c r="O121" s="195"/>
      <c r="P121" s="160"/>
      <c r="Q121" s="158"/>
      <c r="R121" s="159"/>
      <c r="T121" s="152"/>
      <c r="U121" s="153"/>
      <c r="V121" s="154"/>
      <c r="W121" s="155"/>
      <c r="X121" s="172"/>
      <c r="Y121" s="232"/>
      <c r="Z121" s="221"/>
      <c r="AA121" s="159"/>
    </row>
    <row r="122" spans="2:27" ht="20.100000000000001" customHeight="1" x14ac:dyDescent="0.3">
      <c r="B122" s="175"/>
      <c r="C122" s="153"/>
      <c r="D122" s="58"/>
      <c r="E122" s="176"/>
      <c r="F122" s="177"/>
      <c r="G122" s="178"/>
      <c r="H122" s="233"/>
      <c r="I122" s="180"/>
      <c r="K122" s="161"/>
      <c r="L122" s="162"/>
      <c r="M122" s="163"/>
      <c r="N122" s="170"/>
      <c r="O122" s="148"/>
      <c r="P122" s="171"/>
      <c r="Q122" s="165" t="s">
        <v>118</v>
      </c>
      <c r="R122" s="166">
        <f>SUM(R116:R121)</f>
        <v>608582.19999999995</v>
      </c>
      <c r="T122" s="152"/>
      <c r="U122" s="153"/>
      <c r="V122" s="154"/>
      <c r="W122" s="155"/>
      <c r="X122" s="172"/>
      <c r="Y122" s="232"/>
      <c r="Z122" s="221"/>
      <c r="AA122" s="159"/>
    </row>
    <row r="123" spans="2:27" ht="20.100000000000001" customHeight="1" x14ac:dyDescent="0.3">
      <c r="B123" s="181" t="s">
        <v>44</v>
      </c>
      <c r="C123" s="153" t="s">
        <v>121</v>
      </c>
      <c r="D123" s="58"/>
      <c r="E123" s="155" t="s">
        <v>153</v>
      </c>
      <c r="F123" s="60"/>
      <c r="G123" s="182"/>
      <c r="H123" s="183"/>
      <c r="I123" s="159">
        <f>SUM(I112+I117+I121)</f>
        <v>126801.35</v>
      </c>
      <c r="K123" s="144" t="s">
        <v>32</v>
      </c>
      <c r="L123" s="145" t="s">
        <v>119</v>
      </c>
      <c r="M123" s="146"/>
      <c r="N123" s="147"/>
      <c r="O123" s="148"/>
      <c r="P123" s="171"/>
      <c r="Q123" s="168"/>
      <c r="R123" s="151"/>
      <c r="T123" s="161"/>
      <c r="U123" s="162"/>
      <c r="V123" s="163"/>
      <c r="W123" s="170"/>
      <c r="X123" s="148"/>
      <c r="Y123" s="230"/>
      <c r="Z123" s="225" t="s">
        <v>120</v>
      </c>
      <c r="AA123" s="166">
        <f>SUM(AA121:AA122)</f>
        <v>0</v>
      </c>
    </row>
    <row r="124" spans="2:27" ht="20.100000000000001" customHeight="1" x14ac:dyDescent="0.3">
      <c r="B124" s="181" t="s">
        <v>68</v>
      </c>
      <c r="C124" s="153" t="s">
        <v>122</v>
      </c>
      <c r="D124" s="58"/>
      <c r="E124" s="155" t="s">
        <v>153</v>
      </c>
      <c r="F124" s="60"/>
      <c r="G124" s="184"/>
      <c r="H124" s="183"/>
      <c r="I124" s="185">
        <f>SUM(I123*15/100)</f>
        <v>19020.202499999999</v>
      </c>
      <c r="K124" s="152"/>
      <c r="L124" s="153" t="s">
        <v>108</v>
      </c>
      <c r="M124" s="154" t="s">
        <v>162</v>
      </c>
      <c r="N124" s="155"/>
      <c r="O124" s="156" t="s">
        <v>11</v>
      </c>
      <c r="P124" s="251">
        <v>1</v>
      </c>
      <c r="Q124" s="158">
        <v>35000</v>
      </c>
      <c r="R124" s="159">
        <f>SUM(P124*Q124)</f>
        <v>35000</v>
      </c>
      <c r="T124" s="175"/>
      <c r="U124" s="153"/>
      <c r="V124" s="58"/>
      <c r="W124" s="176"/>
      <c r="X124" s="177"/>
      <c r="Y124" s="178"/>
      <c r="Z124" s="233"/>
      <c r="AA124" s="180"/>
    </row>
    <row r="125" spans="2:27" ht="20.100000000000001" customHeight="1" x14ac:dyDescent="0.3">
      <c r="B125" s="181" t="s">
        <v>123</v>
      </c>
      <c r="C125" s="153" t="s">
        <v>124</v>
      </c>
      <c r="D125" s="58"/>
      <c r="E125" s="155" t="s">
        <v>153</v>
      </c>
      <c r="F125" s="60"/>
      <c r="G125" s="184"/>
      <c r="H125" s="183"/>
      <c r="I125" s="159">
        <f>SUM(I123:I124)</f>
        <v>145821.55249999999</v>
      </c>
      <c r="K125" s="152"/>
      <c r="L125" s="153"/>
      <c r="M125" s="154"/>
      <c r="N125" s="155"/>
      <c r="O125" s="172"/>
      <c r="P125" s="173"/>
      <c r="Q125" s="158"/>
      <c r="R125" s="159"/>
      <c r="T125" s="181" t="s">
        <v>44</v>
      </c>
      <c r="U125" s="153" t="s">
        <v>121</v>
      </c>
      <c r="V125" s="58"/>
      <c r="W125" s="234" t="s">
        <v>144</v>
      </c>
      <c r="X125" s="60"/>
      <c r="Y125" s="182"/>
      <c r="Z125" s="183"/>
      <c r="AA125" s="159">
        <f>SUM(AA113+AA119+AA123)</f>
        <v>165964</v>
      </c>
    </row>
    <row r="126" spans="2:27" ht="20.100000000000001" customHeight="1" x14ac:dyDescent="0.3">
      <c r="B126" s="249"/>
      <c r="C126" s="187" t="s">
        <v>12</v>
      </c>
      <c r="D126" s="239"/>
      <c r="E126" s="240"/>
      <c r="F126" s="241"/>
      <c r="G126" s="242"/>
      <c r="H126" s="243"/>
      <c r="I126" s="193">
        <f>ROUND(I125,0)</f>
        <v>145822</v>
      </c>
      <c r="K126" s="161"/>
      <c r="L126" s="162"/>
      <c r="M126" s="163"/>
      <c r="N126" s="170"/>
      <c r="O126" s="148"/>
      <c r="P126" s="174"/>
      <c r="Q126" s="165" t="s">
        <v>120</v>
      </c>
      <c r="R126" s="166">
        <f>SUM(R124:R125)</f>
        <v>35000</v>
      </c>
      <c r="T126" s="181" t="s">
        <v>68</v>
      </c>
      <c r="U126" s="153" t="s">
        <v>122</v>
      </c>
      <c r="V126" s="58"/>
      <c r="W126" s="234" t="s">
        <v>144</v>
      </c>
      <c r="X126" s="235"/>
      <c r="Y126" s="184"/>
      <c r="Z126" s="236"/>
      <c r="AA126" s="237">
        <f>SUM(AA125*15/100)</f>
        <v>24894.6</v>
      </c>
    </row>
    <row r="127" spans="2:27" ht="20.100000000000001" customHeight="1" x14ac:dyDescent="0.3">
      <c r="K127" s="175"/>
      <c r="L127" s="153"/>
      <c r="M127" s="58"/>
      <c r="N127" s="176"/>
      <c r="O127" s="177"/>
      <c r="P127" s="178"/>
      <c r="Q127" s="179"/>
      <c r="R127" s="180"/>
      <c r="T127" s="181" t="s">
        <v>123</v>
      </c>
      <c r="U127" s="153" t="s">
        <v>124</v>
      </c>
      <c r="V127" s="58"/>
      <c r="W127" s="234" t="s">
        <v>144</v>
      </c>
      <c r="X127" s="60"/>
      <c r="Y127" s="184"/>
      <c r="Z127" s="183"/>
      <c r="AA127" s="159">
        <f>SUM(AA125:AA126)</f>
        <v>190858.6</v>
      </c>
    </row>
    <row r="128" spans="2:27" ht="20.100000000000001" customHeight="1" x14ac:dyDescent="0.3">
      <c r="K128" s="181" t="s">
        <v>44</v>
      </c>
      <c r="L128" s="153" t="s">
        <v>121</v>
      </c>
      <c r="M128" s="58"/>
      <c r="N128" s="155" t="s">
        <v>125</v>
      </c>
      <c r="O128" s="60"/>
      <c r="P128" s="182"/>
      <c r="Q128" s="183"/>
      <c r="R128" s="159">
        <f>SUM(R114+R122+R126)</f>
        <v>731528.64999999991</v>
      </c>
      <c r="T128" s="238"/>
      <c r="U128" s="187" t="s">
        <v>12</v>
      </c>
      <c r="V128" s="239"/>
      <c r="W128" s="240"/>
      <c r="X128" s="241"/>
      <c r="Y128" s="242"/>
      <c r="Z128" s="243"/>
      <c r="AA128" s="193">
        <f>ROUND(AA127,0)</f>
        <v>190859</v>
      </c>
    </row>
    <row r="129" spans="2:27" ht="20.100000000000001" customHeight="1" x14ac:dyDescent="0.3">
      <c r="K129" s="181" t="s">
        <v>68</v>
      </c>
      <c r="L129" s="153" t="s">
        <v>122</v>
      </c>
      <c r="M129" s="58"/>
      <c r="N129" s="155" t="s">
        <v>125</v>
      </c>
      <c r="O129" s="60"/>
      <c r="P129" s="184"/>
      <c r="Q129" s="183"/>
      <c r="R129" s="185">
        <f>SUM(R128*15/100)</f>
        <v>109729.29749999999</v>
      </c>
    </row>
    <row r="130" spans="2:27" ht="20.100000000000001" customHeight="1" x14ac:dyDescent="0.3">
      <c r="K130" s="181" t="s">
        <v>123</v>
      </c>
      <c r="L130" s="153" t="s">
        <v>124</v>
      </c>
      <c r="M130" s="58"/>
      <c r="N130" s="155" t="s">
        <v>125</v>
      </c>
      <c r="O130" s="60"/>
      <c r="P130" s="184"/>
      <c r="Q130" s="183"/>
      <c r="R130" s="159">
        <f>SUM(R128:R129)</f>
        <v>841257.94749999989</v>
      </c>
    </row>
    <row r="131" spans="2:27" ht="20.100000000000001" customHeight="1" x14ac:dyDescent="0.3">
      <c r="K131" s="186"/>
      <c r="L131" s="187" t="s">
        <v>12</v>
      </c>
      <c r="M131" s="188"/>
      <c r="N131" s="189"/>
      <c r="O131" s="190"/>
      <c r="P131" s="191"/>
      <c r="Q131" s="192"/>
      <c r="R131" s="193">
        <f>ROUND(R130,0)</f>
        <v>841258</v>
      </c>
    </row>
    <row r="134" spans="2:27" ht="20.100000000000001" customHeight="1" x14ac:dyDescent="0.3">
      <c r="B134" s="373" t="s">
        <v>109</v>
      </c>
      <c r="C134" s="374"/>
      <c r="D134" s="374"/>
      <c r="E134" s="374"/>
      <c r="F134" s="374"/>
      <c r="G134" s="375"/>
      <c r="H134" s="202" t="s">
        <v>297</v>
      </c>
      <c r="I134" s="256"/>
      <c r="K134" s="373" t="s">
        <v>109</v>
      </c>
      <c r="L134" s="374"/>
      <c r="M134" s="374"/>
      <c r="N134" s="374"/>
      <c r="O134" s="374"/>
      <c r="P134" s="375"/>
      <c r="Q134" s="202" t="s">
        <v>296</v>
      </c>
      <c r="R134" s="115"/>
      <c r="T134" s="373" t="s">
        <v>109</v>
      </c>
      <c r="U134" s="374"/>
      <c r="V134" s="374"/>
      <c r="W134" s="374"/>
      <c r="X134" s="374"/>
      <c r="Y134" s="375"/>
      <c r="Z134" s="202" t="s">
        <v>295</v>
      </c>
      <c r="AA134" s="115"/>
    </row>
    <row r="135" spans="2:27" ht="20.100000000000001" customHeight="1" x14ac:dyDescent="0.3">
      <c r="B135" s="367"/>
      <c r="C135" s="378"/>
      <c r="D135" s="378"/>
      <c r="E135" s="378"/>
      <c r="F135" s="378"/>
      <c r="G135" s="369"/>
      <c r="H135" s="119" t="s">
        <v>136</v>
      </c>
      <c r="I135" s="120"/>
      <c r="K135" s="367"/>
      <c r="L135" s="378"/>
      <c r="M135" s="378"/>
      <c r="N135" s="378"/>
      <c r="O135" s="378"/>
      <c r="P135" s="369"/>
      <c r="Q135" s="119" t="s">
        <v>145</v>
      </c>
      <c r="R135" s="120"/>
      <c r="T135" s="370"/>
      <c r="U135" s="371"/>
      <c r="V135" s="371"/>
      <c r="W135" s="371"/>
      <c r="X135" s="371"/>
      <c r="Y135" s="372"/>
      <c r="Z135" s="119" t="s">
        <v>145</v>
      </c>
      <c r="AA135" s="120"/>
    </row>
    <row r="136" spans="2:27" ht="20.100000000000001" customHeight="1" x14ac:dyDescent="0.3">
      <c r="B136" s="367" t="s">
        <v>189</v>
      </c>
      <c r="C136" s="378"/>
      <c r="D136" s="378"/>
      <c r="E136" s="378"/>
      <c r="F136" s="378"/>
      <c r="G136" s="369"/>
      <c r="H136" s="119" t="s">
        <v>110</v>
      </c>
      <c r="I136" s="154"/>
      <c r="K136" s="367" t="s">
        <v>193</v>
      </c>
      <c r="L136" s="378"/>
      <c r="M136" s="378"/>
      <c r="N136" s="378"/>
      <c r="O136" s="378"/>
      <c r="P136" s="369"/>
      <c r="Q136" s="119" t="s">
        <v>110</v>
      </c>
      <c r="R136" s="120"/>
      <c r="T136" s="367" t="s">
        <v>200</v>
      </c>
      <c r="U136" s="378"/>
      <c r="V136" s="378"/>
      <c r="W136" s="378"/>
      <c r="X136" s="378"/>
      <c r="Y136" s="369"/>
      <c r="Z136" s="119" t="s">
        <v>110</v>
      </c>
      <c r="AA136" s="120"/>
    </row>
    <row r="137" spans="2:27" ht="20.100000000000001" customHeight="1" x14ac:dyDescent="0.3">
      <c r="B137" s="379"/>
      <c r="C137" s="380"/>
      <c r="D137" s="380"/>
      <c r="E137" s="380"/>
      <c r="F137" s="380"/>
      <c r="G137" s="381"/>
      <c r="H137" s="126"/>
      <c r="I137" s="127"/>
      <c r="K137" s="379"/>
      <c r="L137" s="380"/>
      <c r="M137" s="380"/>
      <c r="N137" s="380"/>
      <c r="O137" s="380"/>
      <c r="P137" s="381"/>
      <c r="Q137" s="126"/>
      <c r="R137" s="127"/>
      <c r="T137" s="379"/>
      <c r="U137" s="380"/>
      <c r="V137" s="380"/>
      <c r="W137" s="380"/>
      <c r="X137" s="380"/>
      <c r="Y137" s="381"/>
      <c r="Z137" s="126"/>
      <c r="AA137" s="127"/>
    </row>
    <row r="138" spans="2:27" ht="20.100000000000001" customHeight="1" x14ac:dyDescent="0.3">
      <c r="B138" s="128"/>
      <c r="C138" s="129"/>
      <c r="D138" s="130"/>
      <c r="E138" s="131"/>
      <c r="F138" s="132"/>
      <c r="G138" s="133"/>
      <c r="H138" s="132" t="s">
        <v>9</v>
      </c>
      <c r="I138" s="134" t="s">
        <v>0</v>
      </c>
      <c r="K138" s="128"/>
      <c r="L138" s="129"/>
      <c r="M138" s="130"/>
      <c r="N138" s="131"/>
      <c r="O138" s="132"/>
      <c r="P138" s="133"/>
      <c r="Q138" s="132" t="s">
        <v>9</v>
      </c>
      <c r="R138" s="134" t="s">
        <v>0</v>
      </c>
      <c r="T138" s="128"/>
      <c r="U138" s="129"/>
      <c r="V138" s="130"/>
      <c r="W138" s="131"/>
      <c r="X138" s="132"/>
      <c r="Y138" s="133"/>
      <c r="Z138" s="132" t="s">
        <v>9</v>
      </c>
      <c r="AA138" s="134" t="s">
        <v>0</v>
      </c>
    </row>
    <row r="139" spans="2:27" ht="20.100000000000001" customHeight="1" x14ac:dyDescent="0.3">
      <c r="B139" s="135" t="s">
        <v>10</v>
      </c>
      <c r="C139" s="376" t="s">
        <v>111</v>
      </c>
      <c r="D139" s="377"/>
      <c r="E139" s="138" t="s">
        <v>112</v>
      </c>
      <c r="F139" s="135" t="s">
        <v>2</v>
      </c>
      <c r="G139" s="5" t="s">
        <v>113</v>
      </c>
      <c r="H139" s="135" t="s">
        <v>2</v>
      </c>
      <c r="I139" s="118" t="s">
        <v>9</v>
      </c>
      <c r="K139" s="135" t="s">
        <v>10</v>
      </c>
      <c r="L139" s="376" t="s">
        <v>111</v>
      </c>
      <c r="M139" s="377"/>
      <c r="N139" s="138" t="s">
        <v>112</v>
      </c>
      <c r="O139" s="135" t="s">
        <v>2</v>
      </c>
      <c r="P139" s="5" t="s">
        <v>113</v>
      </c>
      <c r="Q139" s="135" t="s">
        <v>2</v>
      </c>
      <c r="R139" s="118" t="s">
        <v>9</v>
      </c>
      <c r="T139" s="135" t="s">
        <v>10</v>
      </c>
      <c r="U139" s="136" t="s">
        <v>111</v>
      </c>
      <c r="V139" s="137"/>
      <c r="W139" s="138" t="s">
        <v>112</v>
      </c>
      <c r="X139" s="135" t="s">
        <v>2</v>
      </c>
      <c r="Y139" s="5" t="s">
        <v>113</v>
      </c>
      <c r="Z139" s="135" t="s">
        <v>2</v>
      </c>
      <c r="AA139" s="118" t="s">
        <v>9</v>
      </c>
    </row>
    <row r="140" spans="2:27" ht="20.100000000000001" customHeight="1" x14ac:dyDescent="0.3">
      <c r="B140" s="139"/>
      <c r="C140" s="126"/>
      <c r="D140" s="140"/>
      <c r="E140" s="141"/>
      <c r="F140" s="142"/>
      <c r="G140" s="125"/>
      <c r="H140" s="142" t="s">
        <v>4</v>
      </c>
      <c r="I140" s="143" t="s">
        <v>4</v>
      </c>
      <c r="K140" s="139"/>
      <c r="L140" s="126"/>
      <c r="M140" s="140"/>
      <c r="N140" s="141"/>
      <c r="O140" s="142"/>
      <c r="P140" s="125"/>
      <c r="Q140" s="142" t="s">
        <v>4</v>
      </c>
      <c r="R140" s="143" t="s">
        <v>4</v>
      </c>
      <c r="T140" s="135"/>
      <c r="U140" s="136"/>
      <c r="V140" s="137"/>
      <c r="W140" s="138"/>
      <c r="X140" s="135"/>
      <c r="Y140" s="5"/>
      <c r="Z140" s="135"/>
      <c r="AA140" s="118"/>
    </row>
    <row r="141" spans="2:27" ht="20.100000000000001" customHeight="1" x14ac:dyDescent="0.3">
      <c r="B141" s="144" t="s">
        <v>30</v>
      </c>
      <c r="C141" s="145" t="s">
        <v>114</v>
      </c>
      <c r="D141" s="146"/>
      <c r="E141" s="147"/>
      <c r="F141" s="148"/>
      <c r="G141" s="149"/>
      <c r="H141" s="150"/>
      <c r="I141" s="151"/>
      <c r="K141" s="144" t="s">
        <v>30</v>
      </c>
      <c r="L141" s="145" t="s">
        <v>114</v>
      </c>
      <c r="M141" s="146"/>
      <c r="N141" s="147"/>
      <c r="O141" s="148"/>
      <c r="P141" s="149"/>
      <c r="Q141" s="150"/>
      <c r="R141" s="151"/>
      <c r="T141" s="139"/>
      <c r="U141" s="126"/>
      <c r="V141" s="140"/>
      <c r="W141" s="141"/>
      <c r="X141" s="142"/>
      <c r="Y141" s="125"/>
      <c r="Z141" s="142" t="s">
        <v>4</v>
      </c>
      <c r="AA141" s="143" t="s">
        <v>4</v>
      </c>
    </row>
    <row r="142" spans="2:27" ht="20.100000000000001" customHeight="1" x14ac:dyDescent="0.3">
      <c r="B142" s="152"/>
      <c r="C142" s="153" t="s">
        <v>108</v>
      </c>
      <c r="D142" s="154" t="s">
        <v>81</v>
      </c>
      <c r="E142" s="260"/>
      <c r="F142" s="156" t="s">
        <v>115</v>
      </c>
      <c r="G142" s="263">
        <v>0.7</v>
      </c>
      <c r="H142" s="158">
        <f>Q206</f>
        <v>110000</v>
      </c>
      <c r="I142" s="159">
        <f>SUM(G142*H142)</f>
        <v>77000</v>
      </c>
      <c r="K142" s="152"/>
      <c r="L142" s="153" t="s">
        <v>108</v>
      </c>
      <c r="M142" s="154" t="s">
        <v>81</v>
      </c>
      <c r="N142" s="155"/>
      <c r="O142" s="156" t="s">
        <v>115</v>
      </c>
      <c r="P142" s="194">
        <v>0.15</v>
      </c>
      <c r="Q142" s="158">
        <f t="shared" ref="Q142:Q143" si="14">H142</f>
        <v>110000</v>
      </c>
      <c r="R142" s="159">
        <f>SUM(P142*Q142)</f>
        <v>16500</v>
      </c>
      <c r="T142" s="144" t="s">
        <v>30</v>
      </c>
      <c r="U142" s="145" t="s">
        <v>114</v>
      </c>
      <c r="V142" s="146"/>
      <c r="W142" s="147"/>
      <c r="X142" s="148"/>
      <c r="Y142" s="149"/>
      <c r="Z142" s="150"/>
      <c r="AA142" s="151"/>
    </row>
    <row r="143" spans="2:27" ht="20.100000000000001" customHeight="1" x14ac:dyDescent="0.3">
      <c r="B143" s="152"/>
      <c r="C143" s="153" t="s">
        <v>108</v>
      </c>
      <c r="D143" s="154" t="s">
        <v>88</v>
      </c>
      <c r="E143" s="261"/>
      <c r="F143" s="156" t="s">
        <v>115</v>
      </c>
      <c r="G143" s="263">
        <v>0.35</v>
      </c>
      <c r="H143" s="158">
        <f>Q207</f>
        <v>170400</v>
      </c>
      <c r="I143" s="159">
        <f t="shared" ref="I143:I145" si="15">SUM(G143*H143)</f>
        <v>59639.999999999993</v>
      </c>
      <c r="K143" s="152"/>
      <c r="L143" s="153" t="s">
        <v>108</v>
      </c>
      <c r="M143" s="245" t="s">
        <v>149</v>
      </c>
      <c r="N143" s="155"/>
      <c r="O143" s="156" t="s">
        <v>115</v>
      </c>
      <c r="P143" s="160">
        <v>0.15</v>
      </c>
      <c r="Q143" s="158">
        <f t="shared" si="14"/>
        <v>170400</v>
      </c>
      <c r="R143" s="159">
        <f t="shared" ref="R143:R145" si="16">SUM(P143*Q143)</f>
        <v>25560</v>
      </c>
      <c r="T143" s="152"/>
      <c r="U143" s="153" t="s">
        <v>108</v>
      </c>
      <c r="V143" s="154" t="s">
        <v>81</v>
      </c>
      <c r="W143" s="155"/>
      <c r="X143" s="156" t="s">
        <v>115</v>
      </c>
      <c r="Y143" s="194">
        <v>0.08</v>
      </c>
      <c r="Z143" s="158">
        <f t="shared" ref="Z143:Z146" si="17">H142</f>
        <v>110000</v>
      </c>
      <c r="AA143" s="159">
        <f>SUM(Y143*Z143)</f>
        <v>8800</v>
      </c>
    </row>
    <row r="144" spans="2:27" ht="20.100000000000001" customHeight="1" x14ac:dyDescent="0.3">
      <c r="B144" s="152"/>
      <c r="C144" s="153" t="s">
        <v>108</v>
      </c>
      <c r="D144" s="154" t="s">
        <v>95</v>
      </c>
      <c r="E144" s="261"/>
      <c r="F144" s="156" t="s">
        <v>115</v>
      </c>
      <c r="G144" s="263">
        <v>3.5000000000000003E-2</v>
      </c>
      <c r="H144" s="158">
        <f>Q208</f>
        <v>218100</v>
      </c>
      <c r="I144" s="159">
        <f t="shared" si="15"/>
        <v>7633.5000000000009</v>
      </c>
      <c r="K144" s="152"/>
      <c r="L144" s="153" t="s">
        <v>108</v>
      </c>
      <c r="M144" s="154" t="s">
        <v>95</v>
      </c>
      <c r="N144" s="155"/>
      <c r="O144" s="156" t="s">
        <v>115</v>
      </c>
      <c r="P144" s="160">
        <v>1.4999999999999999E-2</v>
      </c>
      <c r="Q144" s="158">
        <f t="shared" ref="Q144:Q145" si="18">H144</f>
        <v>218100</v>
      </c>
      <c r="R144" s="159">
        <f t="shared" si="16"/>
        <v>3271.5</v>
      </c>
      <c r="T144" s="152"/>
      <c r="U144" s="153" t="s">
        <v>108</v>
      </c>
      <c r="V144" s="154" t="s">
        <v>149</v>
      </c>
      <c r="W144" s="155"/>
      <c r="X144" s="156" t="s">
        <v>115</v>
      </c>
      <c r="Y144" s="160">
        <v>0.08</v>
      </c>
      <c r="Z144" s="158">
        <f t="shared" si="17"/>
        <v>170400</v>
      </c>
      <c r="AA144" s="159">
        <f>SUM(Y144*Z144)</f>
        <v>13632</v>
      </c>
    </row>
    <row r="145" spans="2:27" ht="20.100000000000001" customHeight="1" x14ac:dyDescent="0.3">
      <c r="B145" s="152"/>
      <c r="C145" s="153" t="s">
        <v>108</v>
      </c>
      <c r="D145" s="154" t="s">
        <v>96</v>
      </c>
      <c r="E145" s="261"/>
      <c r="F145" s="156" t="s">
        <v>115</v>
      </c>
      <c r="G145" s="263">
        <v>3.5000000000000003E-2</v>
      </c>
      <c r="H145" s="158">
        <f>Q209</f>
        <v>204500</v>
      </c>
      <c r="I145" s="159">
        <f t="shared" si="15"/>
        <v>7157.5000000000009</v>
      </c>
      <c r="K145" s="152"/>
      <c r="L145" s="153" t="s">
        <v>108</v>
      </c>
      <c r="M145" s="154" t="s">
        <v>96</v>
      </c>
      <c r="N145" s="155"/>
      <c r="O145" s="156" t="s">
        <v>115</v>
      </c>
      <c r="P145" s="160">
        <v>8.0000000000000002E-3</v>
      </c>
      <c r="Q145" s="158">
        <f t="shared" si="18"/>
        <v>204500</v>
      </c>
      <c r="R145" s="159">
        <f t="shared" si="16"/>
        <v>1636</v>
      </c>
      <c r="T145" s="152"/>
      <c r="U145" s="153" t="s">
        <v>108</v>
      </c>
      <c r="V145" s="154" t="s">
        <v>95</v>
      </c>
      <c r="W145" s="155"/>
      <c r="X145" s="156" t="s">
        <v>115</v>
      </c>
      <c r="Y145" s="160">
        <v>8.0000000000000002E-3</v>
      </c>
      <c r="Z145" s="158">
        <f t="shared" si="17"/>
        <v>218100</v>
      </c>
      <c r="AA145" s="159">
        <f>SUM(Y145*Z145)</f>
        <v>1744.8</v>
      </c>
    </row>
    <row r="146" spans="2:27" ht="20.100000000000001" customHeight="1" x14ac:dyDescent="0.3">
      <c r="B146" s="152"/>
      <c r="C146" s="153"/>
      <c r="D146" s="154"/>
      <c r="E146" s="155"/>
      <c r="F146" s="156"/>
      <c r="G146" s="160"/>
      <c r="H146" s="158"/>
      <c r="I146" s="159"/>
      <c r="K146" s="152"/>
      <c r="L146" s="153"/>
      <c r="M146" s="154"/>
      <c r="N146" s="155"/>
      <c r="O146" s="156"/>
      <c r="P146" s="160"/>
      <c r="Q146" s="158"/>
      <c r="R146" s="159"/>
      <c r="T146" s="152"/>
      <c r="U146" s="153" t="s">
        <v>108</v>
      </c>
      <c r="V146" s="154" t="s">
        <v>96</v>
      </c>
      <c r="W146" s="155"/>
      <c r="X146" s="156" t="s">
        <v>115</v>
      </c>
      <c r="Y146" s="160">
        <v>4.0000000000000001E-3</v>
      </c>
      <c r="Z146" s="158">
        <f t="shared" si="17"/>
        <v>204500</v>
      </c>
      <c r="AA146" s="159">
        <f>SUM(Y146*Z146)</f>
        <v>818</v>
      </c>
    </row>
    <row r="147" spans="2:27" ht="20.100000000000001" customHeight="1" x14ac:dyDescent="0.3">
      <c r="B147" s="161"/>
      <c r="C147" s="162"/>
      <c r="D147" s="163"/>
      <c r="E147" s="147"/>
      <c r="F147" s="148"/>
      <c r="G147" s="164"/>
      <c r="H147" s="165" t="s">
        <v>116</v>
      </c>
      <c r="I147" s="166">
        <f>SUM(I142:I146)</f>
        <v>151431</v>
      </c>
      <c r="K147" s="161"/>
      <c r="L147" s="162"/>
      <c r="M147" s="163"/>
      <c r="N147" s="147"/>
      <c r="O147" s="148"/>
      <c r="P147" s="164"/>
      <c r="Q147" s="165" t="s">
        <v>116</v>
      </c>
      <c r="R147" s="166">
        <f>SUM(R142:R146)</f>
        <v>46967.5</v>
      </c>
      <c r="T147" s="152"/>
      <c r="U147" s="153"/>
      <c r="V147" s="154"/>
      <c r="W147" s="155"/>
      <c r="X147" s="156"/>
      <c r="Y147" s="160"/>
      <c r="Z147" s="158"/>
      <c r="AA147" s="159"/>
    </row>
    <row r="148" spans="2:27" ht="20.100000000000001" customHeight="1" x14ac:dyDescent="0.3">
      <c r="B148" s="144" t="s">
        <v>31</v>
      </c>
      <c r="C148" s="145" t="s">
        <v>117</v>
      </c>
      <c r="D148" s="146"/>
      <c r="E148" s="147"/>
      <c r="F148" s="167"/>
      <c r="G148" s="164"/>
      <c r="H148" s="168"/>
      <c r="I148" s="151"/>
      <c r="K148" s="144" t="s">
        <v>31</v>
      </c>
      <c r="L148" s="145" t="s">
        <v>117</v>
      </c>
      <c r="M148" s="146"/>
      <c r="N148" s="147"/>
      <c r="O148" s="167"/>
      <c r="P148" s="164"/>
      <c r="Q148" s="168"/>
      <c r="R148" s="151"/>
      <c r="T148" s="161"/>
      <c r="U148" s="162"/>
      <c r="V148" s="163"/>
      <c r="W148" s="147"/>
      <c r="X148" s="148"/>
      <c r="Y148" s="164"/>
      <c r="Z148" s="165" t="s">
        <v>116</v>
      </c>
      <c r="AA148" s="166">
        <f>SUM(AA143:AA147)</f>
        <v>24994.799999999999</v>
      </c>
    </row>
    <row r="149" spans="2:27" ht="20.100000000000001" customHeight="1" x14ac:dyDescent="0.3">
      <c r="B149" s="152"/>
      <c r="C149" s="153" t="s">
        <v>108</v>
      </c>
      <c r="D149" s="245" t="s">
        <v>263</v>
      </c>
      <c r="E149" s="155"/>
      <c r="F149" s="169" t="s">
        <v>159</v>
      </c>
      <c r="G149" s="160">
        <f>1/(0.3*1.2)</f>
        <v>2.7777777777777777</v>
      </c>
      <c r="H149" s="158">
        <f>'UPAH &amp; BAHAN'!R24</f>
        <v>172800</v>
      </c>
      <c r="I149" s="159">
        <f t="shared" ref="I149:I152" si="19">SUM(G149*H149)</f>
        <v>480000</v>
      </c>
      <c r="K149" s="152"/>
      <c r="L149" s="153" t="s">
        <v>108</v>
      </c>
      <c r="M149" s="262" t="s">
        <v>255</v>
      </c>
      <c r="N149" s="155"/>
      <c r="O149" s="169" t="s">
        <v>41</v>
      </c>
      <c r="P149" s="160">
        <v>1.05</v>
      </c>
      <c r="Q149" s="158">
        <f>'UPAH &amp; BAHAN'!$R$25</f>
        <v>178500</v>
      </c>
      <c r="R149" s="159">
        <f t="shared" ref="R149:R152" si="20">SUM(P149*Q149)</f>
        <v>187425</v>
      </c>
      <c r="T149" s="144" t="s">
        <v>31</v>
      </c>
      <c r="U149" s="145" t="s">
        <v>117</v>
      </c>
      <c r="V149" s="146"/>
      <c r="W149" s="147"/>
      <c r="X149" s="167"/>
      <c r="Y149" s="164"/>
      <c r="Z149" s="168"/>
      <c r="AA149" s="151"/>
    </row>
    <row r="150" spans="2:27" ht="20.100000000000001" customHeight="1" x14ac:dyDescent="0.3">
      <c r="B150" s="152"/>
      <c r="C150" s="153" t="s">
        <v>108</v>
      </c>
      <c r="D150" s="154" t="s">
        <v>190</v>
      </c>
      <c r="E150" s="155"/>
      <c r="F150" s="169" t="s">
        <v>72</v>
      </c>
      <c r="G150" s="160">
        <v>8.19</v>
      </c>
      <c r="H150" s="158">
        <f>'UPAH &amp; BAHAN'!R11</f>
        <v>2300</v>
      </c>
      <c r="I150" s="159">
        <f t="shared" si="19"/>
        <v>18837</v>
      </c>
      <c r="K150" s="152"/>
      <c r="L150" s="153" t="s">
        <v>108</v>
      </c>
      <c r="M150" s="245" t="s">
        <v>196</v>
      </c>
      <c r="N150" s="155"/>
      <c r="O150" s="169" t="s">
        <v>72</v>
      </c>
      <c r="P150" s="160">
        <v>0.35</v>
      </c>
      <c r="Q150" s="158">
        <f>'UPAH &amp; BAHAN'!$R$27</f>
        <v>40260</v>
      </c>
      <c r="R150" s="159">
        <f t="shared" si="20"/>
        <v>14091</v>
      </c>
      <c r="T150" s="152"/>
      <c r="U150" s="153" t="s">
        <v>108</v>
      </c>
      <c r="V150" s="262" t="s">
        <v>258</v>
      </c>
      <c r="W150" s="155"/>
      <c r="X150" s="169" t="s">
        <v>159</v>
      </c>
      <c r="Y150" s="160">
        <f>1/1.2</f>
        <v>0.83333333333333337</v>
      </c>
      <c r="Z150" s="158">
        <f>'UPAH &amp; BAHAN'!$R$26</f>
        <v>89250</v>
      </c>
      <c r="AA150" s="159">
        <f>SUM(Y150*Z150)</f>
        <v>74375</v>
      </c>
    </row>
    <row r="151" spans="2:27" ht="20.100000000000001" customHeight="1" x14ac:dyDescent="0.3">
      <c r="B151" s="152"/>
      <c r="C151" s="153" t="s">
        <v>108</v>
      </c>
      <c r="D151" s="154" t="s">
        <v>191</v>
      </c>
      <c r="E151" s="155"/>
      <c r="F151" s="169" t="s">
        <v>164</v>
      </c>
      <c r="G151" s="160">
        <v>4.4999999999999998E-2</v>
      </c>
      <c r="H151" s="158">
        <f>'UPAH &amp; BAHAN'!R13</f>
        <v>208450</v>
      </c>
      <c r="I151" s="159">
        <f t="shared" si="19"/>
        <v>9380.25</v>
      </c>
      <c r="K151" s="152"/>
      <c r="L151" s="153"/>
      <c r="M151" s="154"/>
      <c r="N151" s="155"/>
      <c r="O151" s="169"/>
      <c r="P151" s="160"/>
      <c r="Q151" s="158"/>
      <c r="R151" s="159">
        <f t="shared" si="20"/>
        <v>0</v>
      </c>
      <c r="T151" s="152"/>
      <c r="U151" s="153" t="s">
        <v>108</v>
      </c>
      <c r="V151" s="154" t="s">
        <v>194</v>
      </c>
      <c r="W151" s="155"/>
      <c r="X151" s="169" t="s">
        <v>72</v>
      </c>
      <c r="Y151" s="160">
        <v>0.08</v>
      </c>
      <c r="Z151" s="158">
        <f>'UPAH &amp; BAHAN'!$R$27</f>
        <v>40260</v>
      </c>
      <c r="AA151" s="159">
        <f>SUM(Y151*Z151)</f>
        <v>3220.8</v>
      </c>
    </row>
    <row r="152" spans="2:27" ht="20.100000000000001" customHeight="1" x14ac:dyDescent="0.3">
      <c r="B152" s="152"/>
      <c r="C152" s="153" t="s">
        <v>108</v>
      </c>
      <c r="D152" s="154" t="s">
        <v>192</v>
      </c>
      <c r="E152" s="155"/>
      <c r="F152" s="169" t="s">
        <v>72</v>
      </c>
      <c r="G152" s="160">
        <v>0.13400000000000001</v>
      </c>
      <c r="H152" s="158">
        <f>'UPAH &amp; BAHAN'!R12</f>
        <v>12650</v>
      </c>
      <c r="I152" s="159">
        <f t="shared" si="19"/>
        <v>1695.1000000000001</v>
      </c>
      <c r="K152" s="152"/>
      <c r="L152" s="153"/>
      <c r="M152" s="154"/>
      <c r="N152" s="155"/>
      <c r="O152" s="195"/>
      <c r="P152" s="160"/>
      <c r="Q152" s="158"/>
      <c r="R152" s="159">
        <f t="shared" si="20"/>
        <v>0</v>
      </c>
      <c r="T152" s="152"/>
      <c r="U152" s="153"/>
      <c r="V152" s="154"/>
      <c r="W152" s="155"/>
      <c r="X152" s="169"/>
      <c r="Y152" s="160"/>
      <c r="Z152" s="158"/>
      <c r="AA152" s="159">
        <f>SUM(Y152*Z152)</f>
        <v>0</v>
      </c>
    </row>
    <row r="153" spans="2:27" ht="20.100000000000001" customHeight="1" x14ac:dyDescent="0.3">
      <c r="B153" s="152"/>
      <c r="C153" s="153"/>
      <c r="D153" s="154"/>
      <c r="E153" s="155"/>
      <c r="F153" s="195"/>
      <c r="G153" s="160"/>
      <c r="H153" s="158"/>
      <c r="I153" s="159"/>
      <c r="K153" s="161"/>
      <c r="L153" s="162"/>
      <c r="M153" s="163"/>
      <c r="N153" s="170"/>
      <c r="O153" s="148"/>
      <c r="P153" s="171"/>
      <c r="Q153" s="165" t="s">
        <v>118</v>
      </c>
      <c r="R153" s="166">
        <f>SUM(R149:R152)</f>
        <v>201516</v>
      </c>
      <c r="T153" s="152"/>
      <c r="U153" s="153"/>
      <c r="V153" s="154"/>
      <c r="W153" s="155"/>
      <c r="X153" s="195"/>
      <c r="Y153" s="160"/>
      <c r="Z153" s="158"/>
      <c r="AA153" s="159"/>
    </row>
    <row r="154" spans="2:27" ht="20.100000000000001" customHeight="1" x14ac:dyDescent="0.3">
      <c r="B154" s="161"/>
      <c r="C154" s="162"/>
      <c r="D154" s="163"/>
      <c r="E154" s="170"/>
      <c r="F154" s="148"/>
      <c r="G154" s="171"/>
      <c r="H154" s="165" t="s">
        <v>118</v>
      </c>
      <c r="I154" s="166">
        <f>SUM(I149:I153)</f>
        <v>509912.35</v>
      </c>
      <c r="K154" s="144" t="s">
        <v>32</v>
      </c>
      <c r="L154" s="145" t="s">
        <v>119</v>
      </c>
      <c r="M154" s="146"/>
      <c r="N154" s="147"/>
      <c r="O154" s="148"/>
      <c r="P154" s="171"/>
      <c r="Q154" s="168"/>
      <c r="R154" s="151"/>
      <c r="T154" s="161"/>
      <c r="U154" s="162"/>
      <c r="V154" s="163"/>
      <c r="W154" s="170"/>
      <c r="X154" s="148"/>
      <c r="Y154" s="171"/>
      <c r="Z154" s="165" t="s">
        <v>118</v>
      </c>
      <c r="AA154" s="166">
        <f>SUM(AA150:AA153)</f>
        <v>77595.8</v>
      </c>
    </row>
    <row r="155" spans="2:27" ht="20.100000000000001" customHeight="1" x14ac:dyDescent="0.3">
      <c r="B155" s="144" t="s">
        <v>32</v>
      </c>
      <c r="C155" s="145" t="s">
        <v>119</v>
      </c>
      <c r="D155" s="146"/>
      <c r="E155" s="147"/>
      <c r="F155" s="148"/>
      <c r="G155" s="171"/>
      <c r="H155" s="168"/>
      <c r="I155" s="151"/>
      <c r="K155" s="152"/>
      <c r="L155" s="153"/>
      <c r="M155" s="154"/>
      <c r="N155" s="155"/>
      <c r="O155" s="172"/>
      <c r="P155" s="173">
        <v>0</v>
      </c>
      <c r="Q155" s="158"/>
      <c r="R155" s="159">
        <f>SUM(P155*Q155)</f>
        <v>0</v>
      </c>
      <c r="T155" s="144" t="s">
        <v>32</v>
      </c>
      <c r="U155" s="145" t="s">
        <v>119</v>
      </c>
      <c r="V155" s="146"/>
      <c r="W155" s="147"/>
      <c r="X155" s="148"/>
      <c r="Y155" s="171"/>
      <c r="Z155" s="168"/>
      <c r="AA155" s="151"/>
    </row>
    <row r="156" spans="2:27" ht="20.100000000000001" customHeight="1" x14ac:dyDescent="0.3">
      <c r="B156" s="152"/>
      <c r="C156" s="153"/>
      <c r="D156" s="154"/>
      <c r="E156" s="155"/>
      <c r="F156" s="172"/>
      <c r="G156" s="173"/>
      <c r="H156" s="158"/>
      <c r="I156" s="159">
        <f>SUM(G156*H156)</f>
        <v>0</v>
      </c>
      <c r="K156" s="161"/>
      <c r="L156" s="162"/>
      <c r="M156" s="163"/>
      <c r="N156" s="170"/>
      <c r="O156" s="148"/>
      <c r="P156" s="174"/>
      <c r="Q156" s="165" t="s">
        <v>120</v>
      </c>
      <c r="R156" s="166">
        <f>SUM(R155:R155)</f>
        <v>0</v>
      </c>
      <c r="T156" s="152"/>
      <c r="U156" s="153"/>
      <c r="V156" s="154"/>
      <c r="W156" s="155"/>
      <c r="X156" s="172"/>
      <c r="Y156" s="173"/>
      <c r="Z156" s="158"/>
      <c r="AA156" s="159">
        <f>SUM(Y156*Z156)</f>
        <v>0</v>
      </c>
    </row>
    <row r="157" spans="2:27" ht="20.100000000000001" customHeight="1" x14ac:dyDescent="0.3">
      <c r="B157" s="161"/>
      <c r="C157" s="162"/>
      <c r="D157" s="163"/>
      <c r="E157" s="170"/>
      <c r="F157" s="148"/>
      <c r="G157" s="174"/>
      <c r="H157" s="165" t="s">
        <v>120</v>
      </c>
      <c r="I157" s="166">
        <f>SUM(I156:I156)</f>
        <v>0</v>
      </c>
      <c r="K157" s="175"/>
      <c r="L157" s="153"/>
      <c r="M157" s="58"/>
      <c r="N157" s="176"/>
      <c r="O157" s="177"/>
      <c r="P157" s="178"/>
      <c r="Q157" s="179"/>
      <c r="R157" s="180"/>
      <c r="T157" s="152"/>
      <c r="U157" s="153"/>
      <c r="V157" s="154"/>
      <c r="W157" s="155"/>
      <c r="X157" s="172"/>
      <c r="Y157" s="173"/>
      <c r="Z157" s="158"/>
      <c r="AA157" s="159">
        <f>SUM(Y157*Z157)</f>
        <v>0</v>
      </c>
    </row>
    <row r="158" spans="2:27" ht="20.100000000000001" customHeight="1" x14ac:dyDescent="0.3">
      <c r="B158" s="175"/>
      <c r="C158" s="153"/>
      <c r="D158" s="58"/>
      <c r="E158" s="176"/>
      <c r="F158" s="257"/>
      <c r="G158" s="178"/>
      <c r="H158" s="258"/>
      <c r="I158" s="259"/>
      <c r="K158" s="181" t="s">
        <v>44</v>
      </c>
      <c r="L158" s="153" t="s">
        <v>121</v>
      </c>
      <c r="M158" s="58"/>
      <c r="N158" s="155" t="s">
        <v>125</v>
      </c>
      <c r="O158" s="60"/>
      <c r="P158" s="182"/>
      <c r="Q158" s="183"/>
      <c r="R158" s="159">
        <f>SUM(R147+R153+R156)</f>
        <v>248483.5</v>
      </c>
      <c r="T158" s="161"/>
      <c r="U158" s="162"/>
      <c r="V158" s="163"/>
      <c r="W158" s="170"/>
      <c r="X158" s="148"/>
      <c r="Y158" s="174"/>
      <c r="Z158" s="165" t="s">
        <v>120</v>
      </c>
      <c r="AA158" s="166">
        <f>SUM(AA156:AA157)</f>
        <v>0</v>
      </c>
    </row>
    <row r="159" spans="2:27" ht="20.100000000000001" customHeight="1" x14ac:dyDescent="0.3">
      <c r="B159" s="181" t="s">
        <v>44</v>
      </c>
      <c r="C159" s="153" t="s">
        <v>121</v>
      </c>
      <c r="D159" s="58"/>
      <c r="E159" s="155" t="s">
        <v>125</v>
      </c>
      <c r="F159" s="60"/>
      <c r="G159" s="182"/>
      <c r="H159" s="183"/>
      <c r="I159" s="159">
        <f>SUM(I147+I154+I157)</f>
        <v>661343.35</v>
      </c>
      <c r="K159" s="181" t="s">
        <v>68</v>
      </c>
      <c r="L159" s="153" t="s">
        <v>122</v>
      </c>
      <c r="M159" s="58"/>
      <c r="N159" s="155" t="s">
        <v>125</v>
      </c>
      <c r="O159" s="60"/>
      <c r="P159" s="184"/>
      <c r="Q159" s="183"/>
      <c r="R159" s="185">
        <f>SUM(R158*15/100)</f>
        <v>37272.525000000001</v>
      </c>
      <c r="T159" s="175"/>
      <c r="U159" s="153"/>
      <c r="V159" s="58"/>
      <c r="W159" s="176"/>
      <c r="X159" s="177"/>
      <c r="Y159" s="178"/>
      <c r="Z159" s="179"/>
      <c r="AA159" s="180"/>
    </row>
    <row r="160" spans="2:27" ht="20.100000000000001" customHeight="1" x14ac:dyDescent="0.3">
      <c r="B160" s="181" t="s">
        <v>68</v>
      </c>
      <c r="C160" s="153" t="s">
        <v>122</v>
      </c>
      <c r="D160" s="58"/>
      <c r="E160" s="155" t="s">
        <v>125</v>
      </c>
      <c r="F160" s="60"/>
      <c r="G160" s="184"/>
      <c r="H160" s="183"/>
      <c r="I160" s="185">
        <f>SUM(I159*15/100)</f>
        <v>99201.502500000002</v>
      </c>
      <c r="K160" s="181" t="s">
        <v>123</v>
      </c>
      <c r="L160" s="153" t="s">
        <v>124</v>
      </c>
      <c r="M160" s="58"/>
      <c r="N160" s="155" t="s">
        <v>125</v>
      </c>
      <c r="O160" s="60"/>
      <c r="P160" s="184"/>
      <c r="Q160" s="183"/>
      <c r="R160" s="159">
        <f>SUM(R158:R159)</f>
        <v>285756.02500000002</v>
      </c>
      <c r="T160" s="181" t="s">
        <v>44</v>
      </c>
      <c r="U160" s="153" t="s">
        <v>121</v>
      </c>
      <c r="V160" s="58"/>
      <c r="W160" s="155" t="s">
        <v>125</v>
      </c>
      <c r="X160" s="60"/>
      <c r="Y160" s="182"/>
      <c r="Z160" s="183"/>
      <c r="AA160" s="159">
        <f>SUM(AA148+AA154+AA158)</f>
        <v>102590.6</v>
      </c>
    </row>
    <row r="161" spans="2:27" ht="20.100000000000001" customHeight="1" x14ac:dyDescent="0.3">
      <c r="B161" s="181" t="s">
        <v>123</v>
      </c>
      <c r="C161" s="153" t="s">
        <v>124</v>
      </c>
      <c r="D161" s="58"/>
      <c r="E161" s="155" t="s">
        <v>125</v>
      </c>
      <c r="F161" s="60"/>
      <c r="G161" s="184"/>
      <c r="H161" s="183"/>
      <c r="I161" s="159">
        <f>SUM(I159:I160)</f>
        <v>760544.85250000004</v>
      </c>
      <c r="K161" s="186"/>
      <c r="L161" s="187" t="s">
        <v>12</v>
      </c>
      <c r="M161" s="188"/>
      <c r="N161" s="189"/>
      <c r="O161" s="190"/>
      <c r="P161" s="191"/>
      <c r="Q161" s="192"/>
      <c r="R161" s="193">
        <f>ROUND(R160,0)</f>
        <v>285756</v>
      </c>
      <c r="T161" s="181" t="s">
        <v>68</v>
      </c>
      <c r="U161" s="153" t="s">
        <v>122</v>
      </c>
      <c r="V161" s="58"/>
      <c r="W161" s="155" t="s">
        <v>125</v>
      </c>
      <c r="X161" s="60"/>
      <c r="Y161" s="184"/>
      <c r="Z161" s="183"/>
      <c r="AA161" s="185">
        <f>SUM(AA160*15/100)</f>
        <v>15388.59</v>
      </c>
    </row>
    <row r="162" spans="2:27" ht="20.100000000000001" customHeight="1" x14ac:dyDescent="0.3">
      <c r="B162" s="186"/>
      <c r="C162" s="187" t="s">
        <v>12</v>
      </c>
      <c r="D162" s="188"/>
      <c r="E162" s="189"/>
      <c r="F162" s="190"/>
      <c r="G162" s="191"/>
      <c r="H162" s="192"/>
      <c r="I162" s="193">
        <f>ROUND(I161,0)</f>
        <v>760545</v>
      </c>
      <c r="T162" s="181" t="s">
        <v>123</v>
      </c>
      <c r="U162" s="153" t="s">
        <v>124</v>
      </c>
      <c r="V162" s="58"/>
      <c r="W162" s="155" t="s">
        <v>125</v>
      </c>
      <c r="X162" s="60"/>
      <c r="Y162" s="184"/>
      <c r="Z162" s="183"/>
      <c r="AA162" s="159">
        <f>SUM(AA160:AA161)</f>
        <v>117979.19</v>
      </c>
    </row>
    <row r="163" spans="2:27" ht="20.100000000000001" customHeight="1" x14ac:dyDescent="0.3">
      <c r="T163" s="186"/>
      <c r="U163" s="187" t="s">
        <v>12</v>
      </c>
      <c r="V163" s="188"/>
      <c r="W163" s="189"/>
      <c r="X163" s="190"/>
      <c r="Y163" s="191"/>
      <c r="Z163" s="192"/>
      <c r="AA163" s="193">
        <f>ROUND(AA162,0)</f>
        <v>117979</v>
      </c>
    </row>
    <row r="166" spans="2:27" ht="20.100000000000001" customHeight="1" x14ac:dyDescent="0.3">
      <c r="B166" s="373" t="s">
        <v>109</v>
      </c>
      <c r="C166" s="374"/>
      <c r="D166" s="374"/>
      <c r="E166" s="374"/>
      <c r="F166" s="374"/>
      <c r="G166" s="375"/>
      <c r="H166" s="202" t="s">
        <v>135</v>
      </c>
      <c r="I166" s="203"/>
      <c r="K166" s="373" t="s">
        <v>109</v>
      </c>
      <c r="L166" s="374"/>
      <c r="M166" s="374"/>
      <c r="N166" s="374"/>
      <c r="O166" s="374"/>
      <c r="P166" s="375"/>
      <c r="Q166" s="202" t="s">
        <v>298</v>
      </c>
      <c r="R166" s="203"/>
      <c r="T166" s="373" t="s">
        <v>109</v>
      </c>
      <c r="U166" s="374"/>
      <c r="V166" s="374"/>
      <c r="W166" s="374"/>
      <c r="X166" s="374"/>
      <c r="Y166" s="375"/>
      <c r="Z166" s="202" t="s">
        <v>299</v>
      </c>
      <c r="AA166" s="203"/>
    </row>
    <row r="167" spans="2:27" ht="20.100000000000001" customHeight="1" x14ac:dyDescent="0.3">
      <c r="B167" s="116"/>
      <c r="C167" s="117"/>
      <c r="D167" s="117"/>
      <c r="E167" s="117"/>
      <c r="F167" s="117"/>
      <c r="G167" s="118"/>
      <c r="H167" s="119" t="s">
        <v>136</v>
      </c>
      <c r="I167" s="204"/>
      <c r="K167" s="116"/>
      <c r="L167" s="117"/>
      <c r="M167" s="117"/>
      <c r="N167" s="117"/>
      <c r="O167" s="117"/>
      <c r="P167" s="118"/>
      <c r="Q167" s="119" t="s">
        <v>145</v>
      </c>
      <c r="R167" s="120"/>
      <c r="T167" s="116"/>
      <c r="U167" s="117"/>
      <c r="V167" s="117"/>
      <c r="W167" s="117"/>
      <c r="X167" s="117"/>
      <c r="Y167" s="118"/>
      <c r="Z167" s="119" t="s">
        <v>136</v>
      </c>
      <c r="AA167" s="204"/>
    </row>
    <row r="168" spans="2:27" ht="20.100000000000001" customHeight="1" x14ac:dyDescent="0.3">
      <c r="B168" s="367" t="s">
        <v>137</v>
      </c>
      <c r="C168" s="378"/>
      <c r="D168" s="378"/>
      <c r="E168" s="378"/>
      <c r="F168" s="378"/>
      <c r="G168" s="369"/>
      <c r="H168" s="119" t="s">
        <v>110</v>
      </c>
      <c r="I168" s="154"/>
      <c r="K168" s="367" t="s">
        <v>284</v>
      </c>
      <c r="L168" s="378"/>
      <c r="M168" s="378"/>
      <c r="N168" s="378"/>
      <c r="O168" s="378"/>
      <c r="P168" s="369"/>
      <c r="Q168" s="119" t="s">
        <v>110</v>
      </c>
      <c r="R168" s="120"/>
      <c r="T168" s="367" t="s">
        <v>288</v>
      </c>
      <c r="U168" s="378"/>
      <c r="V168" s="378"/>
      <c r="W168" s="378"/>
      <c r="X168" s="378"/>
      <c r="Y168" s="369"/>
      <c r="Z168" s="119" t="s">
        <v>110</v>
      </c>
      <c r="AA168" s="154"/>
    </row>
    <row r="169" spans="2:27" ht="20.100000000000001" customHeight="1" x14ac:dyDescent="0.3">
      <c r="B169" s="367" t="s">
        <v>138</v>
      </c>
      <c r="C169" s="378"/>
      <c r="D169" s="378"/>
      <c r="E169" s="378"/>
      <c r="F169" s="378"/>
      <c r="G169" s="369"/>
      <c r="H169" s="119"/>
      <c r="I169" s="154"/>
      <c r="K169" s="121"/>
      <c r="L169" s="122"/>
      <c r="M169" s="122"/>
      <c r="N169" s="123"/>
      <c r="O169" s="124"/>
      <c r="P169" s="125"/>
      <c r="Q169" s="162"/>
      <c r="R169" s="205"/>
      <c r="T169" s="121"/>
      <c r="U169" s="122"/>
      <c r="V169" s="122"/>
      <c r="W169" s="123"/>
      <c r="X169" s="124"/>
      <c r="Y169" s="125"/>
      <c r="Z169" s="162"/>
      <c r="AA169" s="205"/>
    </row>
    <row r="170" spans="2:27" ht="20.100000000000001" customHeight="1" x14ac:dyDescent="0.3">
      <c r="B170" s="121"/>
      <c r="C170" s="122"/>
      <c r="D170" s="122"/>
      <c r="E170" s="123"/>
      <c r="F170" s="124"/>
      <c r="G170" s="125"/>
      <c r="H170" s="162"/>
      <c r="I170" s="205"/>
      <c r="K170" s="206"/>
      <c r="L170" s="207"/>
      <c r="M170" s="208"/>
      <c r="N170" s="209"/>
      <c r="O170" s="210"/>
      <c r="P170" s="211"/>
      <c r="Q170" s="210" t="s">
        <v>9</v>
      </c>
      <c r="R170" s="212" t="s">
        <v>0</v>
      </c>
      <c r="T170" s="206"/>
      <c r="U170" s="207"/>
      <c r="V170" s="208"/>
      <c r="W170" s="209"/>
      <c r="X170" s="210"/>
      <c r="Y170" s="211"/>
      <c r="Z170" s="210" t="s">
        <v>9</v>
      </c>
      <c r="AA170" s="212" t="s">
        <v>0</v>
      </c>
    </row>
    <row r="171" spans="2:27" ht="20.100000000000001" customHeight="1" x14ac:dyDescent="0.3">
      <c r="B171" s="206"/>
      <c r="C171" s="207"/>
      <c r="D171" s="208"/>
      <c r="E171" s="209"/>
      <c r="F171" s="210"/>
      <c r="G171" s="211"/>
      <c r="H171" s="210" t="s">
        <v>9</v>
      </c>
      <c r="I171" s="212" t="s">
        <v>0</v>
      </c>
      <c r="K171" s="156" t="s">
        <v>10</v>
      </c>
      <c r="L171" s="365" t="s">
        <v>111</v>
      </c>
      <c r="M171" s="366"/>
      <c r="N171" s="213" t="s">
        <v>112</v>
      </c>
      <c r="O171" s="156" t="s">
        <v>2</v>
      </c>
      <c r="P171" s="61" t="s">
        <v>113</v>
      </c>
      <c r="Q171" s="156" t="s">
        <v>2</v>
      </c>
      <c r="R171" s="214" t="s">
        <v>9</v>
      </c>
      <c r="T171" s="156" t="s">
        <v>10</v>
      </c>
      <c r="U171" s="365" t="s">
        <v>111</v>
      </c>
      <c r="V171" s="366"/>
      <c r="W171" s="213" t="s">
        <v>112</v>
      </c>
      <c r="X171" s="156" t="s">
        <v>2</v>
      </c>
      <c r="Y171" s="61" t="s">
        <v>113</v>
      </c>
      <c r="Z171" s="156" t="s">
        <v>2</v>
      </c>
      <c r="AA171" s="214" t="s">
        <v>9</v>
      </c>
    </row>
    <row r="172" spans="2:27" ht="20.100000000000001" customHeight="1" x14ac:dyDescent="0.3">
      <c r="B172" s="156" t="s">
        <v>10</v>
      </c>
      <c r="C172" s="365" t="s">
        <v>111</v>
      </c>
      <c r="D172" s="366"/>
      <c r="E172" s="213" t="s">
        <v>112</v>
      </c>
      <c r="F172" s="156" t="s">
        <v>2</v>
      </c>
      <c r="G172" s="61" t="s">
        <v>113</v>
      </c>
      <c r="H172" s="156" t="s">
        <v>2</v>
      </c>
      <c r="I172" s="214" t="s">
        <v>9</v>
      </c>
      <c r="K172" s="215"/>
      <c r="L172" s="162"/>
      <c r="M172" s="163"/>
      <c r="N172" s="216"/>
      <c r="O172" s="217"/>
      <c r="P172" s="218"/>
      <c r="Q172" s="217" t="s">
        <v>4</v>
      </c>
      <c r="R172" s="219" t="s">
        <v>4</v>
      </c>
      <c r="T172" s="215"/>
      <c r="U172" s="162"/>
      <c r="V172" s="163"/>
      <c r="W172" s="216"/>
      <c r="X172" s="217"/>
      <c r="Y172" s="218"/>
      <c r="Z172" s="217" t="s">
        <v>4</v>
      </c>
      <c r="AA172" s="219" t="s">
        <v>4</v>
      </c>
    </row>
    <row r="173" spans="2:27" ht="20.100000000000001" customHeight="1" x14ac:dyDescent="0.3">
      <c r="B173" s="215"/>
      <c r="C173" s="162"/>
      <c r="D173" s="163"/>
      <c r="E173" s="216"/>
      <c r="F173" s="217"/>
      <c r="G173" s="218"/>
      <c r="H173" s="217" t="s">
        <v>4</v>
      </c>
      <c r="I173" s="219" t="s">
        <v>4</v>
      </c>
      <c r="K173" s="144" t="s">
        <v>30</v>
      </c>
      <c r="L173" s="145" t="s">
        <v>114</v>
      </c>
      <c r="M173" s="146"/>
      <c r="N173" s="147"/>
      <c r="O173" s="148"/>
      <c r="P173" s="149"/>
      <c r="Q173" s="150"/>
      <c r="R173" s="151"/>
      <c r="T173" s="144" t="s">
        <v>30</v>
      </c>
      <c r="U173" s="145" t="s">
        <v>114</v>
      </c>
      <c r="V173" s="146"/>
      <c r="W173" s="147"/>
      <c r="X173" s="148"/>
      <c r="Y173" s="149"/>
      <c r="Z173" s="150"/>
      <c r="AA173" s="151"/>
    </row>
    <row r="174" spans="2:27" ht="20.100000000000001" customHeight="1" x14ac:dyDescent="0.3">
      <c r="B174" s="144" t="s">
        <v>30</v>
      </c>
      <c r="C174" s="145" t="s">
        <v>114</v>
      </c>
      <c r="D174" s="146"/>
      <c r="E174" s="147"/>
      <c r="F174" s="148"/>
      <c r="G174" s="149"/>
      <c r="H174" s="150"/>
      <c r="I174" s="151"/>
      <c r="K174" s="152"/>
      <c r="L174" s="153" t="s">
        <v>108</v>
      </c>
      <c r="M174" s="154" t="s">
        <v>81</v>
      </c>
      <c r="N174" s="155"/>
      <c r="O174" s="156" t="s">
        <v>115</v>
      </c>
      <c r="P174" s="244">
        <v>0.14000000000000001</v>
      </c>
      <c r="Q174" s="221">
        <f t="shared" ref="Q174:Q177" si="21">H175</f>
        <v>110000</v>
      </c>
      <c r="R174" s="159">
        <f>SUM(P174*Q174)</f>
        <v>15400.000000000002</v>
      </c>
      <c r="T174" s="152"/>
      <c r="U174" s="153" t="s">
        <v>108</v>
      </c>
      <c r="V174" s="154" t="s">
        <v>81</v>
      </c>
      <c r="W174" s="155"/>
      <c r="X174" s="156" t="s">
        <v>115</v>
      </c>
      <c r="Y174" s="244">
        <v>0.25</v>
      </c>
      <c r="Z174" s="221">
        <f t="shared" ref="Z174:Z177" si="22">Q174</f>
        <v>110000</v>
      </c>
      <c r="AA174" s="159">
        <f>SUM(Y174*Z174)</f>
        <v>27500</v>
      </c>
    </row>
    <row r="175" spans="2:27" ht="20.100000000000001" customHeight="1" x14ac:dyDescent="0.3">
      <c r="B175" s="152"/>
      <c r="C175" s="153" t="s">
        <v>108</v>
      </c>
      <c r="D175" s="154" t="s">
        <v>81</v>
      </c>
      <c r="E175" s="155"/>
      <c r="F175" s="156" t="s">
        <v>115</v>
      </c>
      <c r="G175" s="220">
        <v>0.76039999999999996</v>
      </c>
      <c r="H175" s="221">
        <f>'UPAH &amp; BAHAN'!H11</f>
        <v>110000</v>
      </c>
      <c r="I175" s="159">
        <f>SUM(G175*H175)</f>
        <v>83644</v>
      </c>
      <c r="K175" s="152"/>
      <c r="L175" s="153" t="s">
        <v>108</v>
      </c>
      <c r="M175" s="154" t="s">
        <v>92</v>
      </c>
      <c r="N175" s="155"/>
      <c r="O175" s="156" t="s">
        <v>115</v>
      </c>
      <c r="P175" s="244">
        <v>6.7000000000000004E-2</v>
      </c>
      <c r="Q175" s="221">
        <f t="shared" si="21"/>
        <v>170400</v>
      </c>
      <c r="R175" s="159">
        <f>SUM(P175*Q175)</f>
        <v>11416.800000000001</v>
      </c>
      <c r="T175" s="152"/>
      <c r="U175" s="153" t="s">
        <v>108</v>
      </c>
      <c r="V175" s="154" t="s">
        <v>92</v>
      </c>
      <c r="W175" s="155"/>
      <c r="X175" s="156" t="s">
        <v>115</v>
      </c>
      <c r="Y175" s="244">
        <v>0.15</v>
      </c>
      <c r="Z175" s="221">
        <f t="shared" si="22"/>
        <v>170400</v>
      </c>
      <c r="AA175" s="159">
        <f>SUM(Y175*Z175)</f>
        <v>25560</v>
      </c>
    </row>
    <row r="176" spans="2:27" ht="20.100000000000001" customHeight="1" x14ac:dyDescent="0.3">
      <c r="B176" s="152"/>
      <c r="C176" s="153" t="s">
        <v>108</v>
      </c>
      <c r="D176" s="154" t="s">
        <v>92</v>
      </c>
      <c r="E176" s="155"/>
      <c r="F176" s="156" t="s">
        <v>115</v>
      </c>
      <c r="G176" s="220">
        <v>0.76039999999999996</v>
      </c>
      <c r="H176" s="221">
        <f>'UPAH &amp; BAHAN'!H20</f>
        <v>170400</v>
      </c>
      <c r="I176" s="159">
        <f>SUM(G176*H176)</f>
        <v>129572.15999999999</v>
      </c>
      <c r="K176" s="152"/>
      <c r="L176" s="153" t="s">
        <v>108</v>
      </c>
      <c r="M176" s="154" t="s">
        <v>139</v>
      </c>
      <c r="N176" s="155"/>
      <c r="O176" s="156" t="s">
        <v>115</v>
      </c>
      <c r="P176" s="244">
        <v>7.0000000000000001E-3</v>
      </c>
      <c r="Q176" s="221">
        <f t="shared" si="21"/>
        <v>218100</v>
      </c>
      <c r="R176" s="159">
        <f>SUM(P176*Q176)</f>
        <v>1526.7</v>
      </c>
      <c r="T176" s="152"/>
      <c r="U176" s="153" t="s">
        <v>108</v>
      </c>
      <c r="V176" s="154" t="s">
        <v>139</v>
      </c>
      <c r="W176" s="155"/>
      <c r="X176" s="156" t="s">
        <v>115</v>
      </c>
      <c r="Y176" s="244">
        <v>1.4999999999999999E-2</v>
      </c>
      <c r="Z176" s="221">
        <f t="shared" si="22"/>
        <v>218100</v>
      </c>
      <c r="AA176" s="159">
        <f>SUM(Y176*Z176)</f>
        <v>3271.5</v>
      </c>
    </row>
    <row r="177" spans="2:27" ht="20.100000000000001" customHeight="1" x14ac:dyDescent="0.3">
      <c r="B177" s="152"/>
      <c r="C177" s="153" t="s">
        <v>108</v>
      </c>
      <c r="D177" s="154" t="s">
        <v>139</v>
      </c>
      <c r="E177" s="155"/>
      <c r="F177" s="156" t="s">
        <v>115</v>
      </c>
      <c r="G177" s="220">
        <v>7.5999999999999998E-2</v>
      </c>
      <c r="H177" s="221">
        <f>'UPAH &amp; BAHAN'!H24</f>
        <v>218100</v>
      </c>
      <c r="I177" s="159">
        <f>SUM(G177*H177)</f>
        <v>16575.599999999999</v>
      </c>
      <c r="K177" s="152"/>
      <c r="L177" s="153" t="s">
        <v>108</v>
      </c>
      <c r="M177" s="154" t="s">
        <v>96</v>
      </c>
      <c r="N177" s="155"/>
      <c r="O177" s="156" t="s">
        <v>115</v>
      </c>
      <c r="P177" s="223">
        <v>7.0000000000000001E-3</v>
      </c>
      <c r="Q177" s="221">
        <f t="shared" si="21"/>
        <v>204500</v>
      </c>
      <c r="R177" s="159">
        <f>SUM(P177*Q177)</f>
        <v>1431.5</v>
      </c>
      <c r="T177" s="152"/>
      <c r="U177" s="153" t="s">
        <v>108</v>
      </c>
      <c r="V177" s="154" t="s">
        <v>96</v>
      </c>
      <c r="W177" s="155"/>
      <c r="X177" s="156" t="s">
        <v>115</v>
      </c>
      <c r="Y177" s="223">
        <v>1.2999999999999999E-2</v>
      </c>
      <c r="Z177" s="221">
        <f t="shared" si="22"/>
        <v>204500</v>
      </c>
      <c r="AA177" s="159">
        <f>SUM(Y177*Z177)</f>
        <v>2658.5</v>
      </c>
    </row>
    <row r="178" spans="2:27" ht="19.5" customHeight="1" x14ac:dyDescent="0.3">
      <c r="B178" s="152"/>
      <c r="C178" s="153" t="s">
        <v>108</v>
      </c>
      <c r="D178" s="154" t="s">
        <v>96</v>
      </c>
      <c r="E178" s="155"/>
      <c r="F178" s="156" t="s">
        <v>115</v>
      </c>
      <c r="G178" s="222">
        <v>3.7999999999999999E-2</v>
      </c>
      <c r="H178" s="221">
        <f>'UPAH &amp; BAHAN'!H25</f>
        <v>204500</v>
      </c>
      <c r="I178" s="159">
        <f>SUM(G178*H178)</f>
        <v>7771</v>
      </c>
      <c r="K178" s="152"/>
      <c r="L178" s="153"/>
      <c r="M178" s="154"/>
      <c r="N178" s="155"/>
      <c r="O178" s="156"/>
      <c r="P178" s="223"/>
      <c r="Q178" s="221"/>
      <c r="R178" s="159"/>
      <c r="T178" s="152"/>
      <c r="U178" s="153"/>
      <c r="V178" s="154"/>
      <c r="W178" s="155"/>
      <c r="X178" s="156"/>
      <c r="Y178" s="223"/>
      <c r="Z178" s="221"/>
      <c r="AA178" s="159"/>
    </row>
    <row r="179" spans="2:27" ht="20.100000000000001" customHeight="1" x14ac:dyDescent="0.3">
      <c r="B179" s="152"/>
      <c r="C179" s="153"/>
      <c r="D179" s="154"/>
      <c r="E179" s="155"/>
      <c r="F179" s="156"/>
      <c r="G179" s="223"/>
      <c r="H179" s="221"/>
      <c r="I179" s="159"/>
      <c r="K179" s="161"/>
      <c r="L179" s="162"/>
      <c r="M179" s="163"/>
      <c r="N179" s="147"/>
      <c r="O179" s="148"/>
      <c r="P179" s="224"/>
      <c r="Q179" s="225" t="s">
        <v>116</v>
      </c>
      <c r="R179" s="166">
        <f>SUM(R174:R178)</f>
        <v>29775.000000000004</v>
      </c>
      <c r="T179" s="161"/>
      <c r="U179" s="162"/>
      <c r="V179" s="163"/>
      <c r="W179" s="147"/>
      <c r="X179" s="148"/>
      <c r="Y179" s="224"/>
      <c r="Z179" s="225" t="s">
        <v>116</v>
      </c>
      <c r="AA179" s="166">
        <f>SUM(AA174:AA178)</f>
        <v>58990</v>
      </c>
    </row>
    <row r="180" spans="2:27" ht="20.100000000000001" customHeight="1" x14ac:dyDescent="0.3">
      <c r="B180" s="161"/>
      <c r="C180" s="162"/>
      <c r="D180" s="163"/>
      <c r="E180" s="147"/>
      <c r="F180" s="148"/>
      <c r="G180" s="224"/>
      <c r="H180" s="225" t="s">
        <v>116</v>
      </c>
      <c r="I180" s="166">
        <f>SUM(I175:I178)</f>
        <v>237562.75999999998</v>
      </c>
      <c r="K180" s="144" t="s">
        <v>31</v>
      </c>
      <c r="L180" s="145" t="s">
        <v>117</v>
      </c>
      <c r="M180" s="226"/>
      <c r="N180" s="147"/>
      <c r="O180" s="167"/>
      <c r="P180" s="224"/>
      <c r="Q180" s="227"/>
      <c r="R180" s="151"/>
      <c r="T180" s="144" t="s">
        <v>31</v>
      </c>
      <c r="U180" s="145" t="s">
        <v>117</v>
      </c>
      <c r="V180" s="226"/>
      <c r="W180" s="147"/>
      <c r="X180" s="167"/>
      <c r="Y180" s="224"/>
      <c r="Z180" s="227"/>
      <c r="AA180" s="151"/>
    </row>
    <row r="181" spans="2:27" ht="20.100000000000001" customHeight="1" x14ac:dyDescent="0.3">
      <c r="B181" s="144" t="s">
        <v>31</v>
      </c>
      <c r="C181" s="145" t="s">
        <v>117</v>
      </c>
      <c r="D181" s="226"/>
      <c r="E181" s="147"/>
      <c r="F181" s="167"/>
      <c r="G181" s="224"/>
      <c r="H181" s="227"/>
      <c r="I181" s="151"/>
      <c r="K181" s="152"/>
      <c r="L181" s="119" t="s">
        <v>108</v>
      </c>
      <c r="M181" s="245" t="str">
        <f>'UPAH &amp; BAHAN'!$O$46</f>
        <v xml:space="preserve">Atap UPVC  (double layer) </v>
      </c>
      <c r="N181" s="155"/>
      <c r="O181" s="253" t="s">
        <v>285</v>
      </c>
      <c r="P181" s="229">
        <f>1/(0.688*1)</f>
        <v>1.4534883720930234</v>
      </c>
      <c r="Q181" s="221">
        <f>'UPAH &amp; BAHAN'!$R$46</f>
        <v>209000</v>
      </c>
      <c r="R181" s="159">
        <f>SUM(P181*Q181)</f>
        <v>303779.06976744189</v>
      </c>
      <c r="T181" s="152"/>
      <c r="U181" s="119" t="s">
        <v>108</v>
      </c>
      <c r="V181" s="154" t="str">
        <f>'UPAH &amp; BAHAN'!$O$47</f>
        <v>Rabung UPVC uk. 105cm x 110cm x 3mm</v>
      </c>
      <c r="W181" s="155"/>
      <c r="X181" s="156" t="s">
        <v>147</v>
      </c>
      <c r="Y181" s="229">
        <v>1.05</v>
      </c>
      <c r="Z181" s="221">
        <f>'UPAH &amp; BAHAN'!$R$47</f>
        <v>150150</v>
      </c>
      <c r="AA181" s="159">
        <f>SUM(Y181*Z181)</f>
        <v>157657.5</v>
      </c>
    </row>
    <row r="182" spans="2:27" ht="20.100000000000001" customHeight="1" x14ac:dyDescent="0.3">
      <c r="B182" s="152"/>
      <c r="C182" s="119" t="s">
        <v>108</v>
      </c>
      <c r="D182" s="154" t="s">
        <v>140</v>
      </c>
      <c r="E182" s="155"/>
      <c r="F182" s="156" t="s">
        <v>141</v>
      </c>
      <c r="G182" s="228">
        <v>0.873</v>
      </c>
      <c r="H182" s="221">
        <f>'UPAH &amp; BAHAN'!$R$41</f>
        <v>85600</v>
      </c>
      <c r="I182" s="159">
        <f>SUM(G182*H182)</f>
        <v>74728.800000000003</v>
      </c>
      <c r="K182" s="152"/>
      <c r="L182" s="119" t="s">
        <v>108</v>
      </c>
      <c r="M182" s="154" t="s">
        <v>146</v>
      </c>
      <c r="N182" s="155"/>
      <c r="O182" s="156" t="s">
        <v>72</v>
      </c>
      <c r="P182" s="229">
        <v>0.05</v>
      </c>
      <c r="Q182" s="221">
        <f>'UPAH &amp; BAHAN'!R48</f>
        <v>64225</v>
      </c>
      <c r="R182" s="159">
        <f>SUM(P182*Q182)</f>
        <v>3211.25</v>
      </c>
      <c r="T182" s="152"/>
      <c r="U182" s="119" t="s">
        <v>108</v>
      </c>
      <c r="V182" s="154" t="s">
        <v>146</v>
      </c>
      <c r="W182" s="155"/>
      <c r="X182" s="156" t="s">
        <v>72</v>
      </c>
      <c r="Y182" s="229">
        <v>0.05</v>
      </c>
      <c r="Z182" s="221">
        <f>$Q$182</f>
        <v>64225</v>
      </c>
      <c r="AA182" s="159">
        <f>SUM(Y182*Z182)</f>
        <v>3211.25</v>
      </c>
    </row>
    <row r="183" spans="2:27" ht="20.100000000000001" customHeight="1" x14ac:dyDescent="0.3">
      <c r="B183" s="152"/>
      <c r="C183" s="119"/>
      <c r="D183" s="154"/>
      <c r="E183" s="155"/>
      <c r="F183" s="156"/>
      <c r="G183" s="229"/>
      <c r="H183" s="221"/>
      <c r="I183" s="159"/>
      <c r="K183" s="152"/>
      <c r="L183" s="119"/>
      <c r="M183" s="154"/>
      <c r="N183" s="155"/>
      <c r="O183" s="156"/>
      <c r="P183" s="229"/>
      <c r="Q183" s="221"/>
      <c r="R183" s="159"/>
      <c r="T183" s="152"/>
      <c r="U183" s="119"/>
      <c r="V183" s="154"/>
      <c r="W183" s="155"/>
      <c r="X183" s="156"/>
      <c r="Y183" s="246"/>
      <c r="Z183" s="221"/>
      <c r="AA183" s="159"/>
    </row>
    <row r="184" spans="2:27" ht="20.100000000000001" customHeight="1" x14ac:dyDescent="0.3">
      <c r="B184" s="152"/>
      <c r="C184" s="119"/>
      <c r="D184" s="154"/>
      <c r="E184" s="155"/>
      <c r="F184" s="156"/>
      <c r="G184" s="229"/>
      <c r="H184" s="221"/>
      <c r="I184" s="159"/>
      <c r="K184" s="152"/>
      <c r="L184" s="119"/>
      <c r="M184" s="154"/>
      <c r="N184" s="155"/>
      <c r="O184" s="156"/>
      <c r="P184" s="229"/>
      <c r="Q184" s="221"/>
      <c r="R184" s="159"/>
      <c r="T184" s="152"/>
      <c r="U184" s="119"/>
      <c r="V184" s="154"/>
      <c r="W184" s="155"/>
      <c r="X184" s="156"/>
      <c r="Y184" s="229"/>
      <c r="Z184" s="221"/>
      <c r="AA184" s="159"/>
    </row>
    <row r="185" spans="2:27" ht="20.100000000000001" customHeight="1" x14ac:dyDescent="0.3">
      <c r="B185" s="161"/>
      <c r="C185" s="162"/>
      <c r="D185" s="163"/>
      <c r="E185" s="170"/>
      <c r="F185" s="148"/>
      <c r="G185" s="230"/>
      <c r="H185" s="225" t="s">
        <v>118</v>
      </c>
      <c r="I185" s="166">
        <f>SUM(I182:I184)</f>
        <v>74728.800000000003</v>
      </c>
      <c r="K185" s="161"/>
      <c r="L185" s="162"/>
      <c r="M185" s="163"/>
      <c r="N185" s="170"/>
      <c r="O185" s="148"/>
      <c r="P185" s="230"/>
      <c r="Q185" s="225" t="s">
        <v>118</v>
      </c>
      <c r="R185" s="166">
        <f>SUM(R181:R184)</f>
        <v>306990.31976744189</v>
      </c>
      <c r="T185" s="161"/>
      <c r="U185" s="162"/>
      <c r="V185" s="163"/>
      <c r="W185" s="170"/>
      <c r="X185" s="148"/>
      <c r="Y185" s="230"/>
      <c r="Z185" s="225" t="s">
        <v>118</v>
      </c>
      <c r="AA185" s="166">
        <f>SUM(AA181:AA184)</f>
        <v>160868.75</v>
      </c>
    </row>
    <row r="186" spans="2:27" ht="20.100000000000001" customHeight="1" x14ac:dyDescent="0.3">
      <c r="B186" s="144" t="s">
        <v>32</v>
      </c>
      <c r="C186" s="145" t="s">
        <v>119</v>
      </c>
      <c r="D186" s="226"/>
      <c r="E186" s="147"/>
      <c r="F186" s="148"/>
      <c r="G186" s="230"/>
      <c r="H186" s="231"/>
      <c r="I186" s="151"/>
      <c r="K186" s="144" t="s">
        <v>32</v>
      </c>
      <c r="L186" s="145" t="s">
        <v>119</v>
      </c>
      <c r="M186" s="226"/>
      <c r="N186" s="147"/>
      <c r="O186" s="148"/>
      <c r="P186" s="230"/>
      <c r="Q186" s="231"/>
      <c r="R186" s="151"/>
      <c r="T186" s="144" t="s">
        <v>32</v>
      </c>
      <c r="U186" s="145" t="s">
        <v>119</v>
      </c>
      <c r="V186" s="226"/>
      <c r="W186" s="147"/>
      <c r="X186" s="148"/>
      <c r="Y186" s="230"/>
      <c r="Z186" s="231"/>
      <c r="AA186" s="151"/>
    </row>
    <row r="187" spans="2:27" ht="20.100000000000001" customHeight="1" x14ac:dyDescent="0.3">
      <c r="B187" s="152"/>
      <c r="C187" s="119" t="s">
        <v>108</v>
      </c>
      <c r="D187" s="154" t="s">
        <v>142</v>
      </c>
      <c r="E187" s="155"/>
      <c r="F187" s="156" t="s">
        <v>143</v>
      </c>
      <c r="G187" s="232">
        <v>10</v>
      </c>
      <c r="H187" s="221">
        <f>I185</f>
        <v>74728.800000000003</v>
      </c>
      <c r="I187" s="159">
        <f>SUM(H187*G187)/100</f>
        <v>7472.88</v>
      </c>
      <c r="K187" s="152"/>
      <c r="L187" s="153"/>
      <c r="M187" s="154"/>
      <c r="N187" s="155"/>
      <c r="O187" s="172"/>
      <c r="P187" s="232"/>
      <c r="Q187" s="221"/>
      <c r="R187" s="159"/>
      <c r="T187" s="152"/>
      <c r="U187" s="153"/>
      <c r="V187" s="154"/>
      <c r="W187" s="155"/>
      <c r="X187" s="172"/>
      <c r="Y187" s="232"/>
      <c r="Z187" s="221"/>
      <c r="AA187" s="159"/>
    </row>
    <row r="188" spans="2:27" ht="20.100000000000001" customHeight="1" x14ac:dyDescent="0.3">
      <c r="B188" s="152"/>
      <c r="C188" s="153"/>
      <c r="D188" s="154"/>
      <c r="E188" s="155"/>
      <c r="F188" s="172"/>
      <c r="G188" s="232"/>
      <c r="H188" s="221"/>
      <c r="I188" s="159"/>
      <c r="K188" s="152"/>
      <c r="L188" s="153"/>
      <c r="M188" s="154"/>
      <c r="N188" s="155"/>
      <c r="O188" s="172"/>
      <c r="P188" s="232"/>
      <c r="Q188" s="221"/>
      <c r="R188" s="159"/>
      <c r="T188" s="152"/>
      <c r="U188" s="153"/>
      <c r="V188" s="154"/>
      <c r="W188" s="155"/>
      <c r="X188" s="172"/>
      <c r="Y188" s="232"/>
      <c r="Z188" s="221"/>
      <c r="AA188" s="159"/>
    </row>
    <row r="189" spans="2:27" ht="20.100000000000001" customHeight="1" x14ac:dyDescent="0.3">
      <c r="B189" s="161"/>
      <c r="C189" s="162"/>
      <c r="D189" s="163"/>
      <c r="E189" s="170"/>
      <c r="F189" s="148"/>
      <c r="G189" s="230"/>
      <c r="H189" s="225" t="s">
        <v>120</v>
      </c>
      <c r="I189" s="166">
        <f>SUM(I187:I188)</f>
        <v>7472.88</v>
      </c>
      <c r="K189" s="161"/>
      <c r="L189" s="162"/>
      <c r="M189" s="163"/>
      <c r="N189" s="170"/>
      <c r="O189" s="148"/>
      <c r="P189" s="230"/>
      <c r="Q189" s="225" t="s">
        <v>120</v>
      </c>
      <c r="R189" s="166">
        <f>SUM(R187:R188)</f>
        <v>0</v>
      </c>
      <c r="T189" s="161"/>
      <c r="U189" s="162"/>
      <c r="V189" s="163"/>
      <c r="W189" s="170"/>
      <c r="X189" s="148"/>
      <c r="Y189" s="230"/>
      <c r="Z189" s="225" t="s">
        <v>120</v>
      </c>
      <c r="AA189" s="166">
        <f>SUM(AA187:AA188)</f>
        <v>0</v>
      </c>
    </row>
    <row r="190" spans="2:27" ht="20.100000000000001" customHeight="1" x14ac:dyDescent="0.3">
      <c r="B190" s="175"/>
      <c r="C190" s="153"/>
      <c r="D190" s="58"/>
      <c r="E190" s="176"/>
      <c r="F190" s="177"/>
      <c r="G190" s="178"/>
      <c r="H190" s="233"/>
      <c r="I190" s="180"/>
      <c r="K190" s="175"/>
      <c r="L190" s="153"/>
      <c r="M190" s="58"/>
      <c r="N190" s="176"/>
      <c r="O190" s="177"/>
      <c r="P190" s="178"/>
      <c r="Q190" s="233"/>
      <c r="R190" s="180"/>
      <c r="T190" s="175"/>
      <c r="U190" s="153"/>
      <c r="V190" s="58"/>
      <c r="W190" s="176"/>
      <c r="X190" s="177"/>
      <c r="Y190" s="178"/>
      <c r="Z190" s="233"/>
      <c r="AA190" s="180"/>
    </row>
    <row r="191" spans="2:27" ht="20.100000000000001" customHeight="1" x14ac:dyDescent="0.3">
      <c r="B191" s="181" t="s">
        <v>44</v>
      </c>
      <c r="C191" s="153" t="s">
        <v>121</v>
      </c>
      <c r="D191" s="58"/>
      <c r="E191" s="234" t="s">
        <v>144</v>
      </c>
      <c r="F191" s="60"/>
      <c r="G191" s="182"/>
      <c r="H191" s="183"/>
      <c r="I191" s="159">
        <f>SUM(I180+I185+I189)</f>
        <v>319764.44</v>
      </c>
      <c r="K191" s="181" t="s">
        <v>44</v>
      </c>
      <c r="L191" s="153" t="s">
        <v>121</v>
      </c>
      <c r="M191" s="58"/>
      <c r="N191" s="234" t="s">
        <v>144</v>
      </c>
      <c r="O191" s="60"/>
      <c r="P191" s="182"/>
      <c r="Q191" s="183"/>
      <c r="R191" s="159">
        <f>SUM(R179+R185+R189)</f>
        <v>336765.31976744189</v>
      </c>
      <c r="T191" s="181" t="s">
        <v>44</v>
      </c>
      <c r="U191" s="153" t="s">
        <v>121</v>
      </c>
      <c r="V191" s="58"/>
      <c r="W191" s="234" t="s">
        <v>144</v>
      </c>
      <c r="X191" s="60"/>
      <c r="Y191" s="182"/>
      <c r="Z191" s="183"/>
      <c r="AA191" s="159">
        <f>SUM(AA179+AA185+AA189)</f>
        <v>219858.75</v>
      </c>
    </row>
    <row r="192" spans="2:27" ht="20.100000000000001" customHeight="1" x14ac:dyDescent="0.3">
      <c r="B192" s="181" t="s">
        <v>68</v>
      </c>
      <c r="C192" s="153" t="s">
        <v>122</v>
      </c>
      <c r="D192" s="58"/>
      <c r="E192" s="234" t="s">
        <v>144</v>
      </c>
      <c r="F192" s="235"/>
      <c r="G192" s="184"/>
      <c r="H192" s="236"/>
      <c r="I192" s="237">
        <f>SUM(I191*15/100)</f>
        <v>47964.665999999997</v>
      </c>
      <c r="K192" s="181" t="s">
        <v>68</v>
      </c>
      <c r="L192" s="153" t="s">
        <v>122</v>
      </c>
      <c r="M192" s="58"/>
      <c r="N192" s="234" t="s">
        <v>144</v>
      </c>
      <c r="O192" s="235"/>
      <c r="P192" s="184"/>
      <c r="Q192" s="236"/>
      <c r="R192" s="237">
        <f>SUM(R191*15/100)</f>
        <v>50514.79796511629</v>
      </c>
      <c r="T192" s="181" t="s">
        <v>68</v>
      </c>
      <c r="U192" s="153" t="s">
        <v>122</v>
      </c>
      <c r="V192" s="58"/>
      <c r="W192" s="234" t="s">
        <v>144</v>
      </c>
      <c r="X192" s="235"/>
      <c r="Y192" s="184"/>
      <c r="Z192" s="236"/>
      <c r="AA192" s="237">
        <f>SUM(AA191*15/100)</f>
        <v>32978.8125</v>
      </c>
    </row>
    <row r="193" spans="2:27" ht="20.100000000000001" customHeight="1" x14ac:dyDescent="0.3">
      <c r="B193" s="181" t="s">
        <v>123</v>
      </c>
      <c r="C193" s="153" t="s">
        <v>124</v>
      </c>
      <c r="D193" s="58"/>
      <c r="E193" s="234" t="s">
        <v>144</v>
      </c>
      <c r="F193" s="60"/>
      <c r="G193" s="184"/>
      <c r="H193" s="183"/>
      <c r="I193" s="159">
        <f>SUM(I191:I192)</f>
        <v>367729.10600000003</v>
      </c>
      <c r="K193" s="181" t="s">
        <v>123</v>
      </c>
      <c r="L193" s="153" t="s">
        <v>124</v>
      </c>
      <c r="M193" s="58"/>
      <c r="N193" s="234" t="s">
        <v>144</v>
      </c>
      <c r="O193" s="60"/>
      <c r="P193" s="184"/>
      <c r="Q193" s="183"/>
      <c r="R193" s="159">
        <f>SUM(R191:R192)</f>
        <v>387280.11773255817</v>
      </c>
      <c r="T193" s="181" t="s">
        <v>123</v>
      </c>
      <c r="U193" s="153" t="s">
        <v>124</v>
      </c>
      <c r="V193" s="58"/>
      <c r="W193" s="234" t="s">
        <v>144</v>
      </c>
      <c r="X193" s="60"/>
      <c r="Y193" s="184"/>
      <c r="Z193" s="183"/>
      <c r="AA193" s="159">
        <f>SUM(AA191:AA192)</f>
        <v>252837.5625</v>
      </c>
    </row>
    <row r="194" spans="2:27" ht="20.100000000000001" customHeight="1" x14ac:dyDescent="0.3">
      <c r="B194" s="238"/>
      <c r="C194" s="187" t="s">
        <v>12</v>
      </c>
      <c r="D194" s="239"/>
      <c r="E194" s="240"/>
      <c r="F194" s="241"/>
      <c r="G194" s="242"/>
      <c r="H194" s="243"/>
      <c r="I194" s="193">
        <f>ROUND(I193,0)</f>
        <v>367729</v>
      </c>
      <c r="K194" s="238"/>
      <c r="L194" s="187" t="s">
        <v>12</v>
      </c>
      <c r="M194" s="239"/>
      <c r="N194" s="240"/>
      <c r="O194" s="241"/>
      <c r="P194" s="242"/>
      <c r="Q194" s="243"/>
      <c r="R194" s="193">
        <f>ROUND(R193,0)</f>
        <v>387280</v>
      </c>
      <c r="T194" s="238"/>
      <c r="U194" s="187" t="s">
        <v>12</v>
      </c>
      <c r="V194" s="239"/>
      <c r="W194" s="240"/>
      <c r="X194" s="241"/>
      <c r="Y194" s="242"/>
      <c r="Z194" s="243"/>
      <c r="AA194" s="193">
        <f>ROUND(AA193,0)</f>
        <v>252838</v>
      </c>
    </row>
    <row r="198" spans="2:27" ht="20.100000000000001" customHeight="1" x14ac:dyDescent="0.3">
      <c r="B198" s="373" t="s">
        <v>109</v>
      </c>
      <c r="C198" s="374"/>
      <c r="D198" s="374"/>
      <c r="E198" s="374"/>
      <c r="F198" s="374"/>
      <c r="G198" s="375"/>
      <c r="H198" s="202" t="s">
        <v>195</v>
      </c>
      <c r="I198" s="115"/>
      <c r="K198" s="373" t="s">
        <v>109</v>
      </c>
      <c r="L198" s="374"/>
      <c r="M198" s="374"/>
      <c r="N198" s="374"/>
      <c r="O198" s="374"/>
      <c r="P198" s="375"/>
      <c r="Q198" s="202" t="s">
        <v>171</v>
      </c>
      <c r="R198" s="115"/>
      <c r="T198" s="373" t="s">
        <v>109</v>
      </c>
      <c r="U198" s="374"/>
      <c r="V198" s="374"/>
      <c r="W198" s="374"/>
      <c r="X198" s="374"/>
      <c r="Y198" s="375"/>
      <c r="Z198" s="129" t="s">
        <v>177</v>
      </c>
      <c r="AA198" s="115"/>
    </row>
    <row r="199" spans="2:27" ht="20.100000000000001" customHeight="1" x14ac:dyDescent="0.3">
      <c r="B199" s="367"/>
      <c r="C199" s="378"/>
      <c r="D199" s="378"/>
      <c r="E199" s="378"/>
      <c r="F199" s="378"/>
      <c r="G199" s="369"/>
      <c r="H199" s="119" t="s">
        <v>145</v>
      </c>
      <c r="I199" s="120"/>
      <c r="K199" s="367" t="s">
        <v>176</v>
      </c>
      <c r="L199" s="378"/>
      <c r="M199" s="378"/>
      <c r="N199" s="378"/>
      <c r="O199" s="378"/>
      <c r="P199" s="369"/>
      <c r="Q199" s="119" t="s">
        <v>145</v>
      </c>
      <c r="R199" s="120"/>
      <c r="T199" s="370"/>
      <c r="U199" s="371"/>
      <c r="V199" s="371"/>
      <c r="W199" s="371"/>
      <c r="X199" s="371"/>
      <c r="Y199" s="372"/>
      <c r="Z199" s="254" t="s">
        <v>178</v>
      </c>
      <c r="AA199" s="120"/>
    </row>
    <row r="200" spans="2:27" ht="20.100000000000001" customHeight="1" x14ac:dyDescent="0.3">
      <c r="B200" s="367" t="s">
        <v>187</v>
      </c>
      <c r="C200" s="378"/>
      <c r="D200" s="378"/>
      <c r="E200" s="378"/>
      <c r="F200" s="378"/>
      <c r="G200" s="369"/>
      <c r="H200" s="119" t="s">
        <v>110</v>
      </c>
      <c r="I200" s="120"/>
      <c r="K200" s="367" t="s">
        <v>172</v>
      </c>
      <c r="L200" s="378"/>
      <c r="M200" s="378"/>
      <c r="N200" s="378"/>
      <c r="O200" s="378"/>
      <c r="P200" s="369"/>
      <c r="Q200" s="119" t="s">
        <v>110</v>
      </c>
      <c r="R200" s="120"/>
      <c r="T200" s="367" t="s">
        <v>179</v>
      </c>
      <c r="U200" s="378"/>
      <c r="V200" s="378"/>
      <c r="W200" s="378"/>
      <c r="X200" s="378"/>
      <c r="Y200" s="369"/>
      <c r="Z200" s="254" t="s">
        <v>136</v>
      </c>
      <c r="AA200" s="120"/>
    </row>
    <row r="201" spans="2:27" ht="20.100000000000001" customHeight="1" x14ac:dyDescent="0.3">
      <c r="B201" s="379"/>
      <c r="C201" s="380"/>
      <c r="D201" s="380"/>
      <c r="E201" s="380"/>
      <c r="F201" s="380"/>
      <c r="G201" s="381"/>
      <c r="H201" s="126"/>
      <c r="I201" s="127"/>
      <c r="K201" s="379"/>
      <c r="L201" s="380"/>
      <c r="M201" s="380"/>
      <c r="N201" s="380"/>
      <c r="O201" s="380"/>
      <c r="P201" s="381"/>
      <c r="Q201" s="126"/>
      <c r="R201" s="127"/>
      <c r="T201" s="379"/>
      <c r="U201" s="380"/>
      <c r="V201" s="380"/>
      <c r="W201" s="380"/>
      <c r="X201" s="380"/>
      <c r="Y201" s="381"/>
      <c r="Z201" s="119" t="s">
        <v>110</v>
      </c>
      <c r="AA201" s="127"/>
    </row>
    <row r="202" spans="2:27" ht="20.100000000000001" customHeight="1" x14ac:dyDescent="0.3">
      <c r="B202" s="128"/>
      <c r="C202" s="129"/>
      <c r="D202" s="130"/>
      <c r="E202" s="131"/>
      <c r="F202" s="132"/>
      <c r="G202" s="133"/>
      <c r="H202" s="132" t="s">
        <v>9</v>
      </c>
      <c r="I202" s="134" t="s">
        <v>0</v>
      </c>
      <c r="K202" s="128"/>
      <c r="L202" s="129"/>
      <c r="M202" s="130"/>
      <c r="N202" s="131"/>
      <c r="O202" s="132"/>
      <c r="P202" s="133"/>
      <c r="Q202" s="132" t="s">
        <v>9</v>
      </c>
      <c r="R202" s="134" t="s">
        <v>0</v>
      </c>
      <c r="T202" s="128"/>
      <c r="U202" s="129"/>
      <c r="V202" s="130"/>
      <c r="W202" s="131"/>
      <c r="X202" s="132"/>
      <c r="Y202" s="133"/>
      <c r="Z202" s="132" t="s">
        <v>9</v>
      </c>
      <c r="AA202" s="134" t="s">
        <v>0</v>
      </c>
    </row>
    <row r="203" spans="2:27" ht="20.100000000000001" customHeight="1" x14ac:dyDescent="0.3">
      <c r="B203" s="135" t="s">
        <v>10</v>
      </c>
      <c r="C203" s="376" t="s">
        <v>111</v>
      </c>
      <c r="D203" s="377"/>
      <c r="E203" s="138" t="s">
        <v>112</v>
      </c>
      <c r="F203" s="135" t="s">
        <v>2</v>
      </c>
      <c r="G203" s="5" t="s">
        <v>113</v>
      </c>
      <c r="H203" s="135" t="s">
        <v>2</v>
      </c>
      <c r="I203" s="118" t="s">
        <v>9</v>
      </c>
      <c r="K203" s="135" t="s">
        <v>10</v>
      </c>
      <c r="L203" s="376" t="s">
        <v>111</v>
      </c>
      <c r="M203" s="377"/>
      <c r="N203" s="138" t="s">
        <v>112</v>
      </c>
      <c r="O203" s="135" t="s">
        <v>2</v>
      </c>
      <c r="P203" s="5" t="s">
        <v>113</v>
      </c>
      <c r="Q203" s="135" t="s">
        <v>2</v>
      </c>
      <c r="R203" s="118" t="s">
        <v>9</v>
      </c>
      <c r="T203" s="135" t="s">
        <v>10</v>
      </c>
      <c r="U203" s="376" t="s">
        <v>111</v>
      </c>
      <c r="V203" s="377"/>
      <c r="W203" s="138" t="s">
        <v>112</v>
      </c>
      <c r="X203" s="135" t="s">
        <v>2</v>
      </c>
      <c r="Y203" s="5" t="s">
        <v>113</v>
      </c>
      <c r="Z203" s="135" t="s">
        <v>2</v>
      </c>
      <c r="AA203" s="118" t="s">
        <v>9</v>
      </c>
    </row>
    <row r="204" spans="2:27" ht="20.100000000000001" customHeight="1" x14ac:dyDescent="0.3">
      <c r="B204" s="139"/>
      <c r="C204" s="126"/>
      <c r="D204" s="140"/>
      <c r="E204" s="141"/>
      <c r="F204" s="142"/>
      <c r="G204" s="125"/>
      <c r="H204" s="142" t="s">
        <v>4</v>
      </c>
      <c r="I204" s="143" t="s">
        <v>4</v>
      </c>
      <c r="K204" s="139"/>
      <c r="L204" s="126"/>
      <c r="M204" s="140"/>
      <c r="N204" s="141"/>
      <c r="O204" s="142"/>
      <c r="P204" s="125"/>
      <c r="Q204" s="142" t="s">
        <v>4</v>
      </c>
      <c r="R204" s="143" t="s">
        <v>4</v>
      </c>
      <c r="T204" s="139"/>
      <c r="U204" s="126"/>
      <c r="V204" s="140"/>
      <c r="W204" s="141"/>
      <c r="X204" s="142"/>
      <c r="Y204" s="125"/>
      <c r="Z204" s="142" t="s">
        <v>4</v>
      </c>
      <c r="AA204" s="143" t="s">
        <v>4</v>
      </c>
    </row>
    <row r="205" spans="2:27" ht="20.100000000000001" customHeight="1" x14ac:dyDescent="0.3">
      <c r="B205" s="144" t="s">
        <v>30</v>
      </c>
      <c r="C205" s="145" t="s">
        <v>114</v>
      </c>
      <c r="D205" s="146"/>
      <c r="E205" s="147"/>
      <c r="F205" s="148"/>
      <c r="G205" s="149"/>
      <c r="H205" s="150"/>
      <c r="I205" s="151"/>
      <c r="K205" s="144" t="s">
        <v>30</v>
      </c>
      <c r="L205" s="145" t="s">
        <v>114</v>
      </c>
      <c r="M205" s="146"/>
      <c r="N205" s="147"/>
      <c r="O205" s="148"/>
      <c r="P205" s="149"/>
      <c r="Q205" s="150"/>
      <c r="R205" s="151"/>
      <c r="T205" s="144" t="s">
        <v>30</v>
      </c>
      <c r="U205" s="145" t="s">
        <v>114</v>
      </c>
      <c r="V205" s="146"/>
      <c r="W205" s="147"/>
      <c r="X205" s="148"/>
      <c r="Y205" s="149"/>
      <c r="Z205" s="150"/>
      <c r="AA205" s="151"/>
    </row>
    <row r="206" spans="2:27" ht="20.100000000000001" customHeight="1" x14ac:dyDescent="0.3">
      <c r="B206" s="152"/>
      <c r="C206" s="153" t="s">
        <v>108</v>
      </c>
      <c r="D206" s="154" t="s">
        <v>81</v>
      </c>
      <c r="E206" s="155"/>
      <c r="F206" s="156" t="s">
        <v>115</v>
      </c>
      <c r="G206" s="194">
        <v>0.15</v>
      </c>
      <c r="H206" s="158">
        <f>Q206</f>
        <v>110000</v>
      </c>
      <c r="I206" s="159">
        <f>SUM(G206*H206)</f>
        <v>16500</v>
      </c>
      <c r="K206" s="152"/>
      <c r="L206" s="153" t="s">
        <v>108</v>
      </c>
      <c r="M206" s="154" t="s">
        <v>81</v>
      </c>
      <c r="N206" s="155"/>
      <c r="O206" s="156" t="s">
        <v>115</v>
      </c>
      <c r="P206" s="194">
        <v>0.02</v>
      </c>
      <c r="Q206" s="158">
        <f>H108</f>
        <v>110000</v>
      </c>
      <c r="R206" s="159">
        <f>SUM(P206*Q206)</f>
        <v>2200</v>
      </c>
      <c r="T206" s="152"/>
      <c r="U206" s="153" t="s">
        <v>108</v>
      </c>
      <c r="V206" s="154" t="s">
        <v>81</v>
      </c>
      <c r="W206" s="155"/>
      <c r="X206" s="156" t="s">
        <v>115</v>
      </c>
      <c r="Y206" s="194">
        <v>0.12</v>
      </c>
      <c r="Z206" s="158">
        <f>Q206</f>
        <v>110000</v>
      </c>
      <c r="AA206" s="159">
        <f>SUM(Y206*Z206)</f>
        <v>13200</v>
      </c>
    </row>
    <row r="207" spans="2:27" ht="20.100000000000001" customHeight="1" x14ac:dyDescent="0.3">
      <c r="B207" s="152"/>
      <c r="C207" s="153" t="s">
        <v>108</v>
      </c>
      <c r="D207" s="154" t="s">
        <v>96</v>
      </c>
      <c r="E207" s="155"/>
      <c r="F207" s="156" t="s">
        <v>115</v>
      </c>
      <c r="G207" s="160">
        <v>3.0000000000000001E-3</v>
      </c>
      <c r="H207" s="158">
        <f>Q209</f>
        <v>204500</v>
      </c>
      <c r="I207" s="159">
        <f t="shared" ref="I207" si="23">SUM(G207*H207)</f>
        <v>613.5</v>
      </c>
      <c r="K207" s="152"/>
      <c r="L207" s="153" t="s">
        <v>108</v>
      </c>
      <c r="M207" s="154" t="s">
        <v>94</v>
      </c>
      <c r="N207" s="155"/>
      <c r="O207" s="156" t="s">
        <v>115</v>
      </c>
      <c r="P207" s="160">
        <v>6.3E-2</v>
      </c>
      <c r="Q207" s="158">
        <f>H109</f>
        <v>170400</v>
      </c>
      <c r="R207" s="159">
        <f t="shared" ref="R207:R209" si="24">SUM(P207*Q207)</f>
        <v>10735.2</v>
      </c>
      <c r="T207" s="152"/>
      <c r="U207" s="153" t="s">
        <v>108</v>
      </c>
      <c r="V207" s="154" t="s">
        <v>180</v>
      </c>
      <c r="W207" s="155"/>
      <c r="X207" s="156" t="s">
        <v>115</v>
      </c>
      <c r="Y207" s="160">
        <v>0.12</v>
      </c>
      <c r="Z207" s="158">
        <f>Q207</f>
        <v>170400</v>
      </c>
      <c r="AA207" s="159">
        <f>SUM(Y207*Z207)</f>
        <v>20448</v>
      </c>
    </row>
    <row r="208" spans="2:27" ht="20.100000000000001" customHeight="1" x14ac:dyDescent="0.3">
      <c r="B208" s="152"/>
      <c r="C208" s="153"/>
      <c r="D208" s="154"/>
      <c r="E208" s="155"/>
      <c r="F208" s="156"/>
      <c r="G208" s="160"/>
      <c r="H208" s="158"/>
      <c r="I208" s="159"/>
      <c r="K208" s="152"/>
      <c r="L208" s="153" t="s">
        <v>108</v>
      </c>
      <c r="M208" s="154" t="s">
        <v>95</v>
      </c>
      <c r="N208" s="155"/>
      <c r="O208" s="156" t="s">
        <v>115</v>
      </c>
      <c r="P208" s="250">
        <v>6.3E-3</v>
      </c>
      <c r="Q208" s="158">
        <f>H110</f>
        <v>218100</v>
      </c>
      <c r="R208" s="159">
        <f t="shared" si="24"/>
        <v>1374.03</v>
      </c>
      <c r="T208" s="152"/>
      <c r="U208" s="153" t="s">
        <v>108</v>
      </c>
      <c r="V208" s="154" t="s">
        <v>95</v>
      </c>
      <c r="W208" s="155"/>
      <c r="X208" s="156" t="s">
        <v>115</v>
      </c>
      <c r="Y208" s="160">
        <v>1.2E-2</v>
      </c>
      <c r="Z208" s="158">
        <f>Q208</f>
        <v>218100</v>
      </c>
      <c r="AA208" s="159">
        <f>SUM(Y208*Z208)</f>
        <v>2617.2000000000003</v>
      </c>
    </row>
    <row r="209" spans="2:27" ht="20.100000000000001" customHeight="1" x14ac:dyDescent="0.3">
      <c r="B209" s="161"/>
      <c r="C209" s="162"/>
      <c r="D209" s="163"/>
      <c r="E209" s="147"/>
      <c r="F209" s="148"/>
      <c r="G209" s="164"/>
      <c r="H209" s="165" t="s">
        <v>116</v>
      </c>
      <c r="I209" s="166">
        <f>SUM(I206:I208)</f>
        <v>17113.5</v>
      </c>
      <c r="K209" s="152"/>
      <c r="L209" s="153" t="s">
        <v>108</v>
      </c>
      <c r="M209" s="154" t="s">
        <v>96</v>
      </c>
      <c r="N209" s="155"/>
      <c r="O209" s="156" t="s">
        <v>115</v>
      </c>
      <c r="P209" s="160">
        <v>3.0000000000000001E-3</v>
      </c>
      <c r="Q209" s="158">
        <f>H111</f>
        <v>204500</v>
      </c>
      <c r="R209" s="159">
        <f t="shared" si="24"/>
        <v>613.5</v>
      </c>
      <c r="T209" s="152"/>
      <c r="U209" s="153" t="s">
        <v>108</v>
      </c>
      <c r="V209" s="154" t="s">
        <v>96</v>
      </c>
      <c r="W209" s="155"/>
      <c r="X209" s="156" t="s">
        <v>115</v>
      </c>
      <c r="Y209" s="160">
        <v>6.0000000000000001E-3</v>
      </c>
      <c r="Z209" s="158">
        <f>Q209</f>
        <v>204500</v>
      </c>
      <c r="AA209" s="159">
        <f>SUM(Y209*Z209)</f>
        <v>1227</v>
      </c>
    </row>
    <row r="210" spans="2:27" ht="20.100000000000001" customHeight="1" x14ac:dyDescent="0.3">
      <c r="B210" s="144" t="s">
        <v>31</v>
      </c>
      <c r="C210" s="145" t="s">
        <v>117</v>
      </c>
      <c r="D210" s="146"/>
      <c r="E210" s="147"/>
      <c r="F210" s="167"/>
      <c r="G210" s="164"/>
      <c r="H210" s="168"/>
      <c r="I210" s="151"/>
      <c r="K210" s="152"/>
      <c r="L210" s="153"/>
      <c r="M210" s="154"/>
      <c r="N210" s="155"/>
      <c r="O210" s="156"/>
      <c r="P210" s="160"/>
      <c r="Q210" s="158"/>
      <c r="R210" s="159"/>
      <c r="T210" s="161"/>
      <c r="U210" s="162"/>
      <c r="V210" s="163"/>
      <c r="W210" s="147"/>
      <c r="X210" s="148"/>
      <c r="Y210" s="164"/>
      <c r="Z210" s="165" t="s">
        <v>116</v>
      </c>
      <c r="AA210" s="166">
        <f>SUM(AA206:AA209)</f>
        <v>37492.199999999997</v>
      </c>
    </row>
    <row r="211" spans="2:27" ht="20.100000000000001" customHeight="1" x14ac:dyDescent="0.3">
      <c r="B211" s="152"/>
      <c r="C211" s="153" t="s">
        <v>108</v>
      </c>
      <c r="D211" s="154" t="s">
        <v>188</v>
      </c>
      <c r="E211" s="155"/>
      <c r="F211" s="169" t="s">
        <v>72</v>
      </c>
      <c r="G211" s="160">
        <v>0.05</v>
      </c>
      <c r="H211" s="158">
        <f>'UPAH &amp; BAHAN'!$R$51</f>
        <v>19100</v>
      </c>
      <c r="I211" s="159">
        <f t="shared" ref="I211" si="25">SUM(G211*H211)</f>
        <v>955</v>
      </c>
      <c r="K211" s="161"/>
      <c r="L211" s="162"/>
      <c r="M211" s="163"/>
      <c r="N211" s="147"/>
      <c r="O211" s="148"/>
      <c r="P211" s="164"/>
      <c r="Q211" s="165" t="s">
        <v>116</v>
      </c>
      <c r="R211" s="166">
        <f>SUM(R206:R210)</f>
        <v>14922.730000000001</v>
      </c>
      <c r="T211" s="144" t="s">
        <v>31</v>
      </c>
      <c r="U211" s="145" t="s">
        <v>117</v>
      </c>
      <c r="V211" s="146"/>
      <c r="W211" s="147"/>
      <c r="X211" s="167"/>
      <c r="Y211" s="164"/>
      <c r="Z211" s="168"/>
      <c r="AA211" s="151"/>
    </row>
    <row r="212" spans="2:27" ht="20.100000000000001" customHeight="1" x14ac:dyDescent="0.3">
      <c r="B212" s="152"/>
      <c r="C212" s="153"/>
      <c r="D212" s="154"/>
      <c r="E212" s="155"/>
      <c r="F212" s="195"/>
      <c r="G212" s="160"/>
      <c r="H212" s="158"/>
      <c r="I212" s="159"/>
      <c r="K212" s="144" t="s">
        <v>31</v>
      </c>
      <c r="L212" s="145" t="s">
        <v>117</v>
      </c>
      <c r="M212" s="146"/>
      <c r="N212" s="147"/>
      <c r="O212" s="167"/>
      <c r="P212" s="164"/>
      <c r="Q212" s="168"/>
      <c r="R212" s="151"/>
      <c r="T212" s="152"/>
      <c r="U212" s="153" t="s">
        <v>108</v>
      </c>
      <c r="V212" s="154" t="s">
        <v>181</v>
      </c>
      <c r="W212" s="155"/>
      <c r="X212" s="169" t="s">
        <v>182</v>
      </c>
      <c r="Y212" s="160">
        <v>1</v>
      </c>
      <c r="Z212" s="158">
        <f>I219</f>
        <v>18068.5</v>
      </c>
      <c r="AA212" s="159">
        <f>SUM(Y212*Z212)</f>
        <v>18068.5</v>
      </c>
    </row>
    <row r="213" spans="2:27" ht="20.100000000000001" customHeight="1" x14ac:dyDescent="0.3">
      <c r="B213" s="161"/>
      <c r="C213" s="162"/>
      <c r="D213" s="163"/>
      <c r="E213" s="170"/>
      <c r="F213" s="148"/>
      <c r="G213" s="171"/>
      <c r="H213" s="165" t="s">
        <v>118</v>
      </c>
      <c r="I213" s="166">
        <f>SUM(I211:I212)</f>
        <v>955</v>
      </c>
      <c r="K213" s="152"/>
      <c r="L213" s="153" t="s">
        <v>108</v>
      </c>
      <c r="M213" s="154" t="s">
        <v>173</v>
      </c>
      <c r="N213" s="155"/>
      <c r="O213" s="169" t="s">
        <v>72</v>
      </c>
      <c r="P213" s="160">
        <v>0.1</v>
      </c>
      <c r="Q213" s="158">
        <f>'UPAH &amp; BAHAN'!R52</f>
        <v>7900</v>
      </c>
      <c r="R213" s="159">
        <f t="shared" ref="R213:R215" si="26">SUM(P213*Q213)</f>
        <v>790</v>
      </c>
      <c r="T213" s="152"/>
      <c r="U213" s="153" t="s">
        <v>108</v>
      </c>
      <c r="V213" s="154" t="s">
        <v>183</v>
      </c>
      <c r="W213" s="155"/>
      <c r="X213" s="169" t="s">
        <v>184</v>
      </c>
      <c r="Y213" s="160">
        <v>0.4</v>
      </c>
      <c r="Z213" s="158"/>
      <c r="AA213" s="159">
        <f>SUM(Y213*Z213)</f>
        <v>0</v>
      </c>
    </row>
    <row r="214" spans="2:27" ht="20.100000000000001" customHeight="1" x14ac:dyDescent="0.3">
      <c r="B214" s="144" t="s">
        <v>32</v>
      </c>
      <c r="C214" s="145" t="s">
        <v>119</v>
      </c>
      <c r="D214" s="146"/>
      <c r="E214" s="147"/>
      <c r="F214" s="148"/>
      <c r="G214" s="171"/>
      <c r="H214" s="168"/>
      <c r="I214" s="151"/>
      <c r="K214" s="152"/>
      <c r="L214" s="153" t="s">
        <v>108</v>
      </c>
      <c r="M214" s="154" t="s">
        <v>174</v>
      </c>
      <c r="N214" s="155"/>
      <c r="O214" s="169" t="s">
        <v>72</v>
      </c>
      <c r="P214" s="160">
        <v>0.1</v>
      </c>
      <c r="Q214" s="158">
        <f>'UPAH &amp; BAHAN'!R53</f>
        <v>35500</v>
      </c>
      <c r="R214" s="159">
        <f t="shared" si="26"/>
        <v>3550</v>
      </c>
      <c r="T214" s="152"/>
      <c r="U214" s="153" t="s">
        <v>108</v>
      </c>
      <c r="V214" s="245" t="str">
        <f>'UPAH &amp; BAHAN'!$O$55</f>
        <v>Waterproofing (Cat waterproofing)</v>
      </c>
      <c r="W214" s="155"/>
      <c r="X214" s="169" t="s">
        <v>72</v>
      </c>
      <c r="Y214" s="160">
        <v>2.5</v>
      </c>
      <c r="Z214" s="158">
        <f>'UPAH &amp; BAHAN'!$R$55</f>
        <v>38500</v>
      </c>
      <c r="AA214" s="159">
        <f t="shared" ref="AA214:AA216" si="27">SUM(Y214*Z214)</f>
        <v>96250</v>
      </c>
    </row>
    <row r="215" spans="2:27" ht="20.100000000000001" customHeight="1" x14ac:dyDescent="0.3">
      <c r="B215" s="152"/>
      <c r="C215" s="153"/>
      <c r="D215" s="154"/>
      <c r="E215" s="155"/>
      <c r="F215" s="172"/>
      <c r="G215" s="173"/>
      <c r="H215" s="158"/>
      <c r="I215" s="159">
        <f>SUM(G215*H215)</f>
        <v>0</v>
      </c>
      <c r="K215" s="152"/>
      <c r="L215" s="153" t="s">
        <v>108</v>
      </c>
      <c r="M215" s="154" t="s">
        <v>175</v>
      </c>
      <c r="N215" s="155"/>
      <c r="O215" s="169" t="s">
        <v>72</v>
      </c>
      <c r="P215" s="160">
        <v>0.26</v>
      </c>
      <c r="Q215" s="158">
        <f>'UPAH &amp; BAHAN'!R54</f>
        <v>48000</v>
      </c>
      <c r="R215" s="159">
        <f t="shared" si="26"/>
        <v>12480</v>
      </c>
      <c r="T215" s="152"/>
      <c r="U215" s="153" t="s">
        <v>108</v>
      </c>
      <c r="V215" s="154" t="s">
        <v>185</v>
      </c>
      <c r="W215" s="155"/>
      <c r="X215" s="169" t="s">
        <v>159</v>
      </c>
      <c r="Y215" s="160">
        <v>0.02</v>
      </c>
      <c r="Z215" s="158"/>
      <c r="AA215" s="159">
        <f t="shared" si="27"/>
        <v>0</v>
      </c>
    </row>
    <row r="216" spans="2:27" ht="20.100000000000001" customHeight="1" x14ac:dyDescent="0.3">
      <c r="B216" s="152"/>
      <c r="C216" s="153"/>
      <c r="D216" s="154"/>
      <c r="E216" s="155"/>
      <c r="F216" s="172"/>
      <c r="G216" s="173"/>
      <c r="H216" s="158"/>
      <c r="I216" s="159"/>
      <c r="K216" s="152"/>
      <c r="L216" s="153"/>
      <c r="M216" s="154"/>
      <c r="N216" s="155"/>
      <c r="O216" s="195"/>
      <c r="P216" s="160"/>
      <c r="Q216" s="158"/>
      <c r="R216" s="159"/>
      <c r="T216" s="152"/>
      <c r="U216" s="153" t="s">
        <v>108</v>
      </c>
      <c r="V216" s="154" t="s">
        <v>186</v>
      </c>
      <c r="W216" s="155"/>
      <c r="X216" s="169" t="s">
        <v>159</v>
      </c>
      <c r="Y216" s="160">
        <v>0.2</v>
      </c>
      <c r="Z216" s="158">
        <f>'UPAH &amp; BAHAN'!$R$57</f>
        <v>36500</v>
      </c>
      <c r="AA216" s="159">
        <f t="shared" si="27"/>
        <v>7300</v>
      </c>
    </row>
    <row r="217" spans="2:27" ht="20.100000000000001" customHeight="1" x14ac:dyDescent="0.3">
      <c r="B217" s="161"/>
      <c r="C217" s="162"/>
      <c r="D217" s="163"/>
      <c r="E217" s="170"/>
      <c r="F217" s="148"/>
      <c r="G217" s="174"/>
      <c r="H217" s="165" t="s">
        <v>120</v>
      </c>
      <c r="I217" s="166">
        <f>SUM(I215:I216)</f>
        <v>0</v>
      </c>
      <c r="K217" s="161"/>
      <c r="L217" s="162"/>
      <c r="M217" s="163"/>
      <c r="N217" s="170"/>
      <c r="O217" s="148"/>
      <c r="P217" s="171"/>
      <c r="Q217" s="165" t="s">
        <v>118</v>
      </c>
      <c r="R217" s="166">
        <f>SUM(R213:R216)</f>
        <v>16820</v>
      </c>
      <c r="T217" s="161"/>
      <c r="U217" s="162"/>
      <c r="V217" s="163"/>
      <c r="W217" s="170"/>
      <c r="X217" s="148"/>
      <c r="Y217" s="171"/>
      <c r="Z217" s="165" t="s">
        <v>118</v>
      </c>
      <c r="AA217" s="166">
        <f>SUM(AA212:AA216)</f>
        <v>121618.5</v>
      </c>
    </row>
    <row r="218" spans="2:27" ht="20.100000000000001" customHeight="1" x14ac:dyDescent="0.3">
      <c r="B218" s="175"/>
      <c r="C218" s="153"/>
      <c r="D218" s="58"/>
      <c r="E218" s="176"/>
      <c r="F218" s="177"/>
      <c r="G218" s="178"/>
      <c r="H218" s="179"/>
      <c r="I218" s="180"/>
      <c r="K218" s="144" t="s">
        <v>32</v>
      </c>
      <c r="L218" s="145" t="s">
        <v>119</v>
      </c>
      <c r="M218" s="146"/>
      <c r="N218" s="147"/>
      <c r="O218" s="148"/>
      <c r="P218" s="171"/>
      <c r="Q218" s="168"/>
      <c r="R218" s="151"/>
      <c r="T218" s="144" t="s">
        <v>32</v>
      </c>
      <c r="U218" s="145" t="s">
        <v>119</v>
      </c>
      <c r="V218" s="146"/>
      <c r="W218" s="147"/>
      <c r="X218" s="148"/>
      <c r="Y218" s="171"/>
      <c r="Z218" s="168"/>
      <c r="AA218" s="151"/>
    </row>
    <row r="219" spans="2:27" ht="20.100000000000001" customHeight="1" x14ac:dyDescent="0.3">
      <c r="B219" s="181" t="s">
        <v>44</v>
      </c>
      <c r="C219" s="153" t="s">
        <v>121</v>
      </c>
      <c r="D219" s="58"/>
      <c r="E219" s="155" t="s">
        <v>125</v>
      </c>
      <c r="F219" s="60"/>
      <c r="G219" s="182"/>
      <c r="H219" s="183"/>
      <c r="I219" s="159">
        <f>SUM(I209+I213+I217)</f>
        <v>18068.5</v>
      </c>
      <c r="K219" s="152"/>
      <c r="L219" s="153"/>
      <c r="M219" s="154"/>
      <c r="N219" s="155"/>
      <c r="O219" s="172"/>
      <c r="P219" s="173"/>
      <c r="Q219" s="158"/>
      <c r="R219" s="159"/>
      <c r="T219" s="152"/>
      <c r="U219" s="153"/>
      <c r="V219" s="154"/>
      <c r="W219" s="155"/>
      <c r="X219" s="156"/>
      <c r="Y219" s="255"/>
      <c r="Z219" s="158"/>
      <c r="AA219" s="159">
        <f>SUM(Y219*Z219)</f>
        <v>0</v>
      </c>
    </row>
    <row r="220" spans="2:27" ht="20.100000000000001" customHeight="1" x14ac:dyDescent="0.3">
      <c r="B220" s="181" t="s">
        <v>68</v>
      </c>
      <c r="C220" s="153" t="s">
        <v>122</v>
      </c>
      <c r="D220" s="58"/>
      <c r="E220" s="155" t="s">
        <v>125</v>
      </c>
      <c r="F220" s="60"/>
      <c r="G220" s="184"/>
      <c r="H220" s="183"/>
      <c r="I220" s="185">
        <f>SUM(I219*15/100)</f>
        <v>2710.2750000000001</v>
      </c>
      <c r="K220" s="161"/>
      <c r="L220" s="162"/>
      <c r="M220" s="163"/>
      <c r="N220" s="170"/>
      <c r="O220" s="148"/>
      <c r="P220" s="174"/>
      <c r="Q220" s="165" t="s">
        <v>120</v>
      </c>
      <c r="R220" s="166">
        <f>SUM(R219:R219)</f>
        <v>0</v>
      </c>
      <c r="T220" s="152"/>
      <c r="U220" s="153"/>
      <c r="V220" s="154"/>
      <c r="W220" s="155"/>
      <c r="X220" s="172"/>
      <c r="Y220" s="173"/>
      <c r="Z220" s="158"/>
      <c r="AA220" s="159"/>
    </row>
    <row r="221" spans="2:27" ht="20.100000000000001" customHeight="1" x14ac:dyDescent="0.3">
      <c r="B221" s="181" t="s">
        <v>123</v>
      </c>
      <c r="C221" s="153" t="s">
        <v>124</v>
      </c>
      <c r="D221" s="58"/>
      <c r="E221" s="155" t="s">
        <v>125</v>
      </c>
      <c r="F221" s="60"/>
      <c r="G221" s="184"/>
      <c r="H221" s="183"/>
      <c r="I221" s="159">
        <f>SUM(I219:I220)</f>
        <v>20778.775000000001</v>
      </c>
      <c r="K221" s="175"/>
      <c r="L221" s="153"/>
      <c r="M221" s="58"/>
      <c r="N221" s="176"/>
      <c r="O221" s="177"/>
      <c r="P221" s="178"/>
      <c r="Q221" s="179"/>
      <c r="R221" s="180"/>
      <c r="T221" s="161"/>
      <c r="U221" s="162"/>
      <c r="V221" s="163"/>
      <c r="W221" s="170"/>
      <c r="X221" s="148"/>
      <c r="Y221" s="174"/>
      <c r="Z221" s="165" t="s">
        <v>120</v>
      </c>
      <c r="AA221" s="166">
        <f>SUM(AA219:AA220)</f>
        <v>0</v>
      </c>
    </row>
    <row r="222" spans="2:27" ht="20.100000000000001" customHeight="1" x14ac:dyDescent="0.3">
      <c r="B222" s="186"/>
      <c r="C222" s="187" t="s">
        <v>12</v>
      </c>
      <c r="D222" s="188"/>
      <c r="E222" s="189"/>
      <c r="F222" s="190"/>
      <c r="G222" s="191"/>
      <c r="H222" s="192"/>
      <c r="I222" s="193">
        <f>ROUND(I221,0)</f>
        <v>20779</v>
      </c>
      <c r="K222" s="181" t="s">
        <v>44</v>
      </c>
      <c r="L222" s="153" t="s">
        <v>121</v>
      </c>
      <c r="M222" s="58"/>
      <c r="N222" s="155" t="s">
        <v>125</v>
      </c>
      <c r="O222" s="60"/>
      <c r="P222" s="182"/>
      <c r="Q222" s="183"/>
      <c r="R222" s="159">
        <f>SUM(R211+R217+R220)</f>
        <v>31742.730000000003</v>
      </c>
      <c r="T222" s="181" t="s">
        <v>44</v>
      </c>
      <c r="U222" s="153" t="s">
        <v>121</v>
      </c>
      <c r="V222" s="58"/>
      <c r="W222" s="155" t="s">
        <v>125</v>
      </c>
      <c r="X222" s="60"/>
      <c r="Y222" s="182"/>
      <c r="Z222" s="183"/>
      <c r="AA222" s="159">
        <f>SUM(AA210+AA217+AA221)</f>
        <v>159110.70000000001</v>
      </c>
    </row>
    <row r="223" spans="2:27" ht="20.100000000000001" customHeight="1" x14ac:dyDescent="0.3">
      <c r="K223" s="181" t="s">
        <v>68</v>
      </c>
      <c r="L223" s="153" t="s">
        <v>122</v>
      </c>
      <c r="M223" s="58"/>
      <c r="N223" s="155" t="s">
        <v>125</v>
      </c>
      <c r="O223" s="60"/>
      <c r="P223" s="184"/>
      <c r="Q223" s="183"/>
      <c r="R223" s="185">
        <f>SUM(R222*15/100)</f>
        <v>4761.4095000000007</v>
      </c>
      <c r="T223" s="181" t="s">
        <v>68</v>
      </c>
      <c r="U223" s="153" t="s">
        <v>122</v>
      </c>
      <c r="V223" s="58"/>
      <c r="W223" s="155" t="s">
        <v>125</v>
      </c>
      <c r="X223" s="60"/>
      <c r="Y223" s="184"/>
      <c r="Z223" s="183"/>
      <c r="AA223" s="185">
        <f>SUM(AA222*15/100)</f>
        <v>23866.605</v>
      </c>
    </row>
    <row r="224" spans="2:27" ht="20.100000000000001" customHeight="1" x14ac:dyDescent="0.3">
      <c r="K224" s="181" t="s">
        <v>123</v>
      </c>
      <c r="L224" s="153" t="s">
        <v>124</v>
      </c>
      <c r="M224" s="58"/>
      <c r="N224" s="155" t="s">
        <v>125</v>
      </c>
      <c r="O224" s="60"/>
      <c r="P224" s="184"/>
      <c r="Q224" s="183"/>
      <c r="R224" s="159">
        <f>SUM(R222:R223)</f>
        <v>36504.139500000005</v>
      </c>
      <c r="T224" s="181" t="s">
        <v>123</v>
      </c>
      <c r="U224" s="153" t="s">
        <v>124</v>
      </c>
      <c r="V224" s="58"/>
      <c r="W224" s="155" t="s">
        <v>125</v>
      </c>
      <c r="X224" s="60"/>
      <c r="Y224" s="184"/>
      <c r="Z224" s="183"/>
      <c r="AA224" s="159">
        <f>SUM(AA222:AA223)</f>
        <v>182977.30500000002</v>
      </c>
    </row>
    <row r="225" spans="11:27" ht="20.100000000000001" customHeight="1" x14ac:dyDescent="0.3">
      <c r="K225" s="186"/>
      <c r="L225" s="187" t="s">
        <v>12</v>
      </c>
      <c r="M225" s="188"/>
      <c r="N225" s="189"/>
      <c r="O225" s="190"/>
      <c r="P225" s="191"/>
      <c r="Q225" s="192"/>
      <c r="R225" s="193">
        <f>ROUND(R224,0)</f>
        <v>36504</v>
      </c>
      <c r="T225" s="186"/>
      <c r="U225" s="187" t="s">
        <v>12</v>
      </c>
      <c r="V225" s="188"/>
      <c r="W225" s="189"/>
      <c r="X225" s="190"/>
      <c r="Y225" s="191"/>
      <c r="Z225" s="192"/>
      <c r="AA225" s="193">
        <f>ROUND(AA224,0)</f>
        <v>182977</v>
      </c>
    </row>
    <row r="228" spans="11:27" ht="20.100000000000001" customHeight="1" x14ac:dyDescent="0.3">
      <c r="Z228" s="1" t="str">
        <f>EE!Q90</f>
        <v>Dibuat Oleh :</v>
      </c>
    </row>
    <row r="229" spans="11:27" ht="20.100000000000001" customHeight="1" x14ac:dyDescent="0.3">
      <c r="Z229" s="302" t="str">
        <f>EE!Q91</f>
        <v>PT. WARTA BUANA ANUGERAH</v>
      </c>
    </row>
    <row r="232" spans="11:27" ht="20.100000000000001" customHeight="1" x14ac:dyDescent="0.3">
      <c r="Z232" s="301" t="str">
        <f>EE!Q95</f>
        <v>KHAIRUL AZHAR, ST</v>
      </c>
    </row>
    <row r="233" spans="11:27" ht="20.100000000000001" customHeight="1" x14ac:dyDescent="0.3">
      <c r="Z233" s="1" t="str">
        <f>EE!Q96</f>
        <v>Team Leader</v>
      </c>
    </row>
  </sheetData>
  <mergeCells count="88">
    <mergeCell ref="K35:P35"/>
    <mergeCell ref="K36:P36"/>
    <mergeCell ref="K37:P37"/>
    <mergeCell ref="L39:M39"/>
    <mergeCell ref="B2:I2"/>
    <mergeCell ref="B8:G8"/>
    <mergeCell ref="B9:G9"/>
    <mergeCell ref="C12:D12"/>
    <mergeCell ref="K33:P33"/>
    <mergeCell ref="B69:G69"/>
    <mergeCell ref="B70:G70"/>
    <mergeCell ref="B71:G71"/>
    <mergeCell ref="C75:D75"/>
    <mergeCell ref="T134:Y134"/>
    <mergeCell ref="L106:M106"/>
    <mergeCell ref="T100:Y100"/>
    <mergeCell ref="T102:Y102"/>
    <mergeCell ref="U105:V105"/>
    <mergeCell ref="B102:G102"/>
    <mergeCell ref="C105:D105"/>
    <mergeCell ref="K100:P100"/>
    <mergeCell ref="K101:P101"/>
    <mergeCell ref="K102:P102"/>
    <mergeCell ref="K103:P103"/>
    <mergeCell ref="K104:P104"/>
    <mergeCell ref="T135:Y135"/>
    <mergeCell ref="T136:Y136"/>
    <mergeCell ref="T137:Y137"/>
    <mergeCell ref="K69:P69"/>
    <mergeCell ref="K70:P70"/>
    <mergeCell ref="K71:P71"/>
    <mergeCell ref="L75:M75"/>
    <mergeCell ref="T69:Y69"/>
    <mergeCell ref="T70:Y70"/>
    <mergeCell ref="T71:Y71"/>
    <mergeCell ref="U75:V75"/>
    <mergeCell ref="T73:Y73"/>
    <mergeCell ref="T72:Y72"/>
    <mergeCell ref="B199:G199"/>
    <mergeCell ref="B200:G200"/>
    <mergeCell ref="B201:G201"/>
    <mergeCell ref="C203:D203"/>
    <mergeCell ref="B134:G134"/>
    <mergeCell ref="B198:G198"/>
    <mergeCell ref="C172:D172"/>
    <mergeCell ref="B137:G137"/>
    <mergeCell ref="C139:D139"/>
    <mergeCell ref="B135:G135"/>
    <mergeCell ref="B136:G136"/>
    <mergeCell ref="K199:P199"/>
    <mergeCell ref="K200:P200"/>
    <mergeCell ref="K201:P201"/>
    <mergeCell ref="L203:M203"/>
    <mergeCell ref="T198:Y198"/>
    <mergeCell ref="T199:Y199"/>
    <mergeCell ref="T200:Y200"/>
    <mergeCell ref="T201:Y201"/>
    <mergeCell ref="U203:V203"/>
    <mergeCell ref="K198:P198"/>
    <mergeCell ref="T166:Y166"/>
    <mergeCell ref="T168:Y168"/>
    <mergeCell ref="U171:V171"/>
    <mergeCell ref="B100:G100"/>
    <mergeCell ref="B101:G101"/>
    <mergeCell ref="B166:G166"/>
    <mergeCell ref="B168:G168"/>
    <mergeCell ref="B169:G169"/>
    <mergeCell ref="K166:P166"/>
    <mergeCell ref="K168:P168"/>
    <mergeCell ref="L171:M171"/>
    <mergeCell ref="K134:P134"/>
    <mergeCell ref="K135:P135"/>
    <mergeCell ref="K136:P136"/>
    <mergeCell ref="K137:P137"/>
    <mergeCell ref="L139:M139"/>
    <mergeCell ref="U13:V13"/>
    <mergeCell ref="K10:P10"/>
    <mergeCell ref="L13:M13"/>
    <mergeCell ref="K8:P8"/>
    <mergeCell ref="K9:P9"/>
    <mergeCell ref="T8:Y8"/>
    <mergeCell ref="T9:Y9"/>
    <mergeCell ref="T10:Y10"/>
    <mergeCell ref="C39:D39"/>
    <mergeCell ref="B36:G36"/>
    <mergeCell ref="B35:G35"/>
    <mergeCell ref="B34:G34"/>
    <mergeCell ref="B33:G33"/>
  </mergeCells>
  <printOptions horizontalCentered="1"/>
  <pageMargins left="0.39370078740157483" right="0.19685039370078741" top="0.78740157480314965" bottom="0.39370078740157483" header="0.31496062992125984" footer="0.31496062992125984"/>
  <pageSetup paperSize="9" scale="99" orientation="portrait" horizontalDpi="300" verticalDpi="300" r:id="rId1"/>
  <headerFooter>
    <oddFooter>&amp;C&amp;"Agency FB,Regular"&amp;10Page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V1099"/>
  <sheetViews>
    <sheetView showGridLines="0" view="pageBreakPreview" topLeftCell="F6" zoomScaleNormal="100" zoomScaleSheetLayoutView="100" workbookViewId="0">
      <selection activeCell="T31" sqref="T31"/>
    </sheetView>
  </sheetViews>
  <sheetFormatPr defaultRowHeight="14.1" customHeight="1" x14ac:dyDescent="0.25"/>
  <cols>
    <col min="1" max="1" width="1.42578125" style="59" customWidth="1"/>
    <col min="2" max="2" width="1.42578125" style="58" customWidth="1"/>
    <col min="3" max="3" width="4.5703125" style="58" customWidth="1"/>
    <col min="4" max="4" width="1.28515625" style="58" customWidth="1"/>
    <col min="5" max="5" width="8.7109375" style="58" customWidth="1"/>
    <col min="6" max="6" width="22.85546875" style="58" customWidth="1"/>
    <col min="7" max="7" width="12.7109375" style="58" customWidth="1"/>
    <col min="8" max="8" width="16.85546875" style="58" customWidth="1"/>
    <col min="9" max="9" width="14.7109375" style="58" customWidth="1"/>
    <col min="10" max="10" width="18.5703125" style="58" customWidth="1"/>
    <col min="11" max="12" width="4.7109375" style="59" customWidth="1"/>
    <col min="13" max="13" width="4.7109375" style="61" customWidth="1"/>
    <col min="14" max="14" width="0.85546875" style="58" customWidth="1"/>
    <col min="15" max="15" width="12.7109375" style="58" customWidth="1"/>
    <col min="16" max="16" width="28.85546875" style="58" customWidth="1"/>
    <col min="17" max="18" width="14.7109375" style="58" customWidth="1"/>
    <col min="19" max="19" width="8.7109375" style="58" customWidth="1"/>
    <col min="20" max="20" width="12.7109375" style="58" customWidth="1"/>
    <col min="21" max="21" width="4.5703125" style="58" customWidth="1"/>
    <col min="22" max="22" width="8.85546875" style="58" customWidth="1"/>
    <col min="23" max="16384" width="9.140625" style="59"/>
  </cols>
  <sheetData>
    <row r="1" spans="3:22" ht="14.1" customHeight="1" x14ac:dyDescent="0.25">
      <c r="C1" s="383"/>
      <c r="D1" s="383"/>
      <c r="E1" s="383"/>
      <c r="F1" s="383"/>
      <c r="G1" s="383"/>
      <c r="H1" s="383"/>
      <c r="I1" s="383"/>
      <c r="J1" s="383"/>
      <c r="M1" s="383"/>
      <c r="N1" s="383"/>
      <c r="O1" s="383"/>
      <c r="P1" s="383"/>
      <c r="Q1" s="383"/>
      <c r="R1" s="383"/>
      <c r="S1" s="383"/>
      <c r="T1" s="383"/>
      <c r="U1" s="383"/>
    </row>
    <row r="2" spans="3:22" ht="22.5" customHeight="1" x14ac:dyDescent="0.25">
      <c r="C2" s="384" t="s">
        <v>99</v>
      </c>
      <c r="D2" s="384"/>
      <c r="E2" s="384"/>
      <c r="F2" s="384"/>
      <c r="G2" s="384"/>
      <c r="H2" s="384"/>
      <c r="I2" s="384"/>
      <c r="J2" s="384"/>
      <c r="M2" s="384" t="s">
        <v>277</v>
      </c>
      <c r="N2" s="384"/>
      <c r="O2" s="384"/>
      <c r="P2" s="384"/>
      <c r="Q2" s="384"/>
      <c r="R2" s="384"/>
      <c r="S2" s="384"/>
      <c r="T2" s="384"/>
      <c r="U2" s="384"/>
      <c r="V2" s="384"/>
    </row>
    <row r="3" spans="3:22" ht="14.1" customHeight="1" x14ac:dyDescent="0.25">
      <c r="C3" s="58" t="str">
        <f>EE!K4</f>
        <v>Pekerjaan</v>
      </c>
      <c r="D3" s="60"/>
      <c r="F3" s="58" t="str">
        <f>EE!N4</f>
        <v>: Perbaikan Jembatan Penghubung Gedung Paripurna dan Gedung DPRD Provsu</v>
      </c>
      <c r="N3" s="60"/>
      <c r="O3" s="60" t="str">
        <f>C3</f>
        <v>Pekerjaan</v>
      </c>
      <c r="P3" s="58" t="str">
        <f t="shared" ref="P3:P5" si="0">F3</f>
        <v>: Perbaikan Jembatan Penghubung Gedung Paripurna dan Gedung DPRD Provsu</v>
      </c>
    </row>
    <row r="4" spans="3:22" ht="14.1" customHeight="1" x14ac:dyDescent="0.25">
      <c r="C4" s="58" t="str">
        <f>EE!K5</f>
        <v>Lokasi</v>
      </c>
      <c r="D4" s="60"/>
      <c r="F4" s="58" t="str">
        <f>EE!N5</f>
        <v>: Jalan Imam Bonjol No. 5 Medan</v>
      </c>
      <c r="N4" s="60"/>
      <c r="O4" s="60" t="str">
        <f>C4</f>
        <v>Lokasi</v>
      </c>
      <c r="P4" s="58" t="str">
        <f t="shared" si="0"/>
        <v>: Jalan Imam Bonjol No. 5 Medan</v>
      </c>
    </row>
    <row r="5" spans="3:22" ht="14.1" customHeight="1" x14ac:dyDescent="0.25">
      <c r="C5" s="58" t="str">
        <f>EE!K6</f>
        <v>Tahun</v>
      </c>
      <c r="D5" s="60"/>
      <c r="F5" s="58" t="str">
        <f>EE!N6</f>
        <v>: 2022</v>
      </c>
      <c r="N5" s="60"/>
      <c r="O5" s="60" t="str">
        <f>C5</f>
        <v>Tahun</v>
      </c>
      <c r="P5" s="58" t="str">
        <f t="shared" si="0"/>
        <v>: 2022</v>
      </c>
    </row>
    <row r="6" spans="3:22" ht="14.1" customHeight="1" x14ac:dyDescent="0.25">
      <c r="D6" s="60"/>
      <c r="N6" s="60"/>
    </row>
    <row r="7" spans="3:22" ht="14.1" customHeight="1" x14ac:dyDescent="0.25">
      <c r="C7" s="385" t="s">
        <v>10</v>
      </c>
      <c r="D7" s="388" t="s">
        <v>75</v>
      </c>
      <c r="E7" s="389"/>
      <c r="F7" s="390"/>
      <c r="G7" s="385" t="s">
        <v>2</v>
      </c>
      <c r="H7" s="400" t="s">
        <v>76</v>
      </c>
      <c r="I7" s="401"/>
      <c r="J7" s="385" t="s">
        <v>77</v>
      </c>
      <c r="M7" s="385" t="s">
        <v>10</v>
      </c>
      <c r="N7" s="388" t="s">
        <v>100</v>
      </c>
      <c r="O7" s="389"/>
      <c r="P7" s="390"/>
      <c r="Q7" s="385" t="s">
        <v>101</v>
      </c>
      <c r="R7" s="388" t="s">
        <v>102</v>
      </c>
      <c r="S7" s="389"/>
      <c r="T7" s="389"/>
      <c r="U7" s="390"/>
      <c r="V7" s="385" t="s">
        <v>103</v>
      </c>
    </row>
    <row r="8" spans="3:22" ht="14.1" customHeight="1" x14ac:dyDescent="0.25">
      <c r="C8" s="386"/>
      <c r="D8" s="391"/>
      <c r="E8" s="392"/>
      <c r="F8" s="393"/>
      <c r="G8" s="386"/>
      <c r="H8" s="29" t="s">
        <v>78</v>
      </c>
      <c r="I8" s="30" t="s">
        <v>79</v>
      </c>
      <c r="J8" s="386"/>
      <c r="M8" s="386"/>
      <c r="N8" s="391"/>
      <c r="O8" s="392"/>
      <c r="P8" s="393"/>
      <c r="Q8" s="386"/>
      <c r="R8" s="397"/>
      <c r="S8" s="398"/>
      <c r="T8" s="398"/>
      <c r="U8" s="399"/>
      <c r="V8" s="386"/>
    </row>
    <row r="9" spans="3:22" ht="14.1" customHeight="1" thickBot="1" x14ac:dyDescent="0.3">
      <c r="C9" s="387"/>
      <c r="D9" s="394"/>
      <c r="E9" s="395"/>
      <c r="F9" s="396"/>
      <c r="G9" s="387"/>
      <c r="H9" s="33" t="s">
        <v>80</v>
      </c>
      <c r="I9" s="33" t="s">
        <v>80</v>
      </c>
      <c r="J9" s="387"/>
      <c r="M9" s="387"/>
      <c r="N9" s="394"/>
      <c r="O9" s="395"/>
      <c r="P9" s="396"/>
      <c r="Q9" s="387"/>
      <c r="R9" s="394" t="s">
        <v>4</v>
      </c>
      <c r="S9" s="395"/>
      <c r="T9" s="394" t="s">
        <v>4</v>
      </c>
      <c r="U9" s="395"/>
      <c r="V9" s="387"/>
    </row>
    <row r="10" spans="3:22" ht="14.1" customHeight="1" thickTop="1" x14ac:dyDescent="0.25">
      <c r="C10" s="38"/>
      <c r="D10" s="39"/>
      <c r="E10" s="40"/>
      <c r="F10" s="41"/>
      <c r="G10" s="42"/>
      <c r="H10" s="43"/>
      <c r="I10" s="44"/>
      <c r="J10" s="42"/>
      <c r="M10" s="38"/>
      <c r="N10" s="311" t="s">
        <v>266</v>
      </c>
      <c r="O10" s="40"/>
      <c r="P10" s="40"/>
      <c r="Q10" s="38"/>
      <c r="R10" s="89"/>
      <c r="S10" s="86"/>
      <c r="T10" s="92"/>
      <c r="U10" s="86"/>
      <c r="V10" s="41"/>
    </row>
    <row r="11" spans="3:22" ht="14.1" customHeight="1" x14ac:dyDescent="0.25">
      <c r="C11" s="34">
        <v>1</v>
      </c>
      <c r="D11" s="45"/>
      <c r="E11" s="46" t="s">
        <v>81</v>
      </c>
      <c r="F11" s="47"/>
      <c r="G11" s="34" t="s">
        <v>82</v>
      </c>
      <c r="H11" s="35">
        <v>110000</v>
      </c>
      <c r="I11" s="35">
        <f>H11/8</f>
        <v>13750</v>
      </c>
      <c r="J11" s="34" t="s">
        <v>83</v>
      </c>
      <c r="M11" s="34">
        <v>1</v>
      </c>
      <c r="N11" s="46"/>
      <c r="O11" s="46" t="s">
        <v>190</v>
      </c>
      <c r="P11" s="46"/>
      <c r="Q11" s="310" t="s">
        <v>257</v>
      </c>
      <c r="R11" s="90">
        <v>2300</v>
      </c>
      <c r="S11" s="87" t="s">
        <v>105</v>
      </c>
      <c r="T11" s="93">
        <f>(R11*40)</f>
        <v>92000</v>
      </c>
      <c r="U11" s="307" t="s">
        <v>247</v>
      </c>
      <c r="V11" s="47"/>
    </row>
    <row r="12" spans="3:22" ht="14.1" customHeight="1" x14ac:dyDescent="0.25">
      <c r="C12" s="34">
        <v>2</v>
      </c>
      <c r="D12" s="45"/>
      <c r="E12" s="46" t="s">
        <v>84</v>
      </c>
      <c r="F12" s="47"/>
      <c r="G12" s="34" t="s">
        <v>82</v>
      </c>
      <c r="H12" s="35">
        <v>170400</v>
      </c>
      <c r="I12" s="35">
        <f>H12/8</f>
        <v>21300</v>
      </c>
      <c r="J12" s="34" t="str">
        <f t="shared" ref="J12:J27" si="1">$J$11</f>
        <v>1 HK = 8 JAM</v>
      </c>
      <c r="M12" s="34">
        <v>2</v>
      </c>
      <c r="N12" s="46"/>
      <c r="O12" s="46" t="s">
        <v>192</v>
      </c>
      <c r="P12" s="46"/>
      <c r="Q12" s="34"/>
      <c r="R12" s="90">
        <v>12650</v>
      </c>
      <c r="S12" s="87" t="s">
        <v>105</v>
      </c>
      <c r="T12" s="93"/>
      <c r="U12" s="87"/>
      <c r="V12" s="47"/>
    </row>
    <row r="13" spans="3:22" ht="14.1" customHeight="1" x14ac:dyDescent="0.25">
      <c r="C13" s="34">
        <v>3</v>
      </c>
      <c r="D13" s="45"/>
      <c r="E13" s="46" t="s">
        <v>85</v>
      </c>
      <c r="F13" s="47"/>
      <c r="G13" s="34" t="s">
        <v>82</v>
      </c>
      <c r="H13" s="35">
        <f t="shared" ref="H13:H22" si="2">$H$12</f>
        <v>170400</v>
      </c>
      <c r="I13" s="35">
        <f t="shared" ref="I13:I22" si="3">$I$12</f>
        <v>21300</v>
      </c>
      <c r="J13" s="34" t="str">
        <f t="shared" si="1"/>
        <v>1 HK = 8 JAM</v>
      </c>
      <c r="M13" s="34">
        <v>3</v>
      </c>
      <c r="N13" s="46"/>
      <c r="O13" s="46" t="s">
        <v>191</v>
      </c>
      <c r="P13" s="46"/>
      <c r="Q13" s="34"/>
      <c r="R13" s="90">
        <v>208450</v>
      </c>
      <c r="S13" s="87" t="s">
        <v>104</v>
      </c>
      <c r="T13" s="93"/>
      <c r="U13" s="87"/>
      <c r="V13" s="47"/>
    </row>
    <row r="14" spans="3:22" ht="14.1" customHeight="1" x14ac:dyDescent="0.25">
      <c r="C14" s="34">
        <v>4</v>
      </c>
      <c r="D14" s="45"/>
      <c r="E14" s="46" t="s">
        <v>86</v>
      </c>
      <c r="F14" s="47"/>
      <c r="G14" s="34" t="s">
        <v>82</v>
      </c>
      <c r="H14" s="35">
        <f t="shared" si="2"/>
        <v>170400</v>
      </c>
      <c r="I14" s="35">
        <f t="shared" si="3"/>
        <v>21300</v>
      </c>
      <c r="J14" s="34" t="str">
        <f t="shared" si="1"/>
        <v>1 HK = 8 JAM</v>
      </c>
      <c r="M14" s="34">
        <v>4</v>
      </c>
      <c r="N14" s="46"/>
      <c r="O14" s="306" t="s">
        <v>240</v>
      </c>
      <c r="P14" s="46"/>
      <c r="Q14" s="34"/>
      <c r="R14" s="90">
        <v>5875000</v>
      </c>
      <c r="S14" s="87" t="s">
        <v>104</v>
      </c>
      <c r="T14" s="93"/>
      <c r="U14" s="87"/>
      <c r="V14" s="47"/>
    </row>
    <row r="15" spans="3:22" ht="14.1" customHeight="1" x14ac:dyDescent="0.25">
      <c r="C15" s="34">
        <v>5</v>
      </c>
      <c r="D15" s="45"/>
      <c r="E15" s="46" t="s">
        <v>87</v>
      </c>
      <c r="F15" s="47"/>
      <c r="G15" s="34" t="s">
        <v>82</v>
      </c>
      <c r="H15" s="35">
        <f t="shared" si="2"/>
        <v>170400</v>
      </c>
      <c r="I15" s="35">
        <f t="shared" si="3"/>
        <v>21300</v>
      </c>
      <c r="J15" s="34" t="str">
        <f t="shared" si="1"/>
        <v>1 HK = 8 JAM</v>
      </c>
      <c r="M15" s="34"/>
      <c r="N15" s="46"/>
      <c r="O15" s="306"/>
      <c r="P15" s="46"/>
      <c r="Q15" s="34"/>
      <c r="R15" s="90"/>
      <c r="S15" s="87"/>
      <c r="T15" s="93"/>
      <c r="U15" s="87"/>
      <c r="V15" s="47"/>
    </row>
    <row r="16" spans="3:22" ht="14.1" customHeight="1" x14ac:dyDescent="0.25">
      <c r="C16" s="34">
        <v>6</v>
      </c>
      <c r="D16" s="45"/>
      <c r="E16" s="46" t="s">
        <v>88</v>
      </c>
      <c r="F16" s="47"/>
      <c r="G16" s="34" t="s">
        <v>82</v>
      </c>
      <c r="H16" s="35">
        <f t="shared" si="2"/>
        <v>170400</v>
      </c>
      <c r="I16" s="35">
        <f t="shared" si="3"/>
        <v>21300</v>
      </c>
      <c r="J16" s="34" t="str">
        <f t="shared" si="1"/>
        <v>1 HK = 8 JAM</v>
      </c>
      <c r="M16" s="34"/>
      <c r="N16" s="312" t="s">
        <v>268</v>
      </c>
      <c r="O16" s="46"/>
      <c r="P16" s="46"/>
      <c r="Q16" s="34"/>
      <c r="R16" s="90"/>
      <c r="S16" s="87"/>
      <c r="T16" s="93"/>
      <c r="U16" s="62"/>
      <c r="V16" s="47"/>
    </row>
    <row r="17" spans="3:22" ht="14.1" customHeight="1" x14ac:dyDescent="0.25">
      <c r="C17" s="34">
        <v>7</v>
      </c>
      <c r="D17" s="45"/>
      <c r="E17" s="46" t="s">
        <v>89</v>
      </c>
      <c r="F17" s="47"/>
      <c r="G17" s="34" t="s">
        <v>82</v>
      </c>
      <c r="H17" s="35">
        <f t="shared" si="2"/>
        <v>170400</v>
      </c>
      <c r="I17" s="35">
        <f t="shared" si="3"/>
        <v>21300</v>
      </c>
      <c r="J17" s="34" t="str">
        <f t="shared" si="1"/>
        <v>1 HK = 8 JAM</v>
      </c>
      <c r="M17" s="34">
        <v>5</v>
      </c>
      <c r="N17" s="46"/>
      <c r="O17" s="306" t="s">
        <v>275</v>
      </c>
      <c r="P17" s="46"/>
      <c r="Q17" s="308" t="s">
        <v>276</v>
      </c>
      <c r="R17" s="90">
        <v>99450</v>
      </c>
      <c r="S17" s="321" t="s">
        <v>252</v>
      </c>
      <c r="T17" s="93"/>
      <c r="U17" s="87"/>
      <c r="V17" s="47"/>
    </row>
    <row r="18" spans="3:22" ht="14.1" customHeight="1" x14ac:dyDescent="0.25">
      <c r="C18" s="34">
        <v>8</v>
      </c>
      <c r="D18" s="45"/>
      <c r="E18" s="46" t="s">
        <v>90</v>
      </c>
      <c r="F18" s="47"/>
      <c r="G18" s="34" t="s">
        <v>82</v>
      </c>
      <c r="H18" s="35">
        <f t="shared" si="2"/>
        <v>170400</v>
      </c>
      <c r="I18" s="35">
        <f t="shared" si="3"/>
        <v>21300</v>
      </c>
      <c r="J18" s="34" t="str">
        <f t="shared" si="1"/>
        <v>1 HK = 8 JAM</v>
      </c>
      <c r="M18" s="34">
        <v>6</v>
      </c>
      <c r="N18" s="46"/>
      <c r="O18" s="306" t="s">
        <v>310</v>
      </c>
      <c r="P18" s="46"/>
      <c r="Q18" s="308"/>
      <c r="R18" s="322">
        <f>(175600*0.15)+(175600)</f>
        <v>201940</v>
      </c>
      <c r="S18" s="321" t="s">
        <v>252</v>
      </c>
      <c r="T18" s="93">
        <f>R18/6</f>
        <v>33656.666666666664</v>
      </c>
      <c r="U18" s="321" t="s">
        <v>243</v>
      </c>
      <c r="V18" s="47"/>
    </row>
    <row r="19" spans="3:22" ht="14.1" customHeight="1" x14ac:dyDescent="0.25">
      <c r="C19" s="34">
        <v>9</v>
      </c>
      <c r="D19" s="45"/>
      <c r="E19" s="46" t="s">
        <v>91</v>
      </c>
      <c r="F19" s="47"/>
      <c r="G19" s="34" t="s">
        <v>82</v>
      </c>
      <c r="H19" s="35">
        <f t="shared" si="2"/>
        <v>170400</v>
      </c>
      <c r="I19" s="35">
        <f t="shared" si="3"/>
        <v>21300</v>
      </c>
      <c r="J19" s="34" t="str">
        <f t="shared" si="1"/>
        <v>1 HK = 8 JAM</v>
      </c>
      <c r="M19" s="34">
        <v>7</v>
      </c>
      <c r="N19" s="46"/>
      <c r="O19" s="46" t="s">
        <v>169</v>
      </c>
      <c r="P19" s="46"/>
      <c r="Q19" s="34"/>
      <c r="R19" s="90">
        <v>21000</v>
      </c>
      <c r="S19" s="87" t="s">
        <v>105</v>
      </c>
      <c r="T19" s="93"/>
      <c r="U19" s="87"/>
      <c r="V19" s="47"/>
    </row>
    <row r="20" spans="3:22" ht="14.1" customHeight="1" x14ac:dyDescent="0.25">
      <c r="C20" s="34">
        <v>10</v>
      </c>
      <c r="D20" s="45"/>
      <c r="E20" s="46" t="s">
        <v>92</v>
      </c>
      <c r="F20" s="47"/>
      <c r="G20" s="34" t="s">
        <v>82</v>
      </c>
      <c r="H20" s="35">
        <f t="shared" si="2"/>
        <v>170400</v>
      </c>
      <c r="I20" s="35">
        <f t="shared" si="3"/>
        <v>21300</v>
      </c>
      <c r="J20" s="34" t="str">
        <f t="shared" si="1"/>
        <v>1 HK = 8 JAM</v>
      </c>
      <c r="M20" s="34">
        <v>8</v>
      </c>
      <c r="N20" s="46"/>
      <c r="O20" s="306" t="s">
        <v>274</v>
      </c>
      <c r="P20" s="46"/>
      <c r="Q20" s="308" t="s">
        <v>273</v>
      </c>
      <c r="R20" s="93">
        <v>28500</v>
      </c>
      <c r="S20" s="87" t="s">
        <v>105</v>
      </c>
      <c r="T20" s="93"/>
      <c r="U20" s="62"/>
      <c r="V20" s="47"/>
    </row>
    <row r="21" spans="3:22" ht="14.1" customHeight="1" x14ac:dyDescent="0.25">
      <c r="C21" s="34">
        <v>11</v>
      </c>
      <c r="D21" s="45"/>
      <c r="E21" s="46" t="s">
        <v>93</v>
      </c>
      <c r="F21" s="47"/>
      <c r="G21" s="34" t="s">
        <v>82</v>
      </c>
      <c r="H21" s="35">
        <f t="shared" si="2"/>
        <v>170400</v>
      </c>
      <c r="I21" s="35">
        <f t="shared" si="3"/>
        <v>21300</v>
      </c>
      <c r="J21" s="34" t="str">
        <f t="shared" si="1"/>
        <v>1 HK = 8 JAM</v>
      </c>
      <c r="M21" s="34">
        <v>9</v>
      </c>
      <c r="N21" s="46"/>
      <c r="O21" s="46" t="s">
        <v>170</v>
      </c>
      <c r="P21" s="46"/>
      <c r="Q21" s="34"/>
      <c r="R21" s="90">
        <v>75600</v>
      </c>
      <c r="S21" s="321" t="s">
        <v>243</v>
      </c>
      <c r="T21" s="93"/>
      <c r="U21" s="87"/>
      <c r="V21" s="47"/>
    </row>
    <row r="22" spans="3:22" ht="14.1" customHeight="1" x14ac:dyDescent="0.25">
      <c r="C22" s="34">
        <v>12</v>
      </c>
      <c r="D22" s="45"/>
      <c r="E22" s="46" t="s">
        <v>94</v>
      </c>
      <c r="F22" s="47"/>
      <c r="G22" s="34" t="s">
        <v>82</v>
      </c>
      <c r="H22" s="35">
        <f t="shared" si="2"/>
        <v>170400</v>
      </c>
      <c r="I22" s="35">
        <f t="shared" si="3"/>
        <v>21300</v>
      </c>
      <c r="J22" s="34" t="str">
        <f t="shared" si="1"/>
        <v>1 HK = 8 JAM</v>
      </c>
      <c r="M22" s="34"/>
      <c r="N22" s="46"/>
      <c r="O22" s="306"/>
      <c r="P22" s="46"/>
      <c r="Q22" s="34"/>
      <c r="R22" s="90"/>
      <c r="S22" s="87"/>
      <c r="T22" s="93"/>
      <c r="U22" s="62"/>
      <c r="V22" s="47"/>
    </row>
    <row r="23" spans="3:22" ht="14.1" customHeight="1" x14ac:dyDescent="0.25">
      <c r="C23" s="34">
        <v>13</v>
      </c>
      <c r="D23" s="45"/>
      <c r="E23" s="306" t="s">
        <v>239</v>
      </c>
      <c r="F23" s="47"/>
      <c r="G23" s="34" t="str">
        <f t="shared" ref="G23:J23" si="4">G22</f>
        <v>Orang/Hari</v>
      </c>
      <c r="H23" s="35">
        <f t="shared" si="4"/>
        <v>170400</v>
      </c>
      <c r="I23" s="35">
        <f t="shared" si="4"/>
        <v>21300</v>
      </c>
      <c r="J23" s="34" t="str">
        <f t="shared" si="4"/>
        <v>1 HK = 8 JAM</v>
      </c>
      <c r="M23" s="34"/>
      <c r="N23" s="312" t="s">
        <v>267</v>
      </c>
      <c r="O23" s="46"/>
      <c r="P23" s="46"/>
      <c r="Q23" s="34"/>
      <c r="R23" s="90"/>
      <c r="S23" s="87"/>
      <c r="T23" s="93"/>
      <c r="U23" s="62"/>
      <c r="V23" s="47"/>
    </row>
    <row r="24" spans="3:22" ht="14.1" customHeight="1" x14ac:dyDescent="0.25">
      <c r="C24" s="34">
        <v>14</v>
      </c>
      <c r="D24" s="45"/>
      <c r="E24" s="46" t="s">
        <v>95</v>
      </c>
      <c r="F24" s="47"/>
      <c r="G24" s="34" t="s">
        <v>82</v>
      </c>
      <c r="H24" s="35">
        <v>218100</v>
      </c>
      <c r="I24" s="35">
        <f>H24/8</f>
        <v>27262.5</v>
      </c>
      <c r="J24" s="34" t="str">
        <f t="shared" si="1"/>
        <v>1 HK = 8 JAM</v>
      </c>
      <c r="M24" s="34">
        <v>10</v>
      </c>
      <c r="N24" s="46"/>
      <c r="O24" s="306" t="s">
        <v>264</v>
      </c>
      <c r="P24" s="46"/>
      <c r="Q24" s="308" t="s">
        <v>265</v>
      </c>
      <c r="R24" s="90">
        <v>172800</v>
      </c>
      <c r="S24" s="321" t="s">
        <v>254</v>
      </c>
      <c r="T24" s="93"/>
      <c r="U24" s="87"/>
      <c r="V24" s="47"/>
    </row>
    <row r="25" spans="3:22" ht="14.1" customHeight="1" x14ac:dyDescent="0.25">
      <c r="C25" s="34">
        <v>15</v>
      </c>
      <c r="D25" s="48"/>
      <c r="E25" s="49" t="s">
        <v>96</v>
      </c>
      <c r="F25" s="50"/>
      <c r="G25" s="34" t="s">
        <v>82</v>
      </c>
      <c r="H25" s="36">
        <v>204500</v>
      </c>
      <c r="I25" s="35">
        <f>H25/8</f>
        <v>25562.5</v>
      </c>
      <c r="J25" s="37" t="str">
        <f t="shared" si="1"/>
        <v>1 HK = 8 JAM</v>
      </c>
      <c r="M25" s="34">
        <v>11</v>
      </c>
      <c r="N25" s="46"/>
      <c r="O25" s="309" t="s">
        <v>256</v>
      </c>
      <c r="P25" s="46"/>
      <c r="Q25" s="63"/>
      <c r="R25" s="90">
        <v>178500</v>
      </c>
      <c r="S25" s="321" t="s">
        <v>251</v>
      </c>
      <c r="T25" s="93"/>
      <c r="U25" s="62"/>
      <c r="V25" s="47"/>
    </row>
    <row r="26" spans="3:22" ht="14.1" customHeight="1" x14ac:dyDescent="0.25">
      <c r="C26" s="34">
        <v>16</v>
      </c>
      <c r="D26" s="48"/>
      <c r="E26" s="49" t="s">
        <v>97</v>
      </c>
      <c r="F26" s="50"/>
      <c r="G26" s="34" t="s">
        <v>82</v>
      </c>
      <c r="H26" s="36">
        <f>H25</f>
        <v>204500</v>
      </c>
      <c r="I26" s="35">
        <f>H26/8</f>
        <v>25562.5</v>
      </c>
      <c r="J26" s="37" t="str">
        <f t="shared" si="1"/>
        <v>1 HK = 8 JAM</v>
      </c>
      <c r="M26" s="34">
        <v>12</v>
      </c>
      <c r="N26" s="46"/>
      <c r="O26" s="306" t="s">
        <v>259</v>
      </c>
      <c r="P26" s="46"/>
      <c r="Q26" s="310" t="s">
        <v>260</v>
      </c>
      <c r="R26" s="90">
        <v>89250</v>
      </c>
      <c r="S26" s="321" t="s">
        <v>254</v>
      </c>
      <c r="T26" s="93"/>
      <c r="U26" s="62"/>
      <c r="V26" s="47"/>
    </row>
    <row r="27" spans="3:22" ht="14.1" customHeight="1" x14ac:dyDescent="0.25">
      <c r="C27" s="34">
        <v>17</v>
      </c>
      <c r="D27" s="48"/>
      <c r="E27" s="49" t="s">
        <v>98</v>
      </c>
      <c r="F27" s="50"/>
      <c r="G27" s="34" t="s">
        <v>82</v>
      </c>
      <c r="H27" s="36">
        <v>113600</v>
      </c>
      <c r="I27" s="35">
        <f>H27/8</f>
        <v>14200</v>
      </c>
      <c r="J27" s="37" t="str">
        <f t="shared" si="1"/>
        <v>1 HK = 8 JAM</v>
      </c>
      <c r="M27" s="34">
        <v>13</v>
      </c>
      <c r="N27" s="46"/>
      <c r="O27" s="46" t="s">
        <v>196</v>
      </c>
      <c r="P27" s="46"/>
      <c r="Q27" s="34"/>
      <c r="R27" s="90">
        <v>40260</v>
      </c>
      <c r="S27" s="87" t="s">
        <v>105</v>
      </c>
      <c r="T27" s="93"/>
      <c r="U27" s="62"/>
      <c r="V27" s="47"/>
    </row>
    <row r="28" spans="3:22" ht="14.1" customHeight="1" x14ac:dyDescent="0.25">
      <c r="C28" s="51"/>
      <c r="D28" s="52"/>
      <c r="E28" s="53"/>
      <c r="F28" s="54"/>
      <c r="G28" s="55"/>
      <c r="H28" s="56"/>
      <c r="I28" s="57"/>
      <c r="J28" s="55"/>
      <c r="M28" s="34">
        <v>14</v>
      </c>
      <c r="N28" s="46"/>
      <c r="O28" s="306" t="s">
        <v>242</v>
      </c>
      <c r="P28" s="46"/>
      <c r="Q28" s="308" t="s">
        <v>241</v>
      </c>
      <c r="R28" s="90">
        <v>143750</v>
      </c>
      <c r="S28" s="307" t="s">
        <v>253</v>
      </c>
      <c r="T28" s="93"/>
      <c r="U28" s="62"/>
      <c r="V28" s="47"/>
    </row>
    <row r="29" spans="3:22" ht="14.1" customHeight="1" x14ac:dyDescent="0.25">
      <c r="M29" s="34">
        <v>15</v>
      </c>
      <c r="N29" s="46"/>
      <c r="O29" s="306" t="s">
        <v>280</v>
      </c>
      <c r="P29" s="46"/>
      <c r="Q29" s="308" t="s">
        <v>241</v>
      </c>
      <c r="R29" s="90">
        <v>285000</v>
      </c>
      <c r="S29" s="307" t="s">
        <v>253</v>
      </c>
      <c r="T29" s="93"/>
      <c r="U29" s="87"/>
      <c r="V29" s="47"/>
    </row>
    <row r="30" spans="3:22" ht="14.1" customHeight="1" x14ac:dyDescent="0.25">
      <c r="M30" s="34">
        <v>16</v>
      </c>
      <c r="N30" s="46"/>
      <c r="O30" s="306" t="s">
        <v>313</v>
      </c>
      <c r="P30" s="46"/>
      <c r="Q30" s="308" t="s">
        <v>315</v>
      </c>
      <c r="R30" s="90">
        <v>78900</v>
      </c>
      <c r="S30" s="307" t="s">
        <v>253</v>
      </c>
      <c r="T30" s="93"/>
      <c r="U30" s="87"/>
      <c r="V30" s="47"/>
    </row>
    <row r="31" spans="3:22" ht="14.1" customHeight="1" x14ac:dyDescent="0.25">
      <c r="I31" s="299" t="str">
        <f>EE!Q90</f>
        <v>Dibuat Oleh :</v>
      </c>
      <c r="M31" s="34"/>
      <c r="N31" s="46"/>
      <c r="O31" s="46"/>
      <c r="P31" s="46"/>
      <c r="Q31" s="34"/>
      <c r="R31" s="90"/>
      <c r="S31" s="307"/>
      <c r="T31" s="93"/>
      <c r="U31" s="87"/>
      <c r="V31" s="47"/>
    </row>
    <row r="32" spans="3:22" ht="14.1" customHeight="1" x14ac:dyDescent="0.25">
      <c r="I32" s="65" t="str">
        <f>EE!Q91</f>
        <v>PT. WARTA BUANA ANUGERAH</v>
      </c>
      <c r="M32" s="34"/>
      <c r="N32" s="312" t="s">
        <v>269</v>
      </c>
      <c r="O32" s="46"/>
      <c r="P32" s="46"/>
      <c r="Q32" s="63"/>
      <c r="R32" s="90"/>
      <c r="S32" s="321"/>
      <c r="T32" s="93"/>
      <c r="U32" s="62"/>
      <c r="V32" s="47"/>
    </row>
    <row r="33" spans="3:22" ht="14.1" customHeight="1" x14ac:dyDescent="0.25">
      <c r="M33" s="34">
        <v>17</v>
      </c>
      <c r="N33" s="46"/>
      <c r="O33" s="46" t="s">
        <v>204</v>
      </c>
      <c r="P33" s="46"/>
      <c r="Q33" s="34"/>
      <c r="R33" s="90">
        <v>7375</v>
      </c>
      <c r="S33" s="307" t="s">
        <v>243</v>
      </c>
      <c r="T33" s="93"/>
      <c r="U33" s="87"/>
      <c r="V33" s="47"/>
    </row>
    <row r="34" spans="3:22" ht="14.1" customHeight="1" x14ac:dyDescent="0.25">
      <c r="M34" s="34">
        <v>18</v>
      </c>
      <c r="N34" s="46"/>
      <c r="O34" s="46" t="s">
        <v>161</v>
      </c>
      <c r="P34" s="46"/>
      <c r="Q34" s="34"/>
      <c r="R34" s="90">
        <v>16675</v>
      </c>
      <c r="S34" s="62" t="s">
        <v>243</v>
      </c>
      <c r="T34" s="93"/>
      <c r="U34" s="87"/>
      <c r="V34" s="47"/>
    </row>
    <row r="35" spans="3:22" ht="14.1" customHeight="1" x14ac:dyDescent="0.25">
      <c r="M35" s="34">
        <v>19</v>
      </c>
      <c r="N35" s="46"/>
      <c r="O35" s="306" t="s">
        <v>244</v>
      </c>
      <c r="P35" s="46"/>
      <c r="Q35" s="34" t="s">
        <v>241</v>
      </c>
      <c r="R35" s="90">
        <v>88000</v>
      </c>
      <c r="S35" s="307" t="s">
        <v>253</v>
      </c>
      <c r="T35" s="93"/>
      <c r="U35" s="87"/>
      <c r="V35" s="47"/>
    </row>
    <row r="36" spans="3:22" ht="14.1" customHeight="1" x14ac:dyDescent="0.25">
      <c r="I36" s="66" t="str">
        <f>EE!Q95</f>
        <v>KHAIRUL AZHAR, ST</v>
      </c>
      <c r="M36" s="34">
        <v>20</v>
      </c>
      <c r="N36" s="46"/>
      <c r="O36" s="46" t="s">
        <v>211</v>
      </c>
      <c r="P36" s="46"/>
      <c r="Q36" s="308" t="s">
        <v>249</v>
      </c>
      <c r="R36" s="90">
        <v>64225</v>
      </c>
      <c r="S36" s="87" t="s">
        <v>105</v>
      </c>
      <c r="T36" s="93"/>
      <c r="U36" s="87"/>
      <c r="V36" s="47"/>
    </row>
    <row r="37" spans="3:22" ht="14.1" customHeight="1" x14ac:dyDescent="0.25">
      <c r="I37" s="58" t="str">
        <f>EE!Q96</f>
        <v>Team Leader</v>
      </c>
      <c r="M37" s="34">
        <v>21</v>
      </c>
      <c r="N37" s="46"/>
      <c r="O37" s="46" t="s">
        <v>212</v>
      </c>
      <c r="P37" s="46"/>
      <c r="Q37" s="34"/>
      <c r="R37" s="90">
        <v>15000</v>
      </c>
      <c r="S37" s="307" t="s">
        <v>248</v>
      </c>
      <c r="T37" s="93"/>
      <c r="U37" s="87"/>
      <c r="V37" s="47"/>
    </row>
    <row r="38" spans="3:22" ht="14.1" customHeight="1" x14ac:dyDescent="0.25">
      <c r="D38" s="67"/>
      <c r="M38" s="34">
        <v>22</v>
      </c>
      <c r="N38" s="46"/>
      <c r="O38" s="306" t="s">
        <v>245</v>
      </c>
      <c r="P38" s="46"/>
      <c r="Q38" s="310" t="s">
        <v>246</v>
      </c>
      <c r="R38" s="90">
        <v>62400</v>
      </c>
      <c r="S38" s="307" t="s">
        <v>247</v>
      </c>
      <c r="T38" s="90">
        <f>(R38/20)+(500)</f>
        <v>3620</v>
      </c>
      <c r="U38" s="87" t="s">
        <v>105</v>
      </c>
      <c r="V38" s="47"/>
    </row>
    <row r="39" spans="3:22" ht="14.1" customHeight="1" x14ac:dyDescent="0.25">
      <c r="H39" s="68"/>
      <c r="M39" s="34"/>
      <c r="N39" s="46"/>
      <c r="O39" s="306"/>
      <c r="P39" s="46"/>
      <c r="Q39" s="310"/>
      <c r="R39" s="90"/>
      <c r="S39" s="307"/>
      <c r="T39" s="90"/>
      <c r="U39" s="87"/>
      <c r="V39" s="47"/>
    </row>
    <row r="40" spans="3:22" ht="14.1" customHeight="1" x14ac:dyDescent="0.25">
      <c r="H40" s="68"/>
      <c r="M40" s="34"/>
      <c r="N40" s="312" t="s">
        <v>270</v>
      </c>
      <c r="O40" s="306"/>
      <c r="P40" s="46"/>
      <c r="Q40" s="310"/>
      <c r="R40" s="90"/>
      <c r="S40" s="307"/>
      <c r="T40" s="90"/>
      <c r="U40" s="87"/>
      <c r="V40" s="47"/>
    </row>
    <row r="41" spans="3:22" ht="14.1" customHeight="1" x14ac:dyDescent="0.25">
      <c r="H41" s="68"/>
      <c r="M41" s="34">
        <v>23</v>
      </c>
      <c r="N41" s="46"/>
      <c r="O41" s="306" t="s">
        <v>261</v>
      </c>
      <c r="P41" s="46"/>
      <c r="Q41" s="308" t="s">
        <v>262</v>
      </c>
      <c r="R41" s="90">
        <v>85600</v>
      </c>
      <c r="S41" s="321" t="s">
        <v>252</v>
      </c>
      <c r="T41" s="93"/>
      <c r="U41" s="87"/>
      <c r="V41" s="47"/>
    </row>
    <row r="42" spans="3:22" ht="14.1" customHeight="1" x14ac:dyDescent="0.25">
      <c r="M42" s="34">
        <v>24</v>
      </c>
      <c r="N42" s="46"/>
      <c r="O42" s="46" t="s">
        <v>157</v>
      </c>
      <c r="P42" s="46"/>
      <c r="Q42" s="34"/>
      <c r="R42" s="90">
        <v>456600</v>
      </c>
      <c r="S42" s="321" t="s">
        <v>251</v>
      </c>
      <c r="T42" s="93"/>
      <c r="U42" s="87"/>
      <c r="V42" s="47"/>
    </row>
    <row r="43" spans="3:22" ht="14.1" customHeight="1" x14ac:dyDescent="0.25">
      <c r="M43" s="34">
        <v>25</v>
      </c>
      <c r="N43" s="46"/>
      <c r="O43" s="46" t="s">
        <v>158</v>
      </c>
      <c r="P43" s="46"/>
      <c r="Q43" s="34"/>
      <c r="R43" s="90">
        <v>4540</v>
      </c>
      <c r="S43" s="321" t="s">
        <v>254</v>
      </c>
      <c r="T43" s="93"/>
      <c r="U43" s="87"/>
      <c r="V43" s="47"/>
    </row>
    <row r="44" spans="3:22" ht="14.1" customHeight="1" x14ac:dyDescent="0.25">
      <c r="I44" s="61"/>
      <c r="M44" s="34">
        <v>26</v>
      </c>
      <c r="N44" s="46"/>
      <c r="O44" s="46" t="s">
        <v>160</v>
      </c>
      <c r="P44" s="46"/>
      <c r="Q44" s="34"/>
      <c r="R44" s="90">
        <v>72220</v>
      </c>
      <c r="S44" s="321" t="s">
        <v>243</v>
      </c>
      <c r="T44" s="93"/>
      <c r="U44" s="87"/>
      <c r="V44" s="47"/>
    </row>
    <row r="45" spans="3:22" ht="14.1" customHeight="1" x14ac:dyDescent="0.25">
      <c r="I45" s="61"/>
      <c r="M45" s="34">
        <v>27</v>
      </c>
      <c r="N45" s="46"/>
      <c r="O45" s="306" t="s">
        <v>281</v>
      </c>
      <c r="P45" s="46"/>
      <c r="Q45" s="308" t="s">
        <v>282</v>
      </c>
      <c r="R45" s="90">
        <f>(170000*0.1)+(170000)</f>
        <v>187000</v>
      </c>
      <c r="S45" s="321" t="s">
        <v>251</v>
      </c>
      <c r="T45" s="93"/>
      <c r="U45" s="87"/>
      <c r="V45" s="47"/>
    </row>
    <row r="46" spans="3:22" ht="14.1" customHeight="1" x14ac:dyDescent="0.25">
      <c r="I46" s="69"/>
      <c r="J46" s="69"/>
      <c r="M46" s="34">
        <v>28</v>
      </c>
      <c r="N46" s="46"/>
      <c r="O46" s="306" t="s">
        <v>283</v>
      </c>
      <c r="P46" s="46"/>
      <c r="Q46" s="308" t="s">
        <v>282</v>
      </c>
      <c r="R46" s="90">
        <f>(190000*0.1)+(190000)</f>
        <v>209000</v>
      </c>
      <c r="S46" s="321" t="s">
        <v>251</v>
      </c>
      <c r="T46" s="93"/>
      <c r="U46" s="87"/>
      <c r="V46" s="47"/>
    </row>
    <row r="47" spans="3:22" ht="14.1" customHeight="1" x14ac:dyDescent="0.25">
      <c r="I47" s="69"/>
      <c r="J47" s="69"/>
      <c r="M47" s="34">
        <v>29</v>
      </c>
      <c r="N47" s="46"/>
      <c r="O47" s="306" t="s">
        <v>289</v>
      </c>
      <c r="P47" s="46"/>
      <c r="Q47" s="308"/>
      <c r="R47" s="90">
        <f>(136500*0.1)+(136500)</f>
        <v>150150</v>
      </c>
      <c r="S47" s="321" t="s">
        <v>243</v>
      </c>
      <c r="T47" s="93"/>
      <c r="U47" s="87"/>
      <c r="V47" s="47"/>
    </row>
    <row r="48" spans="3:22" ht="14.1" customHeight="1" x14ac:dyDescent="0.25">
      <c r="C48" s="70"/>
      <c r="D48" s="71"/>
      <c r="I48" s="69"/>
      <c r="J48" s="69"/>
      <c r="M48" s="34">
        <v>30</v>
      </c>
      <c r="N48" s="46"/>
      <c r="O48" s="46" t="s">
        <v>146</v>
      </c>
      <c r="P48" s="46"/>
      <c r="Q48" s="308" t="s">
        <v>272</v>
      </c>
      <c r="R48" s="90">
        <v>64225</v>
      </c>
      <c r="S48" s="87" t="s">
        <v>105</v>
      </c>
      <c r="T48" s="93"/>
      <c r="U48" s="87"/>
      <c r="V48" s="47"/>
    </row>
    <row r="49" spans="3:22" ht="14.1" customHeight="1" x14ac:dyDescent="0.25">
      <c r="C49" s="70"/>
      <c r="D49" s="71"/>
      <c r="I49" s="69"/>
      <c r="J49" s="69"/>
      <c r="M49" s="34"/>
      <c r="N49" s="46"/>
      <c r="O49" s="46"/>
      <c r="P49" s="46"/>
      <c r="Q49" s="34"/>
      <c r="R49" s="90"/>
      <c r="S49" s="87"/>
      <c r="T49" s="93"/>
      <c r="U49" s="87"/>
      <c r="V49" s="47"/>
    </row>
    <row r="50" spans="3:22" ht="14.1" customHeight="1" x14ac:dyDescent="0.25">
      <c r="C50" s="72"/>
      <c r="D50" s="73"/>
      <c r="I50" s="69"/>
      <c r="J50" s="69"/>
      <c r="M50" s="34"/>
      <c r="N50" s="312" t="s">
        <v>271</v>
      </c>
      <c r="O50" s="46"/>
      <c r="P50" s="46"/>
      <c r="Q50" s="34"/>
      <c r="R50" s="90"/>
      <c r="S50" s="87"/>
      <c r="T50" s="93"/>
      <c r="U50" s="87"/>
      <c r="V50" s="47"/>
    </row>
    <row r="51" spans="3:22" ht="14.1" customHeight="1" x14ac:dyDescent="0.25">
      <c r="C51" s="72"/>
      <c r="D51" s="73"/>
      <c r="I51" s="69"/>
      <c r="J51" s="69"/>
      <c r="M51" s="34">
        <v>31</v>
      </c>
      <c r="N51" s="46"/>
      <c r="O51" s="46" t="s">
        <v>188</v>
      </c>
      <c r="P51" s="46"/>
      <c r="Q51" s="34"/>
      <c r="R51" s="90">
        <v>19100</v>
      </c>
      <c r="S51" s="87" t="s">
        <v>105</v>
      </c>
      <c r="T51" s="93"/>
      <c r="U51" s="87"/>
      <c r="V51" s="47"/>
    </row>
    <row r="52" spans="3:22" ht="14.1" customHeight="1" x14ac:dyDescent="0.25">
      <c r="C52" s="72"/>
      <c r="D52" s="73"/>
      <c r="I52" s="69"/>
      <c r="J52" s="69"/>
      <c r="M52" s="34">
        <v>32</v>
      </c>
      <c r="N52" s="46"/>
      <c r="O52" s="46" t="s">
        <v>173</v>
      </c>
      <c r="P52" s="46"/>
      <c r="Q52" s="34"/>
      <c r="R52" s="90">
        <v>7900</v>
      </c>
      <c r="S52" s="87" t="s">
        <v>105</v>
      </c>
      <c r="T52" s="93"/>
      <c r="U52" s="87"/>
      <c r="V52" s="47"/>
    </row>
    <row r="53" spans="3:22" ht="14.1" customHeight="1" x14ac:dyDescent="0.25">
      <c r="C53" s="72"/>
      <c r="D53" s="73"/>
      <c r="I53" s="69"/>
      <c r="J53" s="69"/>
      <c r="M53" s="34">
        <v>33</v>
      </c>
      <c r="N53" s="46"/>
      <c r="O53" s="46" t="s">
        <v>174</v>
      </c>
      <c r="P53" s="46"/>
      <c r="Q53" s="34"/>
      <c r="R53" s="90">
        <v>35500</v>
      </c>
      <c r="S53" s="87" t="s">
        <v>105</v>
      </c>
      <c r="T53" s="93"/>
      <c r="U53" s="87"/>
      <c r="V53" s="47"/>
    </row>
    <row r="54" spans="3:22" ht="14.1" customHeight="1" x14ac:dyDescent="0.25">
      <c r="C54" s="72"/>
      <c r="D54" s="73"/>
      <c r="I54" s="69"/>
      <c r="J54" s="69"/>
      <c r="M54" s="34">
        <v>34</v>
      </c>
      <c r="N54" s="46"/>
      <c r="O54" s="46" t="s">
        <v>175</v>
      </c>
      <c r="P54" s="46"/>
      <c r="Q54" s="34"/>
      <c r="R54" s="90">
        <v>48000</v>
      </c>
      <c r="S54" s="87" t="s">
        <v>105</v>
      </c>
      <c r="T54" s="93"/>
      <c r="U54" s="87"/>
      <c r="V54" s="47"/>
    </row>
    <row r="55" spans="3:22" ht="14.1" customHeight="1" x14ac:dyDescent="0.25">
      <c r="C55" s="72"/>
      <c r="D55" s="73"/>
      <c r="I55" s="69"/>
      <c r="J55" s="69"/>
      <c r="M55" s="34">
        <v>35</v>
      </c>
      <c r="N55" s="46"/>
      <c r="O55" s="306" t="s">
        <v>300</v>
      </c>
      <c r="P55" s="46"/>
      <c r="Q55" s="34"/>
      <c r="R55" s="90">
        <v>38500</v>
      </c>
      <c r="S55" s="87" t="s">
        <v>105</v>
      </c>
      <c r="T55" s="93"/>
      <c r="U55" s="87"/>
      <c r="V55" s="47"/>
    </row>
    <row r="56" spans="3:22" ht="14.1" customHeight="1" x14ac:dyDescent="0.25">
      <c r="C56" s="72"/>
      <c r="D56" s="73"/>
      <c r="I56" s="69"/>
      <c r="J56" s="69"/>
      <c r="M56" s="34">
        <v>36</v>
      </c>
      <c r="N56" s="46"/>
      <c r="O56" s="306" t="s">
        <v>250</v>
      </c>
      <c r="P56" s="46"/>
      <c r="Q56" s="34"/>
      <c r="R56" s="90">
        <v>56250</v>
      </c>
      <c r="S56" s="307" t="s">
        <v>243</v>
      </c>
      <c r="T56" s="93"/>
      <c r="U56" s="87"/>
      <c r="V56" s="47"/>
    </row>
    <row r="57" spans="3:22" ht="14.1" customHeight="1" x14ac:dyDescent="0.25">
      <c r="C57" s="72"/>
      <c r="D57" s="73"/>
      <c r="I57" s="69"/>
      <c r="J57" s="69"/>
      <c r="M57" s="34">
        <v>37</v>
      </c>
      <c r="N57" s="46"/>
      <c r="O57" s="306" t="s">
        <v>186</v>
      </c>
      <c r="P57" s="46"/>
      <c r="Q57" s="308" t="s">
        <v>278</v>
      </c>
      <c r="R57" s="90">
        <v>36500</v>
      </c>
      <c r="S57" s="321" t="s">
        <v>279</v>
      </c>
      <c r="T57" s="93"/>
      <c r="U57" s="87"/>
      <c r="V57" s="47"/>
    </row>
    <row r="58" spans="3:22" ht="14.1" customHeight="1" x14ac:dyDescent="0.25">
      <c r="C58" s="72"/>
      <c r="D58" s="73"/>
      <c r="I58" s="69"/>
      <c r="J58" s="69"/>
      <c r="M58" s="51"/>
      <c r="N58" s="53"/>
      <c r="O58" s="53"/>
      <c r="P58" s="53"/>
      <c r="Q58" s="51"/>
      <c r="R58" s="91"/>
      <c r="S58" s="88"/>
      <c r="T58" s="94"/>
      <c r="U58" s="88"/>
      <c r="V58" s="54"/>
    </row>
    <row r="59" spans="3:22" ht="14.1" customHeight="1" x14ac:dyDescent="0.25">
      <c r="C59" s="72"/>
      <c r="D59" s="73"/>
      <c r="I59" s="69"/>
      <c r="J59" s="69"/>
      <c r="Q59" s="61"/>
      <c r="R59" s="61"/>
      <c r="S59" s="61"/>
      <c r="T59" s="64"/>
    </row>
    <row r="60" spans="3:22" ht="14.1" customHeight="1" x14ac:dyDescent="0.25">
      <c r="C60" s="72"/>
      <c r="D60" s="73"/>
      <c r="I60" s="69"/>
      <c r="J60" s="69"/>
      <c r="Q60" s="61"/>
      <c r="R60" s="61"/>
      <c r="S60" s="305" t="str">
        <f>I31</f>
        <v>Dibuat Oleh :</v>
      </c>
      <c r="T60" s="64"/>
    </row>
    <row r="61" spans="3:22" ht="14.1" customHeight="1" x14ac:dyDescent="0.25">
      <c r="C61" s="72"/>
      <c r="D61" s="73"/>
      <c r="I61" s="69"/>
      <c r="J61" s="69"/>
      <c r="Q61" s="61"/>
      <c r="R61" s="61"/>
      <c r="S61" s="303" t="str">
        <f>I32</f>
        <v>PT. WARTA BUANA ANUGERAH</v>
      </c>
    </row>
    <row r="62" spans="3:22" ht="14.1" customHeight="1" x14ac:dyDescent="0.25">
      <c r="C62" s="72"/>
      <c r="D62" s="73"/>
      <c r="I62" s="69"/>
      <c r="J62" s="69"/>
      <c r="Q62" s="61"/>
      <c r="R62" s="61"/>
      <c r="S62" s="64"/>
    </row>
    <row r="63" spans="3:22" ht="14.1" customHeight="1" x14ac:dyDescent="0.25">
      <c r="C63" s="70"/>
      <c r="D63" s="71"/>
      <c r="I63" s="69"/>
      <c r="J63" s="69"/>
      <c r="Q63" s="61"/>
      <c r="R63" s="61"/>
      <c r="S63" s="64"/>
    </row>
    <row r="64" spans="3:22" ht="14.1" customHeight="1" x14ac:dyDescent="0.25">
      <c r="C64" s="74"/>
      <c r="D64" s="71"/>
      <c r="I64" s="69"/>
      <c r="J64" s="69"/>
      <c r="Q64" s="61"/>
      <c r="R64" s="61"/>
      <c r="S64" s="64"/>
    </row>
    <row r="65" spans="3:20" ht="14.1" customHeight="1" x14ac:dyDescent="0.25">
      <c r="C65" s="72"/>
      <c r="D65" s="73"/>
      <c r="I65" s="69"/>
      <c r="J65" s="69"/>
      <c r="Q65" s="61"/>
      <c r="R65" s="61"/>
      <c r="S65" s="304" t="str">
        <f>I36</f>
        <v>KHAIRUL AZHAR, ST</v>
      </c>
    </row>
    <row r="66" spans="3:20" ht="14.1" customHeight="1" x14ac:dyDescent="0.25">
      <c r="C66" s="72"/>
      <c r="D66" s="73"/>
      <c r="I66" s="69"/>
      <c r="J66" s="69"/>
      <c r="Q66" s="61"/>
      <c r="R66" s="61"/>
      <c r="S66" s="64" t="str">
        <f>I37</f>
        <v>Team Leader</v>
      </c>
    </row>
    <row r="67" spans="3:20" ht="14.1" customHeight="1" x14ac:dyDescent="0.25">
      <c r="C67" s="72"/>
      <c r="D67" s="73"/>
      <c r="I67" s="69"/>
      <c r="J67" s="69"/>
      <c r="M67" s="5"/>
      <c r="N67" s="65"/>
      <c r="Q67" s="61"/>
      <c r="R67" s="61"/>
    </row>
    <row r="68" spans="3:20" ht="14.1" customHeight="1" x14ac:dyDescent="0.25">
      <c r="C68" s="72"/>
      <c r="D68" s="73"/>
      <c r="I68" s="69"/>
      <c r="J68" s="69"/>
      <c r="M68" s="5"/>
      <c r="N68" s="65"/>
      <c r="Q68" s="61"/>
      <c r="R68" s="61"/>
      <c r="S68" s="61"/>
      <c r="T68" s="64"/>
    </row>
    <row r="69" spans="3:20" ht="14.1" customHeight="1" x14ac:dyDescent="0.25">
      <c r="C69" s="72"/>
      <c r="D69" s="73"/>
      <c r="I69" s="69"/>
      <c r="J69" s="69"/>
      <c r="Q69" s="61"/>
      <c r="R69" s="61"/>
      <c r="S69" s="61"/>
      <c r="T69" s="64"/>
    </row>
    <row r="70" spans="3:20" ht="14.1" customHeight="1" x14ac:dyDescent="0.25">
      <c r="C70" s="72"/>
      <c r="D70" s="73"/>
      <c r="I70" s="69"/>
      <c r="J70" s="69"/>
      <c r="Q70" s="61"/>
      <c r="R70" s="61"/>
      <c r="S70" s="61"/>
      <c r="T70" s="64"/>
    </row>
    <row r="71" spans="3:20" ht="14.1" customHeight="1" x14ac:dyDescent="0.25">
      <c r="C71" s="72"/>
      <c r="D71" s="71"/>
      <c r="I71" s="69"/>
      <c r="J71" s="69"/>
      <c r="Q71" s="61"/>
      <c r="R71" s="61"/>
      <c r="S71" s="61"/>
      <c r="T71" s="64"/>
    </row>
    <row r="72" spans="3:20" ht="14.1" customHeight="1" x14ac:dyDescent="0.25">
      <c r="C72" s="72"/>
      <c r="D72" s="71"/>
      <c r="I72" s="69"/>
      <c r="J72" s="69"/>
      <c r="Q72" s="61"/>
      <c r="R72" s="61"/>
      <c r="S72" s="61"/>
      <c r="T72" s="64"/>
    </row>
    <row r="73" spans="3:20" ht="14.1" customHeight="1" x14ac:dyDescent="0.25">
      <c r="C73" s="72"/>
      <c r="D73" s="73"/>
      <c r="I73" s="69"/>
      <c r="J73" s="69"/>
      <c r="Q73" s="61"/>
      <c r="R73" s="61"/>
      <c r="S73" s="61"/>
      <c r="T73" s="64"/>
    </row>
    <row r="74" spans="3:20" ht="14.1" customHeight="1" x14ac:dyDescent="0.25">
      <c r="C74" s="72"/>
      <c r="D74" s="71"/>
      <c r="I74" s="69"/>
      <c r="J74" s="69"/>
      <c r="Q74" s="61"/>
      <c r="R74" s="61"/>
      <c r="S74" s="61"/>
      <c r="T74" s="64"/>
    </row>
    <row r="75" spans="3:20" ht="14.1" customHeight="1" x14ac:dyDescent="0.25">
      <c r="C75" s="72"/>
      <c r="D75" s="71"/>
      <c r="I75" s="69"/>
      <c r="J75" s="69"/>
      <c r="Q75" s="61"/>
      <c r="R75" s="61"/>
      <c r="S75" s="61"/>
      <c r="T75" s="64"/>
    </row>
    <row r="76" spans="3:20" ht="14.1" customHeight="1" x14ac:dyDescent="0.25">
      <c r="C76" s="72"/>
      <c r="D76" s="73"/>
      <c r="I76" s="69"/>
      <c r="J76" s="69"/>
      <c r="Q76" s="61"/>
      <c r="R76" s="61"/>
      <c r="S76" s="61"/>
      <c r="T76" s="64"/>
    </row>
    <row r="77" spans="3:20" ht="14.1" customHeight="1" x14ac:dyDescent="0.25">
      <c r="C77" s="72"/>
      <c r="D77" s="73"/>
      <c r="I77" s="69"/>
      <c r="J77" s="69"/>
      <c r="Q77" s="61"/>
      <c r="R77" s="61"/>
      <c r="S77" s="61"/>
      <c r="T77" s="64"/>
    </row>
    <row r="78" spans="3:20" ht="14.1" customHeight="1" x14ac:dyDescent="0.25">
      <c r="C78" s="72"/>
      <c r="D78" s="73"/>
      <c r="I78" s="69"/>
      <c r="J78" s="69"/>
      <c r="Q78" s="61"/>
      <c r="T78" s="64"/>
    </row>
    <row r="79" spans="3:20" ht="14.1" customHeight="1" x14ac:dyDescent="0.25">
      <c r="C79" s="72"/>
      <c r="D79" s="73"/>
      <c r="I79" s="69"/>
      <c r="J79" s="69"/>
      <c r="Q79" s="61"/>
      <c r="T79" s="64"/>
    </row>
    <row r="80" spans="3:20" ht="14.1" customHeight="1" x14ac:dyDescent="0.25">
      <c r="C80" s="72"/>
      <c r="D80" s="73"/>
      <c r="I80" s="69"/>
      <c r="J80" s="69"/>
      <c r="Q80" s="61"/>
      <c r="T80" s="64"/>
    </row>
    <row r="81" spans="3:20" ht="14.1" customHeight="1" x14ac:dyDescent="0.25">
      <c r="C81" s="72"/>
      <c r="D81" s="73"/>
      <c r="I81" s="69"/>
      <c r="J81" s="69"/>
      <c r="Q81" s="61"/>
      <c r="T81" s="64"/>
    </row>
    <row r="82" spans="3:20" ht="14.1" customHeight="1" x14ac:dyDescent="0.25">
      <c r="C82" s="72"/>
      <c r="D82" s="73"/>
      <c r="I82" s="69"/>
      <c r="J82" s="69"/>
      <c r="Q82" s="61"/>
      <c r="T82" s="64"/>
    </row>
    <row r="83" spans="3:20" ht="14.1" customHeight="1" x14ac:dyDescent="0.25">
      <c r="C83" s="72"/>
      <c r="D83" s="73"/>
      <c r="I83" s="69"/>
      <c r="J83" s="69"/>
      <c r="Q83" s="61"/>
      <c r="R83" s="66"/>
      <c r="S83" s="66"/>
      <c r="T83" s="64"/>
    </row>
    <row r="84" spans="3:20" ht="14.1" customHeight="1" x14ac:dyDescent="0.25">
      <c r="C84" s="72"/>
      <c r="D84" s="73"/>
      <c r="I84" s="69"/>
      <c r="J84" s="69"/>
      <c r="Q84" s="61"/>
      <c r="T84" s="64"/>
    </row>
    <row r="85" spans="3:20" ht="14.1" customHeight="1" x14ac:dyDescent="0.25">
      <c r="C85" s="72"/>
      <c r="D85" s="71"/>
      <c r="I85" s="69"/>
      <c r="J85" s="69"/>
      <c r="Q85" s="61"/>
      <c r="T85" s="64"/>
    </row>
    <row r="86" spans="3:20" ht="14.1" customHeight="1" x14ac:dyDescent="0.25">
      <c r="C86" s="72"/>
      <c r="D86" s="71"/>
      <c r="I86" s="69"/>
      <c r="J86" s="69"/>
      <c r="Q86" s="61"/>
      <c r="T86" s="64"/>
    </row>
    <row r="87" spans="3:20" ht="14.1" customHeight="1" x14ac:dyDescent="0.25">
      <c r="C87" s="72"/>
      <c r="D87" s="73"/>
      <c r="I87" s="69"/>
      <c r="J87" s="69"/>
      <c r="M87" s="5"/>
      <c r="N87" s="65"/>
      <c r="Q87" s="61"/>
      <c r="R87" s="61"/>
      <c r="S87" s="61"/>
      <c r="T87" s="64"/>
    </row>
    <row r="88" spans="3:20" ht="14.1" customHeight="1" x14ac:dyDescent="0.25">
      <c r="C88" s="72"/>
      <c r="D88" s="73"/>
      <c r="I88" s="69"/>
      <c r="J88" s="69"/>
      <c r="Q88" s="61"/>
      <c r="R88" s="61"/>
      <c r="S88" s="61"/>
      <c r="T88" s="64"/>
    </row>
    <row r="89" spans="3:20" ht="14.1" customHeight="1" x14ac:dyDescent="0.25">
      <c r="C89" s="72"/>
      <c r="D89" s="73"/>
      <c r="I89" s="69"/>
      <c r="J89" s="69"/>
      <c r="Q89" s="61"/>
      <c r="R89" s="61"/>
      <c r="S89" s="61"/>
      <c r="T89" s="64"/>
    </row>
    <row r="90" spans="3:20" ht="14.1" customHeight="1" x14ac:dyDescent="0.25">
      <c r="C90" s="72"/>
      <c r="D90" s="73"/>
      <c r="I90" s="69"/>
      <c r="J90" s="69"/>
      <c r="Q90" s="61"/>
      <c r="R90" s="61"/>
      <c r="S90" s="61"/>
      <c r="T90" s="64"/>
    </row>
    <row r="91" spans="3:20" ht="14.1" customHeight="1" x14ac:dyDescent="0.25">
      <c r="C91" s="72"/>
      <c r="D91" s="73"/>
      <c r="I91" s="69"/>
      <c r="J91" s="69"/>
      <c r="Q91" s="61"/>
      <c r="R91" s="61"/>
      <c r="S91" s="61"/>
      <c r="T91" s="64"/>
    </row>
    <row r="92" spans="3:20" ht="14.1" customHeight="1" x14ac:dyDescent="0.25">
      <c r="C92" s="72"/>
      <c r="D92" s="73"/>
      <c r="I92" s="69"/>
      <c r="J92" s="69"/>
      <c r="Q92" s="61"/>
      <c r="R92" s="61"/>
      <c r="S92" s="61"/>
      <c r="T92" s="64"/>
    </row>
    <row r="93" spans="3:20" ht="14.1" customHeight="1" x14ac:dyDescent="0.25">
      <c r="C93" s="72"/>
      <c r="D93" s="73"/>
      <c r="I93" s="69"/>
      <c r="J93" s="69"/>
      <c r="Q93" s="61"/>
      <c r="R93" s="61"/>
      <c r="S93" s="61"/>
      <c r="T93" s="64"/>
    </row>
    <row r="94" spans="3:20" ht="14.1" customHeight="1" x14ac:dyDescent="0.25">
      <c r="C94" s="72"/>
      <c r="D94" s="73"/>
      <c r="I94" s="69"/>
      <c r="J94" s="69"/>
      <c r="Q94" s="61"/>
      <c r="R94" s="61"/>
      <c r="S94" s="61"/>
      <c r="T94" s="64"/>
    </row>
    <row r="95" spans="3:20" ht="14.1" customHeight="1" x14ac:dyDescent="0.25">
      <c r="C95" s="72"/>
      <c r="D95" s="73"/>
      <c r="I95" s="69"/>
      <c r="J95" s="69"/>
      <c r="Q95" s="61"/>
      <c r="R95" s="61"/>
      <c r="S95" s="61"/>
      <c r="T95" s="64"/>
    </row>
    <row r="96" spans="3:20" ht="14.1" customHeight="1" x14ac:dyDescent="0.25">
      <c r="C96" s="72"/>
      <c r="D96" s="73"/>
      <c r="I96" s="69"/>
      <c r="J96" s="69"/>
      <c r="Q96" s="61"/>
      <c r="R96" s="61"/>
      <c r="S96" s="61"/>
      <c r="T96" s="64"/>
    </row>
    <row r="97" spans="3:20" ht="14.1" customHeight="1" x14ac:dyDescent="0.25">
      <c r="C97" s="72"/>
      <c r="D97" s="73"/>
      <c r="I97" s="69"/>
      <c r="J97" s="69"/>
      <c r="Q97" s="61"/>
      <c r="R97" s="61"/>
      <c r="S97" s="61"/>
      <c r="T97" s="64"/>
    </row>
    <row r="98" spans="3:20" ht="14.1" customHeight="1" x14ac:dyDescent="0.25">
      <c r="C98" s="72"/>
      <c r="D98" s="73"/>
      <c r="I98" s="69"/>
      <c r="J98" s="69"/>
      <c r="Q98" s="61"/>
      <c r="R98" s="61"/>
      <c r="S98" s="61"/>
      <c r="T98" s="64"/>
    </row>
    <row r="99" spans="3:20" ht="14.1" customHeight="1" x14ac:dyDescent="0.25">
      <c r="C99" s="72"/>
      <c r="D99" s="73"/>
      <c r="I99" s="69"/>
      <c r="J99" s="69"/>
      <c r="Q99" s="61"/>
      <c r="R99" s="61"/>
      <c r="S99" s="61"/>
      <c r="T99" s="64"/>
    </row>
    <row r="100" spans="3:20" ht="14.1" customHeight="1" x14ac:dyDescent="0.25">
      <c r="C100" s="72"/>
      <c r="D100" s="73"/>
      <c r="I100" s="69"/>
      <c r="J100" s="69"/>
      <c r="Q100" s="61"/>
      <c r="R100" s="61"/>
      <c r="S100" s="61"/>
      <c r="T100" s="64"/>
    </row>
    <row r="101" spans="3:20" ht="14.1" customHeight="1" x14ac:dyDescent="0.25">
      <c r="C101" s="72"/>
      <c r="D101" s="73"/>
      <c r="I101" s="69"/>
      <c r="J101" s="69"/>
      <c r="Q101" s="61"/>
      <c r="R101" s="61"/>
      <c r="S101" s="61"/>
      <c r="T101" s="64"/>
    </row>
    <row r="102" spans="3:20" ht="14.1" customHeight="1" x14ac:dyDescent="0.25">
      <c r="C102" s="72"/>
      <c r="D102" s="71"/>
      <c r="I102" s="69"/>
      <c r="J102" s="69"/>
      <c r="Q102" s="61"/>
      <c r="R102" s="61"/>
      <c r="S102" s="61"/>
      <c r="T102" s="64"/>
    </row>
    <row r="103" spans="3:20" ht="14.1" customHeight="1" x14ac:dyDescent="0.25">
      <c r="C103" s="70"/>
      <c r="D103" s="71"/>
      <c r="I103" s="69"/>
      <c r="J103" s="69"/>
      <c r="Q103" s="61"/>
      <c r="R103" s="61"/>
      <c r="S103" s="61"/>
      <c r="T103" s="64"/>
    </row>
    <row r="104" spans="3:20" ht="14.1" customHeight="1" x14ac:dyDescent="0.25">
      <c r="C104" s="70"/>
      <c r="D104" s="71"/>
      <c r="I104" s="69"/>
      <c r="J104" s="69"/>
      <c r="Q104" s="61"/>
      <c r="R104" s="61"/>
      <c r="S104" s="61"/>
      <c r="T104" s="64"/>
    </row>
    <row r="105" spans="3:20" ht="14.1" customHeight="1" x14ac:dyDescent="0.25">
      <c r="C105" s="72"/>
      <c r="D105" s="73"/>
      <c r="I105" s="69"/>
      <c r="J105" s="69"/>
      <c r="Q105" s="61"/>
      <c r="R105" s="61"/>
      <c r="S105" s="61"/>
      <c r="T105" s="64"/>
    </row>
    <row r="106" spans="3:20" ht="14.1" customHeight="1" x14ac:dyDescent="0.25">
      <c r="C106" s="72"/>
      <c r="D106" s="73"/>
      <c r="I106" s="69"/>
      <c r="J106" s="69"/>
      <c r="Q106" s="61"/>
      <c r="R106" s="61"/>
      <c r="S106" s="61"/>
      <c r="T106" s="64"/>
    </row>
    <row r="107" spans="3:20" ht="14.1" customHeight="1" x14ac:dyDescent="0.25">
      <c r="C107" s="72"/>
      <c r="D107" s="73"/>
      <c r="I107" s="69"/>
      <c r="J107" s="69"/>
      <c r="Q107" s="61"/>
      <c r="R107" s="61"/>
      <c r="S107" s="61"/>
      <c r="T107" s="64"/>
    </row>
    <row r="108" spans="3:20" ht="14.1" customHeight="1" x14ac:dyDescent="0.25">
      <c r="C108" s="72"/>
      <c r="D108" s="73"/>
      <c r="I108" s="69"/>
      <c r="J108" s="69"/>
      <c r="Q108" s="61"/>
      <c r="R108" s="61"/>
      <c r="S108" s="61"/>
      <c r="T108" s="64"/>
    </row>
    <row r="109" spans="3:20" ht="14.1" customHeight="1" x14ac:dyDescent="0.25">
      <c r="C109" s="72"/>
      <c r="D109" s="73"/>
      <c r="I109" s="69"/>
      <c r="J109" s="69"/>
      <c r="Q109" s="61"/>
      <c r="R109" s="61"/>
      <c r="S109" s="61"/>
      <c r="T109" s="64"/>
    </row>
    <row r="110" spans="3:20" ht="14.1" customHeight="1" x14ac:dyDescent="0.25">
      <c r="C110" s="72"/>
      <c r="D110" s="71"/>
      <c r="I110" s="69"/>
      <c r="J110" s="69"/>
      <c r="Q110" s="61"/>
      <c r="R110" s="61"/>
      <c r="S110" s="61"/>
      <c r="T110" s="64"/>
    </row>
    <row r="111" spans="3:20" ht="14.1" customHeight="1" x14ac:dyDescent="0.25">
      <c r="C111" s="72"/>
      <c r="I111" s="69"/>
      <c r="J111" s="69"/>
      <c r="Q111" s="61"/>
      <c r="R111" s="61"/>
      <c r="S111" s="61"/>
      <c r="T111" s="64"/>
    </row>
    <row r="112" spans="3:20" ht="14.1" customHeight="1" x14ac:dyDescent="0.25">
      <c r="C112" s="72"/>
      <c r="I112" s="69"/>
      <c r="J112" s="69"/>
      <c r="Q112" s="61"/>
      <c r="R112" s="61"/>
      <c r="S112" s="61"/>
      <c r="T112" s="64"/>
    </row>
    <row r="113" spans="3:20" ht="14.1" customHeight="1" x14ac:dyDescent="0.25">
      <c r="C113" s="72"/>
      <c r="I113" s="69"/>
      <c r="J113" s="69"/>
      <c r="Q113" s="61"/>
      <c r="R113" s="61"/>
      <c r="S113" s="61"/>
      <c r="T113" s="64"/>
    </row>
    <row r="114" spans="3:20" ht="14.1" customHeight="1" x14ac:dyDescent="0.25">
      <c r="C114" s="72"/>
      <c r="D114" s="73"/>
      <c r="I114" s="69"/>
      <c r="J114" s="69"/>
      <c r="Q114" s="61"/>
      <c r="R114" s="61"/>
      <c r="S114" s="61"/>
      <c r="T114" s="64"/>
    </row>
    <row r="115" spans="3:20" ht="14.1" customHeight="1" x14ac:dyDescent="0.25">
      <c r="C115" s="72"/>
      <c r="D115" s="73"/>
      <c r="I115" s="69"/>
      <c r="J115" s="69"/>
      <c r="Q115" s="61"/>
      <c r="R115" s="61"/>
      <c r="S115" s="61"/>
      <c r="T115" s="64"/>
    </row>
    <row r="116" spans="3:20" ht="14.1" customHeight="1" x14ac:dyDescent="0.25">
      <c r="C116" s="72"/>
      <c r="D116" s="73"/>
      <c r="I116" s="69"/>
      <c r="J116" s="69"/>
      <c r="Q116" s="61"/>
      <c r="R116" s="61"/>
      <c r="S116" s="61"/>
      <c r="T116" s="64"/>
    </row>
    <row r="117" spans="3:20" ht="14.1" customHeight="1" x14ac:dyDescent="0.25">
      <c r="C117" s="72"/>
      <c r="D117" s="73"/>
      <c r="I117" s="69"/>
      <c r="J117" s="69"/>
      <c r="Q117" s="61"/>
      <c r="R117" s="61"/>
      <c r="S117" s="61"/>
      <c r="T117" s="64"/>
    </row>
    <row r="118" spans="3:20" ht="14.1" customHeight="1" x14ac:dyDescent="0.25">
      <c r="C118" s="72"/>
      <c r="D118" s="73"/>
      <c r="I118" s="69"/>
      <c r="J118" s="69"/>
      <c r="Q118" s="61"/>
      <c r="R118" s="61"/>
      <c r="S118" s="61"/>
      <c r="T118" s="64"/>
    </row>
    <row r="119" spans="3:20" ht="14.1" customHeight="1" x14ac:dyDescent="0.25">
      <c r="C119" s="72"/>
      <c r="D119" s="73"/>
      <c r="I119" s="69"/>
      <c r="J119" s="69"/>
      <c r="Q119" s="61"/>
      <c r="R119" s="61"/>
      <c r="S119" s="61"/>
      <c r="T119" s="64"/>
    </row>
    <row r="120" spans="3:20" ht="14.1" customHeight="1" x14ac:dyDescent="0.25">
      <c r="C120" s="72"/>
      <c r="D120" s="73"/>
      <c r="I120" s="69"/>
      <c r="J120" s="69"/>
      <c r="Q120" s="61"/>
      <c r="R120" s="61"/>
      <c r="S120" s="61"/>
      <c r="T120" s="64"/>
    </row>
    <row r="121" spans="3:20" ht="14.1" customHeight="1" x14ac:dyDescent="0.25">
      <c r="C121" s="72"/>
      <c r="D121" s="73"/>
      <c r="I121" s="69"/>
      <c r="J121" s="69"/>
      <c r="Q121" s="61"/>
      <c r="R121" s="61"/>
      <c r="S121" s="61"/>
      <c r="T121" s="64"/>
    </row>
    <row r="122" spans="3:20" ht="14.1" customHeight="1" x14ac:dyDescent="0.25">
      <c r="C122" s="72"/>
      <c r="D122" s="71"/>
      <c r="I122" s="69"/>
      <c r="J122" s="69"/>
      <c r="Q122" s="61"/>
      <c r="R122" s="61"/>
      <c r="S122" s="61"/>
      <c r="T122" s="64"/>
    </row>
    <row r="123" spans="3:20" ht="14.1" customHeight="1" x14ac:dyDescent="0.25">
      <c r="C123" s="72"/>
      <c r="D123" s="71"/>
      <c r="I123" s="69"/>
      <c r="J123" s="69"/>
      <c r="Q123" s="61"/>
      <c r="R123" s="61"/>
      <c r="S123" s="61"/>
      <c r="T123" s="64"/>
    </row>
    <row r="124" spans="3:20" ht="14.1" customHeight="1" x14ac:dyDescent="0.25">
      <c r="C124" s="72"/>
      <c r="D124" s="73"/>
      <c r="I124" s="69"/>
      <c r="J124" s="69"/>
      <c r="Q124" s="61"/>
      <c r="R124" s="61"/>
      <c r="S124" s="61"/>
      <c r="T124" s="64"/>
    </row>
    <row r="125" spans="3:20" ht="14.1" customHeight="1" x14ac:dyDescent="0.25">
      <c r="C125" s="72"/>
      <c r="D125" s="73"/>
      <c r="I125" s="69"/>
      <c r="J125" s="69"/>
      <c r="Q125" s="61"/>
      <c r="R125" s="61"/>
      <c r="S125" s="61"/>
      <c r="T125" s="64"/>
    </row>
    <row r="126" spans="3:20" ht="14.1" customHeight="1" x14ac:dyDescent="0.25">
      <c r="C126" s="72"/>
      <c r="D126" s="73"/>
      <c r="I126" s="69"/>
      <c r="J126" s="69"/>
      <c r="Q126" s="61"/>
      <c r="R126" s="61"/>
      <c r="S126" s="61"/>
      <c r="T126" s="64"/>
    </row>
    <row r="127" spans="3:20" ht="14.1" customHeight="1" x14ac:dyDescent="0.25">
      <c r="C127" s="72"/>
      <c r="D127" s="73"/>
      <c r="I127" s="69"/>
      <c r="J127" s="69"/>
      <c r="M127" s="5"/>
      <c r="N127" s="65"/>
      <c r="Q127" s="61"/>
      <c r="R127" s="61"/>
      <c r="S127" s="61"/>
      <c r="T127" s="64"/>
    </row>
    <row r="128" spans="3:20" ht="14.1" customHeight="1" x14ac:dyDescent="0.25">
      <c r="C128" s="72"/>
      <c r="D128" s="73"/>
      <c r="I128" s="69"/>
      <c r="J128" s="69"/>
      <c r="Q128" s="61"/>
      <c r="R128" s="61"/>
      <c r="S128" s="61"/>
      <c r="T128" s="64"/>
    </row>
    <row r="129" spans="3:20" ht="14.1" customHeight="1" x14ac:dyDescent="0.25">
      <c r="C129" s="72"/>
      <c r="D129" s="73"/>
      <c r="I129" s="69"/>
      <c r="J129" s="69"/>
      <c r="Q129" s="61"/>
      <c r="R129" s="61"/>
      <c r="S129" s="61"/>
      <c r="T129" s="64"/>
    </row>
    <row r="130" spans="3:20" ht="14.1" customHeight="1" x14ac:dyDescent="0.25">
      <c r="C130" s="72"/>
      <c r="D130" s="73"/>
      <c r="I130" s="69"/>
      <c r="J130" s="69"/>
      <c r="Q130" s="61"/>
      <c r="R130" s="61"/>
      <c r="S130" s="61"/>
      <c r="T130" s="64"/>
    </row>
    <row r="131" spans="3:20" ht="14.1" customHeight="1" x14ac:dyDescent="0.25">
      <c r="C131" s="72"/>
      <c r="D131" s="73"/>
      <c r="I131" s="69"/>
      <c r="J131" s="69"/>
      <c r="Q131" s="61"/>
      <c r="R131" s="61"/>
      <c r="S131" s="61"/>
      <c r="T131" s="64"/>
    </row>
    <row r="132" spans="3:20" ht="14.1" customHeight="1" x14ac:dyDescent="0.25">
      <c r="C132" s="72"/>
      <c r="D132" s="73"/>
      <c r="I132" s="69"/>
      <c r="J132" s="69"/>
      <c r="Q132" s="61"/>
      <c r="R132" s="61"/>
      <c r="S132" s="61"/>
      <c r="T132" s="64"/>
    </row>
    <row r="133" spans="3:20" ht="14.1" customHeight="1" x14ac:dyDescent="0.25">
      <c r="C133" s="72"/>
      <c r="D133" s="73"/>
      <c r="I133" s="69"/>
      <c r="J133" s="69"/>
      <c r="Q133" s="61"/>
      <c r="R133" s="61"/>
      <c r="S133" s="61"/>
      <c r="T133" s="64"/>
    </row>
    <row r="134" spans="3:20" ht="14.1" customHeight="1" x14ac:dyDescent="0.25">
      <c r="C134" s="72"/>
      <c r="D134" s="73"/>
      <c r="I134" s="69"/>
      <c r="J134" s="69"/>
      <c r="Q134" s="61"/>
      <c r="R134" s="61"/>
      <c r="S134" s="61"/>
      <c r="T134" s="64"/>
    </row>
    <row r="135" spans="3:20" ht="14.1" customHeight="1" x14ac:dyDescent="0.25">
      <c r="C135" s="72"/>
      <c r="D135" s="73"/>
      <c r="I135" s="69"/>
      <c r="J135" s="69"/>
      <c r="Q135" s="61"/>
      <c r="R135" s="61"/>
      <c r="S135" s="61"/>
      <c r="T135" s="64"/>
    </row>
    <row r="136" spans="3:20" ht="14.1" customHeight="1" x14ac:dyDescent="0.25">
      <c r="C136" s="72"/>
      <c r="D136" s="73"/>
      <c r="I136" s="69"/>
      <c r="J136" s="69"/>
      <c r="Q136" s="61"/>
      <c r="R136" s="61"/>
      <c r="S136" s="61"/>
      <c r="T136" s="64"/>
    </row>
    <row r="137" spans="3:20" ht="14.1" customHeight="1" x14ac:dyDescent="0.25">
      <c r="C137" s="72"/>
      <c r="D137" s="73"/>
      <c r="I137" s="69"/>
      <c r="J137" s="69"/>
      <c r="Q137" s="61"/>
      <c r="R137" s="61"/>
      <c r="S137" s="61"/>
      <c r="T137" s="64"/>
    </row>
    <row r="138" spans="3:20" ht="14.1" customHeight="1" x14ac:dyDescent="0.25">
      <c r="C138" s="72"/>
      <c r="D138" s="73"/>
      <c r="I138" s="69"/>
      <c r="J138" s="69"/>
      <c r="Q138" s="61"/>
      <c r="R138" s="61"/>
      <c r="S138" s="61"/>
      <c r="T138" s="64"/>
    </row>
    <row r="139" spans="3:20" ht="14.1" customHeight="1" x14ac:dyDescent="0.25">
      <c r="C139" s="72"/>
      <c r="D139" s="71"/>
      <c r="I139" s="69"/>
      <c r="J139" s="69"/>
      <c r="Q139" s="61"/>
      <c r="R139" s="61"/>
      <c r="S139" s="61"/>
      <c r="T139" s="64"/>
    </row>
    <row r="140" spans="3:20" ht="14.1" customHeight="1" x14ac:dyDescent="0.25">
      <c r="C140" s="72"/>
      <c r="D140" s="71"/>
      <c r="I140" s="69"/>
      <c r="J140" s="69"/>
      <c r="Q140" s="61"/>
      <c r="R140" s="61"/>
      <c r="S140" s="61"/>
      <c r="T140" s="64"/>
    </row>
    <row r="141" spans="3:20" ht="14.1" customHeight="1" x14ac:dyDescent="0.25">
      <c r="C141" s="72"/>
      <c r="D141" s="73"/>
      <c r="I141" s="69"/>
      <c r="J141" s="69"/>
      <c r="Q141" s="61"/>
      <c r="R141" s="61"/>
      <c r="S141" s="61"/>
      <c r="T141" s="64"/>
    </row>
    <row r="142" spans="3:20" ht="14.1" customHeight="1" x14ac:dyDescent="0.25">
      <c r="C142" s="72"/>
      <c r="D142" s="73"/>
      <c r="I142" s="69"/>
      <c r="J142" s="69"/>
      <c r="Q142" s="61"/>
      <c r="R142" s="61"/>
      <c r="S142" s="61"/>
      <c r="T142" s="64"/>
    </row>
    <row r="143" spans="3:20" ht="14.1" customHeight="1" x14ac:dyDescent="0.25">
      <c r="C143" s="72"/>
      <c r="D143" s="71"/>
      <c r="I143" s="69"/>
      <c r="J143" s="69"/>
      <c r="Q143" s="61"/>
      <c r="R143" s="61"/>
      <c r="S143" s="61"/>
      <c r="T143" s="64"/>
    </row>
    <row r="144" spans="3:20" ht="14.1" customHeight="1" x14ac:dyDescent="0.25">
      <c r="C144" s="72"/>
      <c r="D144" s="71"/>
      <c r="I144" s="69"/>
      <c r="J144" s="69"/>
      <c r="Q144" s="61"/>
      <c r="R144" s="61"/>
      <c r="S144" s="61"/>
      <c r="T144" s="64"/>
    </row>
    <row r="145" spans="3:20" ht="14.1" customHeight="1" x14ac:dyDescent="0.25">
      <c r="C145" s="72"/>
      <c r="D145" s="71"/>
      <c r="I145" s="69"/>
      <c r="J145" s="69"/>
      <c r="Q145" s="61"/>
      <c r="R145" s="61"/>
      <c r="S145" s="61"/>
      <c r="T145" s="64"/>
    </row>
    <row r="146" spans="3:20" ht="14.1" customHeight="1" x14ac:dyDescent="0.25">
      <c r="C146" s="72"/>
      <c r="D146" s="71"/>
      <c r="I146" s="69"/>
      <c r="J146" s="69"/>
      <c r="Q146" s="61"/>
      <c r="R146" s="61"/>
      <c r="S146" s="61"/>
      <c r="T146" s="64"/>
    </row>
    <row r="147" spans="3:20" ht="14.1" customHeight="1" x14ac:dyDescent="0.25">
      <c r="C147" s="72"/>
      <c r="D147" s="71"/>
      <c r="I147" s="69"/>
      <c r="J147" s="69"/>
      <c r="Q147" s="61"/>
      <c r="R147" s="61"/>
      <c r="S147" s="61"/>
      <c r="T147" s="64"/>
    </row>
    <row r="148" spans="3:20" ht="14.1" customHeight="1" x14ac:dyDescent="0.25">
      <c r="C148" s="72"/>
      <c r="D148" s="73"/>
      <c r="I148" s="69"/>
      <c r="J148" s="69"/>
      <c r="Q148" s="61"/>
      <c r="R148" s="61"/>
      <c r="S148" s="61"/>
      <c r="T148" s="64"/>
    </row>
    <row r="149" spans="3:20" ht="14.1" customHeight="1" x14ac:dyDescent="0.25">
      <c r="C149" s="72"/>
      <c r="D149" s="73"/>
      <c r="I149" s="69"/>
      <c r="J149" s="69"/>
      <c r="Q149" s="61"/>
      <c r="R149" s="61"/>
      <c r="S149" s="61"/>
      <c r="T149" s="64"/>
    </row>
    <row r="150" spans="3:20" ht="14.1" customHeight="1" x14ac:dyDescent="0.25">
      <c r="C150" s="72"/>
      <c r="D150" s="73"/>
      <c r="I150" s="69"/>
      <c r="J150" s="69"/>
      <c r="Q150" s="61"/>
      <c r="R150" s="61"/>
      <c r="S150" s="61"/>
      <c r="T150" s="64"/>
    </row>
    <row r="151" spans="3:20" ht="14.1" customHeight="1" x14ac:dyDescent="0.25">
      <c r="C151" s="72"/>
      <c r="D151" s="73"/>
      <c r="I151" s="69"/>
      <c r="J151" s="69"/>
      <c r="Q151" s="61"/>
      <c r="R151" s="61"/>
      <c r="S151" s="61"/>
      <c r="T151" s="64"/>
    </row>
    <row r="152" spans="3:20" ht="14.1" customHeight="1" x14ac:dyDescent="0.25">
      <c r="C152" s="72"/>
      <c r="D152" s="73"/>
      <c r="I152" s="69"/>
      <c r="J152" s="69"/>
      <c r="Q152" s="61"/>
      <c r="R152" s="61"/>
      <c r="S152" s="61"/>
      <c r="T152" s="64"/>
    </row>
    <row r="153" spans="3:20" ht="14.1" customHeight="1" x14ac:dyDescent="0.25">
      <c r="C153" s="72"/>
      <c r="D153" s="73"/>
      <c r="I153" s="69"/>
      <c r="J153" s="69"/>
      <c r="Q153" s="61"/>
      <c r="R153" s="61"/>
      <c r="S153" s="61"/>
      <c r="T153" s="64"/>
    </row>
    <row r="154" spans="3:20" ht="14.1" customHeight="1" x14ac:dyDescent="0.25">
      <c r="C154" s="72"/>
      <c r="D154" s="73"/>
      <c r="I154" s="69"/>
      <c r="J154" s="69"/>
      <c r="Q154" s="61"/>
      <c r="R154" s="61"/>
      <c r="S154" s="61"/>
      <c r="T154" s="64"/>
    </row>
    <row r="155" spans="3:20" ht="14.1" customHeight="1" x14ac:dyDescent="0.25">
      <c r="C155" s="72"/>
      <c r="D155" s="71"/>
      <c r="I155" s="69"/>
      <c r="J155" s="69"/>
      <c r="Q155" s="61"/>
      <c r="R155" s="61"/>
      <c r="S155" s="61"/>
      <c r="T155" s="64"/>
    </row>
    <row r="156" spans="3:20" ht="14.1" customHeight="1" x14ac:dyDescent="0.25">
      <c r="C156" s="72"/>
      <c r="D156" s="73"/>
      <c r="I156" s="69"/>
      <c r="J156" s="69"/>
      <c r="Q156" s="61"/>
      <c r="R156" s="61"/>
      <c r="S156" s="61"/>
      <c r="T156" s="64"/>
    </row>
    <row r="157" spans="3:20" ht="14.1" customHeight="1" x14ac:dyDescent="0.25">
      <c r="C157" s="72"/>
      <c r="D157" s="73"/>
      <c r="I157" s="69"/>
      <c r="J157" s="69"/>
      <c r="Q157" s="61"/>
      <c r="R157" s="61"/>
      <c r="S157" s="61"/>
      <c r="T157" s="64"/>
    </row>
    <row r="158" spans="3:20" ht="14.1" customHeight="1" x14ac:dyDescent="0.25">
      <c r="C158" s="72"/>
      <c r="D158" s="73"/>
      <c r="I158" s="69"/>
      <c r="J158" s="69"/>
      <c r="Q158" s="61"/>
      <c r="R158" s="61"/>
      <c r="S158" s="61"/>
      <c r="T158" s="64"/>
    </row>
    <row r="159" spans="3:20" ht="14.1" customHeight="1" x14ac:dyDescent="0.25">
      <c r="C159" s="72"/>
      <c r="D159" s="73"/>
      <c r="I159" s="69"/>
      <c r="J159" s="69"/>
      <c r="Q159" s="61"/>
      <c r="R159" s="61"/>
      <c r="S159" s="61"/>
      <c r="T159" s="64"/>
    </row>
    <row r="160" spans="3:20" ht="14.1" customHeight="1" x14ac:dyDescent="0.25">
      <c r="C160" s="72"/>
      <c r="D160" s="73"/>
      <c r="I160" s="69"/>
      <c r="J160" s="69"/>
      <c r="Q160" s="61"/>
      <c r="R160" s="61"/>
      <c r="S160" s="61"/>
      <c r="T160" s="64"/>
    </row>
    <row r="161" spans="3:20" ht="14.1" customHeight="1" x14ac:dyDescent="0.25">
      <c r="C161" s="72"/>
      <c r="D161" s="73"/>
      <c r="I161" s="69"/>
      <c r="J161" s="69"/>
      <c r="Q161" s="61"/>
      <c r="R161" s="61"/>
      <c r="S161" s="61"/>
      <c r="T161" s="64"/>
    </row>
    <row r="162" spans="3:20" ht="14.1" customHeight="1" x14ac:dyDescent="0.25">
      <c r="C162" s="72"/>
      <c r="D162" s="73"/>
      <c r="I162" s="69"/>
      <c r="J162" s="69"/>
      <c r="Q162" s="61"/>
      <c r="R162" s="61"/>
      <c r="S162" s="61"/>
      <c r="T162" s="64"/>
    </row>
    <row r="163" spans="3:20" ht="14.1" customHeight="1" x14ac:dyDescent="0.25">
      <c r="C163" s="72"/>
      <c r="D163" s="73"/>
      <c r="I163" s="69"/>
      <c r="J163" s="69"/>
      <c r="Q163" s="61"/>
      <c r="R163" s="61"/>
      <c r="S163" s="61"/>
      <c r="T163" s="64"/>
    </row>
    <row r="164" spans="3:20" ht="14.1" customHeight="1" x14ac:dyDescent="0.25">
      <c r="C164" s="72"/>
      <c r="D164" s="73"/>
      <c r="I164" s="69"/>
      <c r="J164" s="69"/>
      <c r="Q164" s="61"/>
      <c r="R164" s="61"/>
      <c r="S164" s="61"/>
      <c r="T164" s="64"/>
    </row>
    <row r="165" spans="3:20" ht="14.1" customHeight="1" x14ac:dyDescent="0.25">
      <c r="C165" s="72"/>
      <c r="D165" s="73"/>
      <c r="I165" s="69"/>
      <c r="J165" s="69"/>
      <c r="Q165" s="61"/>
      <c r="R165" s="61"/>
      <c r="S165" s="61"/>
      <c r="T165" s="64"/>
    </row>
    <row r="166" spans="3:20" ht="14.1" customHeight="1" x14ac:dyDescent="0.25">
      <c r="C166" s="72"/>
      <c r="D166" s="73"/>
      <c r="I166" s="69"/>
      <c r="J166" s="69"/>
      <c r="Q166" s="61"/>
      <c r="R166" s="61"/>
      <c r="S166" s="61"/>
      <c r="T166" s="64"/>
    </row>
    <row r="167" spans="3:20" ht="14.1" customHeight="1" x14ac:dyDescent="0.25">
      <c r="C167" s="72"/>
      <c r="D167" s="73"/>
      <c r="I167" s="69"/>
      <c r="J167" s="69"/>
      <c r="Q167" s="61"/>
      <c r="R167" s="61"/>
      <c r="S167" s="61"/>
      <c r="T167" s="64"/>
    </row>
    <row r="168" spans="3:20" ht="14.1" customHeight="1" x14ac:dyDescent="0.25">
      <c r="C168" s="72"/>
      <c r="D168" s="73"/>
      <c r="I168" s="69"/>
      <c r="J168" s="69"/>
      <c r="Q168" s="61"/>
      <c r="R168" s="61"/>
      <c r="S168" s="61"/>
      <c r="T168" s="64"/>
    </row>
    <row r="169" spans="3:20" ht="14.1" customHeight="1" x14ac:dyDescent="0.25">
      <c r="C169" s="72"/>
      <c r="D169" s="73"/>
      <c r="I169" s="69"/>
      <c r="J169" s="69"/>
      <c r="Q169" s="61"/>
      <c r="R169" s="61"/>
      <c r="S169" s="61"/>
      <c r="T169" s="64"/>
    </row>
    <row r="170" spans="3:20" ht="14.1" customHeight="1" x14ac:dyDescent="0.25">
      <c r="C170" s="72"/>
      <c r="D170" s="73"/>
      <c r="I170" s="69"/>
      <c r="J170" s="69"/>
      <c r="Q170" s="61"/>
      <c r="R170" s="61"/>
      <c r="S170" s="61"/>
      <c r="T170" s="64"/>
    </row>
    <row r="171" spans="3:20" ht="14.1" customHeight="1" x14ac:dyDescent="0.25">
      <c r="C171" s="72"/>
      <c r="D171" s="73"/>
      <c r="I171" s="69"/>
      <c r="J171" s="69"/>
      <c r="Q171" s="61"/>
      <c r="R171" s="61"/>
      <c r="S171" s="61"/>
      <c r="T171" s="64"/>
    </row>
    <row r="172" spans="3:20" ht="14.1" customHeight="1" x14ac:dyDescent="0.25">
      <c r="C172" s="72"/>
      <c r="D172" s="73"/>
      <c r="I172" s="69"/>
      <c r="J172" s="69"/>
      <c r="Q172" s="61"/>
      <c r="R172" s="61"/>
      <c r="S172" s="61"/>
      <c r="T172" s="64"/>
    </row>
    <row r="173" spans="3:20" ht="14.1" customHeight="1" x14ac:dyDescent="0.25">
      <c r="C173" s="72"/>
      <c r="D173" s="73"/>
      <c r="I173" s="69"/>
      <c r="J173" s="69"/>
      <c r="Q173" s="61"/>
      <c r="R173" s="61"/>
      <c r="S173" s="61"/>
      <c r="T173" s="64"/>
    </row>
    <row r="174" spans="3:20" ht="14.1" customHeight="1" x14ac:dyDescent="0.25">
      <c r="C174" s="72"/>
      <c r="D174" s="73"/>
      <c r="I174" s="69"/>
      <c r="J174" s="69"/>
      <c r="Q174" s="61"/>
      <c r="R174" s="61"/>
      <c r="S174" s="61"/>
      <c r="T174" s="64"/>
    </row>
    <row r="175" spans="3:20" ht="14.1" customHeight="1" x14ac:dyDescent="0.25">
      <c r="C175" s="72"/>
      <c r="D175" s="73"/>
      <c r="I175" s="69"/>
      <c r="J175" s="69"/>
      <c r="Q175" s="61"/>
      <c r="R175" s="61"/>
      <c r="S175" s="61"/>
      <c r="T175" s="64"/>
    </row>
    <row r="176" spans="3:20" ht="14.1" customHeight="1" x14ac:dyDescent="0.25">
      <c r="C176" s="72"/>
      <c r="D176" s="71"/>
      <c r="I176" s="69"/>
      <c r="J176" s="69"/>
      <c r="Q176" s="61"/>
      <c r="R176" s="61"/>
      <c r="S176" s="61"/>
      <c r="T176" s="64"/>
    </row>
    <row r="177" spans="3:20" ht="14.1" customHeight="1" x14ac:dyDescent="0.25">
      <c r="C177" s="72"/>
      <c r="D177" s="71"/>
      <c r="I177" s="69"/>
      <c r="J177" s="69"/>
      <c r="Q177" s="61"/>
      <c r="R177" s="61"/>
      <c r="S177" s="61"/>
      <c r="T177" s="64"/>
    </row>
    <row r="178" spans="3:20" ht="14.1" customHeight="1" x14ac:dyDescent="0.25">
      <c r="C178" s="72"/>
      <c r="D178" s="73"/>
      <c r="I178" s="69"/>
      <c r="J178" s="69"/>
      <c r="Q178" s="61"/>
      <c r="R178" s="61"/>
      <c r="S178" s="61"/>
      <c r="T178" s="64"/>
    </row>
    <row r="179" spans="3:20" ht="14.1" customHeight="1" x14ac:dyDescent="0.25">
      <c r="C179" s="72"/>
      <c r="D179" s="75"/>
      <c r="I179" s="69"/>
      <c r="J179" s="69"/>
      <c r="Q179" s="61"/>
      <c r="R179" s="61"/>
      <c r="S179" s="61"/>
      <c r="T179" s="64"/>
    </row>
    <row r="180" spans="3:20" ht="14.1" customHeight="1" x14ac:dyDescent="0.25">
      <c r="C180" s="72"/>
      <c r="D180" s="75"/>
      <c r="I180" s="69"/>
      <c r="J180" s="69"/>
      <c r="Q180" s="61"/>
      <c r="R180" s="61"/>
      <c r="S180" s="61"/>
      <c r="T180" s="64"/>
    </row>
    <row r="181" spans="3:20" ht="14.1" customHeight="1" x14ac:dyDescent="0.25">
      <c r="C181" s="72"/>
      <c r="D181" s="71"/>
      <c r="I181" s="69"/>
      <c r="J181" s="69"/>
      <c r="Q181" s="61"/>
      <c r="R181" s="61"/>
      <c r="S181" s="61"/>
      <c r="T181" s="64"/>
    </row>
    <row r="182" spans="3:20" ht="14.1" customHeight="1" x14ac:dyDescent="0.25">
      <c r="C182" s="72"/>
      <c r="D182" s="71"/>
      <c r="I182" s="69"/>
      <c r="J182" s="69"/>
      <c r="Q182" s="61"/>
      <c r="R182" s="61"/>
      <c r="S182" s="61"/>
      <c r="T182" s="64"/>
    </row>
    <row r="183" spans="3:20" ht="14.1" customHeight="1" x14ac:dyDescent="0.25">
      <c r="C183" s="72"/>
      <c r="D183" s="73"/>
      <c r="I183" s="69"/>
      <c r="J183" s="69"/>
      <c r="Q183" s="61"/>
      <c r="R183" s="61"/>
      <c r="S183" s="61"/>
      <c r="T183" s="64"/>
    </row>
    <row r="184" spans="3:20" ht="14.1" customHeight="1" x14ac:dyDescent="0.25">
      <c r="C184" s="72"/>
      <c r="D184" s="73"/>
      <c r="I184" s="69"/>
      <c r="J184" s="69"/>
      <c r="Q184" s="61"/>
      <c r="R184" s="61"/>
      <c r="S184" s="61"/>
      <c r="T184" s="64"/>
    </row>
    <row r="185" spans="3:20" ht="14.1" customHeight="1" x14ac:dyDescent="0.25">
      <c r="C185" s="72"/>
      <c r="D185" s="73"/>
      <c r="I185" s="69"/>
      <c r="J185" s="69"/>
      <c r="Q185" s="61"/>
      <c r="R185" s="61"/>
      <c r="S185" s="61"/>
      <c r="T185" s="64"/>
    </row>
    <row r="186" spans="3:20" ht="14.1" customHeight="1" x14ac:dyDescent="0.25">
      <c r="C186" s="72"/>
      <c r="D186" s="73"/>
      <c r="I186" s="69"/>
      <c r="J186" s="69"/>
      <c r="Q186" s="61"/>
      <c r="R186" s="61"/>
      <c r="S186" s="61"/>
      <c r="T186" s="64"/>
    </row>
    <row r="187" spans="3:20" ht="14.1" customHeight="1" x14ac:dyDescent="0.25">
      <c r="C187" s="72"/>
      <c r="D187" s="73"/>
      <c r="I187" s="69"/>
      <c r="J187" s="69"/>
      <c r="Q187" s="61"/>
      <c r="R187" s="61"/>
      <c r="S187" s="61"/>
      <c r="T187" s="64"/>
    </row>
    <row r="188" spans="3:20" ht="14.1" customHeight="1" x14ac:dyDescent="0.25">
      <c r="C188" s="72"/>
      <c r="D188" s="73"/>
      <c r="I188" s="69"/>
      <c r="J188" s="69"/>
      <c r="Q188" s="61"/>
      <c r="R188" s="61"/>
      <c r="S188" s="61"/>
      <c r="T188" s="64"/>
    </row>
    <row r="189" spans="3:20" ht="14.1" customHeight="1" x14ac:dyDescent="0.25">
      <c r="C189" s="72"/>
      <c r="D189" s="73"/>
      <c r="I189" s="69"/>
      <c r="J189" s="69"/>
      <c r="Q189" s="61"/>
      <c r="R189" s="61"/>
      <c r="S189" s="61"/>
      <c r="T189" s="64"/>
    </row>
    <row r="190" spans="3:20" ht="14.1" customHeight="1" x14ac:dyDescent="0.25">
      <c r="C190" s="72"/>
      <c r="D190" s="75"/>
      <c r="I190" s="69"/>
      <c r="J190" s="69"/>
      <c r="Q190" s="61"/>
      <c r="R190" s="61"/>
      <c r="S190" s="61"/>
      <c r="T190" s="64"/>
    </row>
    <row r="191" spans="3:20" ht="14.1" customHeight="1" x14ac:dyDescent="0.25">
      <c r="C191" s="72"/>
      <c r="D191" s="75"/>
      <c r="I191" s="69"/>
      <c r="J191" s="69"/>
      <c r="Q191" s="61"/>
      <c r="R191" s="61"/>
      <c r="S191" s="61"/>
      <c r="T191" s="64"/>
    </row>
    <row r="192" spans="3:20" ht="14.1" customHeight="1" x14ac:dyDescent="0.25">
      <c r="C192" s="72"/>
      <c r="D192" s="75"/>
      <c r="I192" s="69"/>
      <c r="J192" s="69"/>
      <c r="Q192" s="61"/>
      <c r="R192" s="61"/>
      <c r="S192" s="61"/>
      <c r="T192" s="64"/>
    </row>
    <row r="193" spans="3:20" ht="14.1" customHeight="1" x14ac:dyDescent="0.25">
      <c r="C193" s="72"/>
      <c r="D193" s="75"/>
      <c r="I193" s="69"/>
      <c r="J193" s="69"/>
      <c r="Q193" s="61"/>
      <c r="R193" s="61"/>
      <c r="S193" s="61"/>
      <c r="T193" s="64"/>
    </row>
    <row r="194" spans="3:20" ht="14.1" customHeight="1" x14ac:dyDescent="0.25">
      <c r="C194" s="72"/>
      <c r="D194" s="75"/>
      <c r="I194" s="69"/>
      <c r="J194" s="69"/>
      <c r="Q194" s="61"/>
      <c r="R194" s="61"/>
      <c r="S194" s="61"/>
      <c r="T194" s="64"/>
    </row>
    <row r="195" spans="3:20" ht="14.1" customHeight="1" x14ac:dyDescent="0.25">
      <c r="C195" s="72"/>
      <c r="D195" s="76"/>
      <c r="I195" s="69"/>
      <c r="J195" s="69"/>
      <c r="Q195" s="61"/>
      <c r="R195" s="61"/>
      <c r="S195" s="61"/>
      <c r="T195" s="64"/>
    </row>
    <row r="196" spans="3:20" ht="14.1" customHeight="1" x14ac:dyDescent="0.25">
      <c r="C196" s="72"/>
      <c r="D196" s="76"/>
      <c r="I196" s="69"/>
      <c r="J196" s="69"/>
      <c r="Q196" s="61"/>
      <c r="R196" s="61"/>
      <c r="S196" s="61"/>
      <c r="T196" s="64"/>
    </row>
    <row r="197" spans="3:20" ht="14.1" customHeight="1" x14ac:dyDescent="0.25">
      <c r="C197" s="70"/>
      <c r="D197" s="71"/>
      <c r="I197" s="69"/>
      <c r="J197" s="69"/>
      <c r="Q197" s="61"/>
      <c r="R197" s="61"/>
      <c r="S197" s="61"/>
      <c r="T197" s="64"/>
    </row>
    <row r="198" spans="3:20" ht="14.1" customHeight="1" x14ac:dyDescent="0.25">
      <c r="C198" s="74"/>
      <c r="D198" s="73"/>
      <c r="I198" s="69"/>
      <c r="J198" s="69"/>
      <c r="Q198" s="61"/>
      <c r="R198" s="61"/>
      <c r="S198" s="61"/>
      <c r="T198" s="64"/>
    </row>
    <row r="199" spans="3:20" ht="14.1" customHeight="1" x14ac:dyDescent="0.25">
      <c r="C199" s="74"/>
      <c r="D199" s="73"/>
      <c r="I199" s="69"/>
      <c r="J199" s="69"/>
      <c r="Q199" s="61"/>
      <c r="R199" s="61"/>
      <c r="S199" s="61"/>
      <c r="T199" s="64"/>
    </row>
    <row r="200" spans="3:20" ht="14.1" customHeight="1" x14ac:dyDescent="0.25">
      <c r="C200" s="74"/>
      <c r="D200" s="73"/>
      <c r="I200" s="69"/>
      <c r="J200" s="69"/>
      <c r="Q200" s="61"/>
      <c r="R200" s="61"/>
      <c r="S200" s="61"/>
      <c r="T200" s="64"/>
    </row>
    <row r="201" spans="3:20" ht="14.1" customHeight="1" x14ac:dyDescent="0.25">
      <c r="C201" s="74"/>
      <c r="D201" s="73"/>
      <c r="I201" s="69"/>
      <c r="J201" s="69"/>
      <c r="Q201" s="61"/>
      <c r="R201" s="61"/>
      <c r="S201" s="61"/>
      <c r="T201" s="64"/>
    </row>
    <row r="202" spans="3:20" ht="14.1" customHeight="1" x14ac:dyDescent="0.25">
      <c r="C202" s="70"/>
      <c r="D202" s="71"/>
      <c r="I202" s="69"/>
      <c r="J202" s="69"/>
      <c r="Q202" s="61"/>
      <c r="R202" s="61"/>
      <c r="S202" s="61"/>
      <c r="T202" s="64"/>
    </row>
    <row r="203" spans="3:20" ht="14.1" customHeight="1" x14ac:dyDescent="0.25">
      <c r="C203" s="70"/>
      <c r="D203" s="71"/>
      <c r="I203" s="69"/>
      <c r="J203" s="69"/>
      <c r="Q203" s="61"/>
      <c r="R203" s="61"/>
      <c r="S203" s="61"/>
      <c r="T203" s="64"/>
    </row>
    <row r="204" spans="3:20" ht="14.1" customHeight="1" x14ac:dyDescent="0.25">
      <c r="C204" s="72"/>
      <c r="D204" s="73"/>
      <c r="I204" s="69"/>
      <c r="J204" s="69"/>
      <c r="Q204" s="61"/>
      <c r="R204" s="61"/>
      <c r="S204" s="61"/>
      <c r="T204" s="64"/>
    </row>
    <row r="205" spans="3:20" ht="14.1" customHeight="1" x14ac:dyDescent="0.25">
      <c r="C205" s="72"/>
      <c r="D205" s="73"/>
      <c r="I205" s="69"/>
      <c r="J205" s="69"/>
      <c r="Q205" s="61"/>
      <c r="R205" s="61"/>
      <c r="S205" s="61"/>
      <c r="T205" s="64"/>
    </row>
    <row r="206" spans="3:20" ht="14.1" customHeight="1" x14ac:dyDescent="0.25">
      <c r="C206" s="72"/>
      <c r="D206" s="73"/>
      <c r="I206" s="69"/>
      <c r="J206" s="69"/>
      <c r="Q206" s="61"/>
      <c r="R206" s="61"/>
      <c r="S206" s="61"/>
      <c r="T206" s="64"/>
    </row>
    <row r="207" spans="3:20" ht="14.1" customHeight="1" x14ac:dyDescent="0.25">
      <c r="C207" s="72"/>
      <c r="D207" s="73"/>
      <c r="I207" s="69"/>
      <c r="J207" s="69"/>
      <c r="Q207" s="61"/>
      <c r="R207" s="61"/>
      <c r="S207" s="61"/>
      <c r="T207" s="64"/>
    </row>
    <row r="208" spans="3:20" ht="14.1" customHeight="1" x14ac:dyDescent="0.25">
      <c r="C208" s="72"/>
      <c r="D208" s="73"/>
      <c r="I208" s="69"/>
      <c r="J208" s="69"/>
      <c r="Q208" s="61"/>
      <c r="R208" s="61"/>
      <c r="S208" s="61"/>
      <c r="T208" s="64"/>
    </row>
    <row r="209" spans="3:20" ht="14.1" customHeight="1" x14ac:dyDescent="0.25">
      <c r="C209" s="72"/>
      <c r="D209" s="73"/>
      <c r="I209" s="69"/>
      <c r="J209" s="69"/>
      <c r="Q209" s="61"/>
      <c r="R209" s="61"/>
      <c r="S209" s="61"/>
      <c r="T209" s="64"/>
    </row>
    <row r="210" spans="3:20" ht="14.1" customHeight="1" x14ac:dyDescent="0.25">
      <c r="C210" s="72"/>
      <c r="D210" s="73"/>
      <c r="I210" s="69"/>
      <c r="J210" s="69"/>
      <c r="Q210" s="61"/>
      <c r="R210" s="61"/>
      <c r="S210" s="61"/>
      <c r="T210" s="64"/>
    </row>
    <row r="211" spans="3:20" ht="14.1" customHeight="1" x14ac:dyDescent="0.25">
      <c r="C211" s="72"/>
      <c r="D211" s="73"/>
      <c r="I211" s="69"/>
      <c r="J211" s="69"/>
      <c r="Q211" s="61"/>
      <c r="R211" s="61"/>
      <c r="S211" s="61"/>
      <c r="T211" s="64"/>
    </row>
    <row r="212" spans="3:20" ht="14.1" customHeight="1" x14ac:dyDescent="0.25">
      <c r="C212" s="72"/>
      <c r="D212" s="73"/>
      <c r="I212" s="69"/>
      <c r="J212" s="69"/>
      <c r="Q212" s="61"/>
      <c r="R212" s="61"/>
      <c r="S212" s="61"/>
      <c r="T212" s="64"/>
    </row>
    <row r="213" spans="3:20" ht="14.1" customHeight="1" x14ac:dyDescent="0.25">
      <c r="C213" s="72"/>
      <c r="D213" s="73"/>
      <c r="I213" s="69"/>
      <c r="J213" s="69"/>
      <c r="Q213" s="61"/>
      <c r="R213" s="61"/>
      <c r="S213" s="61"/>
      <c r="T213" s="64"/>
    </row>
    <row r="214" spans="3:20" ht="14.1" customHeight="1" x14ac:dyDescent="0.25">
      <c r="C214" s="72"/>
      <c r="D214" s="73"/>
      <c r="I214" s="69"/>
      <c r="J214" s="69"/>
      <c r="Q214" s="61"/>
      <c r="R214" s="61"/>
      <c r="S214" s="61"/>
      <c r="T214" s="64"/>
    </row>
    <row r="215" spans="3:20" ht="14.1" customHeight="1" x14ac:dyDescent="0.25">
      <c r="C215" s="72"/>
      <c r="D215" s="73"/>
      <c r="I215" s="69"/>
      <c r="J215" s="69"/>
      <c r="Q215" s="61"/>
      <c r="R215" s="61"/>
      <c r="S215" s="61"/>
      <c r="T215" s="64"/>
    </row>
    <row r="216" spans="3:20" ht="14.1" customHeight="1" x14ac:dyDescent="0.25">
      <c r="C216" s="72"/>
      <c r="D216" s="73"/>
      <c r="I216" s="69"/>
      <c r="J216" s="69"/>
      <c r="Q216" s="61"/>
      <c r="R216" s="61"/>
      <c r="S216" s="61"/>
      <c r="T216" s="64"/>
    </row>
    <row r="217" spans="3:20" ht="14.1" customHeight="1" x14ac:dyDescent="0.25">
      <c r="C217" s="72"/>
      <c r="D217" s="73"/>
      <c r="I217" s="69"/>
      <c r="J217" s="69"/>
      <c r="Q217" s="61"/>
      <c r="R217" s="61"/>
      <c r="S217" s="61"/>
      <c r="T217" s="64"/>
    </row>
    <row r="218" spans="3:20" ht="14.1" customHeight="1" x14ac:dyDescent="0.25">
      <c r="C218" s="72"/>
      <c r="D218" s="73"/>
      <c r="I218" s="69"/>
      <c r="J218" s="69"/>
      <c r="Q218" s="61"/>
      <c r="R218" s="61"/>
      <c r="S218" s="61"/>
      <c r="T218" s="64"/>
    </row>
    <row r="219" spans="3:20" ht="14.1" customHeight="1" x14ac:dyDescent="0.25">
      <c r="C219" s="72"/>
      <c r="D219" s="73"/>
      <c r="I219" s="69"/>
      <c r="J219" s="69"/>
      <c r="Q219" s="61"/>
      <c r="R219" s="61"/>
      <c r="S219" s="61"/>
      <c r="T219" s="64"/>
    </row>
    <row r="220" spans="3:20" ht="14.1" customHeight="1" x14ac:dyDescent="0.25">
      <c r="C220" s="72"/>
      <c r="D220" s="73"/>
      <c r="I220" s="69"/>
      <c r="J220" s="69"/>
      <c r="Q220" s="61"/>
      <c r="R220" s="61"/>
      <c r="S220" s="61"/>
      <c r="T220" s="64"/>
    </row>
    <row r="221" spans="3:20" ht="14.1" customHeight="1" x14ac:dyDescent="0.25">
      <c r="C221" s="72"/>
      <c r="D221" s="73"/>
      <c r="I221" s="69"/>
      <c r="J221" s="69"/>
      <c r="M221" s="5"/>
      <c r="N221" s="65"/>
      <c r="Q221" s="61"/>
      <c r="R221" s="61"/>
      <c r="S221" s="61"/>
      <c r="T221" s="64"/>
    </row>
    <row r="222" spans="3:20" ht="14.1" customHeight="1" x14ac:dyDescent="0.25">
      <c r="C222" s="72"/>
      <c r="D222" s="73"/>
      <c r="I222" s="69"/>
      <c r="J222" s="69"/>
      <c r="Q222" s="61"/>
      <c r="R222" s="61"/>
      <c r="S222" s="61"/>
      <c r="T222" s="64"/>
    </row>
    <row r="223" spans="3:20" ht="14.1" customHeight="1" x14ac:dyDescent="0.25">
      <c r="C223" s="72"/>
      <c r="D223" s="73"/>
      <c r="I223" s="69"/>
      <c r="J223" s="69"/>
      <c r="Q223" s="61"/>
      <c r="R223" s="61"/>
      <c r="S223" s="61"/>
      <c r="T223" s="64"/>
    </row>
    <row r="224" spans="3:20" ht="14.1" customHeight="1" x14ac:dyDescent="0.25">
      <c r="C224" s="72"/>
      <c r="D224" s="73"/>
      <c r="I224" s="69"/>
      <c r="J224" s="69"/>
      <c r="Q224" s="61"/>
      <c r="R224" s="61"/>
      <c r="S224" s="61"/>
      <c r="T224" s="64"/>
    </row>
    <row r="225" spans="3:20" ht="14.1" customHeight="1" x14ac:dyDescent="0.25">
      <c r="C225" s="72"/>
      <c r="D225" s="73"/>
      <c r="I225" s="69"/>
      <c r="J225" s="69"/>
      <c r="Q225" s="61"/>
      <c r="R225" s="61"/>
      <c r="S225" s="61"/>
      <c r="T225" s="64"/>
    </row>
    <row r="226" spans="3:20" ht="14.1" customHeight="1" x14ac:dyDescent="0.25">
      <c r="C226" s="74"/>
      <c r="D226" s="73"/>
      <c r="I226" s="69"/>
      <c r="J226" s="69"/>
      <c r="Q226" s="61"/>
      <c r="R226" s="61"/>
      <c r="S226" s="61"/>
      <c r="T226" s="64"/>
    </row>
    <row r="227" spans="3:20" ht="14.1" customHeight="1" x14ac:dyDescent="0.25">
      <c r="C227" s="74"/>
      <c r="D227" s="73"/>
      <c r="I227" s="69"/>
      <c r="J227" s="69"/>
      <c r="M227" s="5"/>
      <c r="N227" s="65"/>
      <c r="Q227" s="61"/>
      <c r="R227" s="61"/>
      <c r="S227" s="61"/>
      <c r="T227" s="64"/>
    </row>
    <row r="228" spans="3:20" ht="14.1" customHeight="1" x14ac:dyDescent="0.25">
      <c r="C228" s="70"/>
      <c r="D228" s="71"/>
      <c r="I228" s="69"/>
      <c r="J228" s="69"/>
      <c r="Q228" s="61"/>
      <c r="R228" s="61"/>
      <c r="S228" s="61"/>
      <c r="T228" s="64"/>
    </row>
    <row r="229" spans="3:20" ht="14.1" customHeight="1" x14ac:dyDescent="0.25">
      <c r="C229" s="72"/>
      <c r="D229" s="73"/>
      <c r="I229" s="69"/>
      <c r="J229" s="69"/>
      <c r="Q229" s="61"/>
      <c r="R229" s="61"/>
      <c r="S229" s="61"/>
      <c r="T229" s="64"/>
    </row>
    <row r="230" spans="3:20" ht="14.1" customHeight="1" x14ac:dyDescent="0.25">
      <c r="C230" s="72"/>
      <c r="D230" s="73"/>
      <c r="I230" s="69"/>
      <c r="J230" s="69"/>
      <c r="Q230" s="61"/>
      <c r="R230" s="61"/>
      <c r="S230" s="61"/>
      <c r="T230" s="64"/>
    </row>
    <row r="231" spans="3:20" ht="14.1" customHeight="1" x14ac:dyDescent="0.25">
      <c r="C231" s="72"/>
      <c r="D231" s="73"/>
      <c r="I231" s="69"/>
      <c r="J231" s="69"/>
      <c r="Q231" s="61"/>
      <c r="R231" s="61"/>
      <c r="S231" s="61"/>
      <c r="T231" s="64"/>
    </row>
    <row r="232" spans="3:20" ht="14.1" customHeight="1" x14ac:dyDescent="0.25">
      <c r="C232" s="72"/>
      <c r="D232" s="73"/>
      <c r="I232" s="69"/>
      <c r="J232" s="69"/>
      <c r="Q232" s="61"/>
      <c r="R232" s="61"/>
      <c r="S232" s="61"/>
      <c r="T232" s="64"/>
    </row>
    <row r="233" spans="3:20" ht="14.1" customHeight="1" x14ac:dyDescent="0.25">
      <c r="C233" s="72"/>
      <c r="D233" s="73"/>
      <c r="I233" s="69"/>
      <c r="J233" s="69"/>
      <c r="Q233" s="61"/>
      <c r="R233" s="61"/>
      <c r="S233" s="61"/>
      <c r="T233" s="64"/>
    </row>
    <row r="234" spans="3:20" ht="14.1" customHeight="1" x14ac:dyDescent="0.25">
      <c r="C234" s="72"/>
      <c r="D234" s="73"/>
      <c r="I234" s="69"/>
      <c r="J234" s="69"/>
      <c r="Q234" s="61"/>
      <c r="R234" s="61"/>
      <c r="S234" s="61"/>
      <c r="T234" s="64"/>
    </row>
    <row r="235" spans="3:20" ht="14.1" customHeight="1" x14ac:dyDescent="0.25">
      <c r="C235" s="72"/>
      <c r="D235" s="73"/>
      <c r="I235" s="69"/>
      <c r="J235" s="69"/>
      <c r="Q235" s="61"/>
      <c r="R235" s="61"/>
      <c r="S235" s="61"/>
      <c r="T235" s="64"/>
    </row>
    <row r="236" spans="3:20" ht="14.1" customHeight="1" x14ac:dyDescent="0.25">
      <c r="C236" s="72"/>
      <c r="D236" s="73"/>
      <c r="I236" s="69"/>
      <c r="J236" s="69"/>
      <c r="Q236" s="61"/>
      <c r="R236" s="61"/>
      <c r="S236" s="61"/>
      <c r="T236" s="64"/>
    </row>
    <row r="237" spans="3:20" ht="14.1" customHeight="1" x14ac:dyDescent="0.25">
      <c r="C237" s="72"/>
      <c r="D237" s="73"/>
      <c r="I237" s="69"/>
      <c r="J237" s="69"/>
      <c r="Q237" s="61"/>
      <c r="R237" s="61"/>
      <c r="S237" s="61"/>
      <c r="T237" s="64"/>
    </row>
    <row r="238" spans="3:20" ht="14.1" customHeight="1" x14ac:dyDescent="0.25">
      <c r="C238" s="72"/>
      <c r="D238" s="73"/>
      <c r="I238" s="69"/>
      <c r="J238" s="69"/>
      <c r="Q238" s="61"/>
      <c r="R238" s="61"/>
      <c r="S238" s="61"/>
      <c r="T238" s="64"/>
    </row>
    <row r="239" spans="3:20" ht="14.1" customHeight="1" x14ac:dyDescent="0.25">
      <c r="C239" s="72"/>
      <c r="D239" s="73"/>
      <c r="I239" s="69"/>
      <c r="J239" s="69"/>
      <c r="Q239" s="61"/>
      <c r="R239" s="61"/>
      <c r="S239" s="61"/>
      <c r="T239" s="64"/>
    </row>
    <row r="240" spans="3:20" ht="14.1" customHeight="1" x14ac:dyDescent="0.25">
      <c r="C240" s="72"/>
      <c r="D240" s="73"/>
      <c r="I240" s="69"/>
      <c r="J240" s="69"/>
      <c r="Q240" s="61"/>
      <c r="R240" s="61"/>
      <c r="S240" s="61"/>
      <c r="T240" s="64"/>
    </row>
    <row r="241" spans="3:20" ht="14.1" customHeight="1" x14ac:dyDescent="0.25">
      <c r="C241" s="72"/>
      <c r="D241" s="73"/>
      <c r="I241" s="69"/>
      <c r="J241" s="69"/>
      <c r="Q241" s="61"/>
      <c r="R241" s="61"/>
      <c r="S241" s="61"/>
      <c r="T241" s="64"/>
    </row>
    <row r="242" spans="3:20" ht="14.1" customHeight="1" x14ac:dyDescent="0.25">
      <c r="C242" s="72"/>
      <c r="D242" s="73"/>
      <c r="I242" s="69"/>
      <c r="J242" s="69"/>
      <c r="Q242" s="61"/>
      <c r="R242" s="61"/>
      <c r="S242" s="61"/>
      <c r="T242" s="64"/>
    </row>
    <row r="243" spans="3:20" ht="14.1" customHeight="1" x14ac:dyDescent="0.25">
      <c r="C243" s="72"/>
      <c r="D243" s="75"/>
      <c r="I243" s="69"/>
      <c r="J243" s="69"/>
      <c r="Q243" s="61"/>
      <c r="R243" s="61"/>
      <c r="S243" s="61"/>
      <c r="T243" s="64"/>
    </row>
    <row r="244" spans="3:20" ht="14.1" customHeight="1" x14ac:dyDescent="0.25">
      <c r="C244" s="72"/>
      <c r="D244" s="75"/>
      <c r="I244" s="69"/>
      <c r="J244" s="69"/>
      <c r="Q244" s="61"/>
      <c r="R244" s="61"/>
      <c r="S244" s="61"/>
      <c r="T244" s="64"/>
    </row>
    <row r="245" spans="3:20" ht="14.1" customHeight="1" x14ac:dyDescent="0.25">
      <c r="C245" s="72"/>
      <c r="D245" s="75"/>
      <c r="I245" s="69"/>
      <c r="J245" s="69"/>
      <c r="Q245" s="61"/>
      <c r="R245" s="61"/>
      <c r="S245" s="61"/>
      <c r="T245" s="64"/>
    </row>
    <row r="246" spans="3:20" ht="14.1" customHeight="1" x14ac:dyDescent="0.25">
      <c r="C246" s="72"/>
      <c r="D246" s="75"/>
      <c r="I246" s="69"/>
      <c r="J246" s="69"/>
      <c r="Q246" s="61"/>
      <c r="R246" s="61"/>
      <c r="S246" s="61"/>
      <c r="T246" s="64"/>
    </row>
    <row r="247" spans="3:20" ht="14.1" customHeight="1" x14ac:dyDescent="0.25">
      <c r="C247" s="72"/>
      <c r="D247" s="75"/>
      <c r="I247" s="69"/>
      <c r="J247" s="69"/>
      <c r="Q247" s="61"/>
      <c r="R247" s="61"/>
      <c r="S247" s="61"/>
      <c r="T247" s="64"/>
    </row>
    <row r="248" spans="3:20" ht="14.1" customHeight="1" x14ac:dyDescent="0.25">
      <c r="C248" s="72"/>
      <c r="D248" s="73"/>
      <c r="I248" s="69"/>
      <c r="J248" s="69"/>
      <c r="Q248" s="61"/>
      <c r="R248" s="61"/>
      <c r="S248" s="61"/>
      <c r="T248" s="64"/>
    </row>
    <row r="249" spans="3:20" ht="14.1" customHeight="1" x14ac:dyDescent="0.25">
      <c r="C249" s="72"/>
      <c r="D249" s="73"/>
      <c r="I249" s="69"/>
      <c r="J249" s="69"/>
      <c r="Q249" s="61"/>
      <c r="R249" s="61"/>
      <c r="S249" s="61"/>
      <c r="T249" s="64"/>
    </row>
    <row r="250" spans="3:20" ht="14.1" customHeight="1" x14ac:dyDescent="0.25">
      <c r="C250" s="72"/>
      <c r="D250" s="73"/>
      <c r="I250" s="69"/>
      <c r="J250" s="69"/>
      <c r="Q250" s="61"/>
      <c r="R250" s="61"/>
      <c r="S250" s="61"/>
      <c r="T250" s="64"/>
    </row>
    <row r="251" spans="3:20" ht="14.1" customHeight="1" x14ac:dyDescent="0.25">
      <c r="C251" s="72"/>
      <c r="D251" s="73"/>
      <c r="I251" s="69"/>
      <c r="J251" s="69"/>
      <c r="M251" s="5"/>
      <c r="N251" s="65"/>
      <c r="Q251" s="61"/>
      <c r="R251" s="61"/>
      <c r="S251" s="61"/>
      <c r="T251" s="64"/>
    </row>
    <row r="252" spans="3:20" ht="14.1" customHeight="1" x14ac:dyDescent="0.25">
      <c r="C252" s="72"/>
      <c r="D252" s="73"/>
      <c r="I252" s="69"/>
      <c r="J252" s="69"/>
      <c r="Q252" s="61"/>
      <c r="R252" s="61"/>
      <c r="S252" s="61"/>
      <c r="T252" s="64"/>
    </row>
    <row r="253" spans="3:20" ht="14.1" customHeight="1" x14ac:dyDescent="0.25">
      <c r="C253" s="72"/>
      <c r="D253" s="73"/>
      <c r="I253" s="69"/>
      <c r="J253" s="69"/>
      <c r="Q253" s="61"/>
      <c r="R253" s="61"/>
      <c r="S253" s="61"/>
      <c r="T253" s="64"/>
    </row>
    <row r="254" spans="3:20" ht="14.1" customHeight="1" x14ac:dyDescent="0.25">
      <c r="C254" s="72"/>
      <c r="D254" s="73"/>
      <c r="I254" s="69"/>
      <c r="J254" s="69"/>
      <c r="Q254" s="61"/>
      <c r="R254" s="61"/>
      <c r="S254" s="61"/>
      <c r="T254" s="64"/>
    </row>
    <row r="255" spans="3:20" ht="14.1" customHeight="1" x14ac:dyDescent="0.25">
      <c r="C255" s="72"/>
      <c r="D255" s="73"/>
      <c r="I255" s="69"/>
      <c r="J255" s="69"/>
      <c r="Q255" s="61"/>
      <c r="R255" s="61"/>
      <c r="S255" s="61"/>
      <c r="T255" s="64"/>
    </row>
    <row r="256" spans="3:20" ht="14.1" customHeight="1" x14ac:dyDescent="0.25">
      <c r="C256" s="72"/>
      <c r="D256" s="73"/>
      <c r="I256" s="69"/>
      <c r="J256" s="69"/>
      <c r="Q256" s="61"/>
      <c r="R256" s="61"/>
      <c r="S256" s="61"/>
      <c r="T256" s="64"/>
    </row>
    <row r="257" spans="3:20" ht="14.1" customHeight="1" x14ac:dyDescent="0.25">
      <c r="C257" s="72"/>
      <c r="D257" s="73"/>
      <c r="I257" s="69"/>
      <c r="J257" s="69"/>
      <c r="Q257" s="61"/>
      <c r="R257" s="61"/>
      <c r="S257" s="61"/>
      <c r="T257" s="64"/>
    </row>
    <row r="258" spans="3:20" ht="14.1" customHeight="1" x14ac:dyDescent="0.25">
      <c r="C258" s="72"/>
      <c r="D258" s="73"/>
      <c r="I258" s="69"/>
      <c r="J258" s="69"/>
      <c r="Q258" s="61"/>
      <c r="R258" s="61"/>
      <c r="S258" s="61"/>
      <c r="T258" s="64"/>
    </row>
    <row r="259" spans="3:20" ht="14.1" customHeight="1" x14ac:dyDescent="0.25">
      <c r="C259" s="72"/>
      <c r="D259" s="73"/>
      <c r="I259" s="69"/>
      <c r="J259" s="69"/>
      <c r="Q259" s="61"/>
      <c r="R259" s="61"/>
      <c r="S259" s="61"/>
      <c r="T259" s="64"/>
    </row>
    <row r="260" spans="3:20" ht="14.1" customHeight="1" x14ac:dyDescent="0.25">
      <c r="C260" s="72"/>
      <c r="D260" s="73"/>
      <c r="I260" s="69"/>
      <c r="J260" s="69"/>
      <c r="Q260" s="61"/>
      <c r="R260" s="61"/>
      <c r="S260" s="61"/>
      <c r="T260" s="64"/>
    </row>
    <row r="261" spans="3:20" ht="14.1" customHeight="1" x14ac:dyDescent="0.25">
      <c r="C261" s="72"/>
      <c r="D261" s="73"/>
      <c r="I261" s="69"/>
      <c r="J261" s="69"/>
      <c r="Q261" s="61"/>
      <c r="R261" s="61"/>
      <c r="S261" s="61"/>
      <c r="T261" s="64"/>
    </row>
    <row r="262" spans="3:20" ht="14.1" customHeight="1" x14ac:dyDescent="0.25">
      <c r="C262" s="72"/>
      <c r="D262" s="73"/>
      <c r="I262" s="69"/>
      <c r="J262" s="69"/>
      <c r="Q262" s="61"/>
      <c r="R262" s="61"/>
      <c r="S262" s="61"/>
      <c r="T262" s="64"/>
    </row>
    <row r="263" spans="3:20" ht="14.1" customHeight="1" x14ac:dyDescent="0.25">
      <c r="C263" s="72"/>
      <c r="D263" s="73"/>
      <c r="I263" s="69"/>
      <c r="J263" s="69"/>
      <c r="Q263" s="61"/>
      <c r="R263" s="61"/>
      <c r="S263" s="61"/>
      <c r="T263" s="64"/>
    </row>
    <row r="264" spans="3:20" ht="14.1" customHeight="1" x14ac:dyDescent="0.25">
      <c r="C264" s="72"/>
      <c r="D264" s="73"/>
      <c r="I264" s="69"/>
      <c r="J264" s="69"/>
      <c r="Q264" s="61"/>
      <c r="R264" s="61"/>
      <c r="S264" s="61"/>
      <c r="T264" s="64"/>
    </row>
    <row r="265" spans="3:20" ht="14.1" customHeight="1" x14ac:dyDescent="0.25">
      <c r="C265" s="72"/>
      <c r="D265" s="73"/>
      <c r="I265" s="69"/>
      <c r="J265" s="69"/>
      <c r="Q265" s="61"/>
      <c r="R265" s="61"/>
      <c r="S265" s="61"/>
      <c r="T265" s="64"/>
    </row>
    <row r="266" spans="3:20" ht="14.1" customHeight="1" x14ac:dyDescent="0.25">
      <c r="C266" s="72"/>
      <c r="D266" s="73"/>
      <c r="I266" s="69"/>
      <c r="J266" s="69"/>
      <c r="Q266" s="61"/>
      <c r="R266" s="61"/>
      <c r="S266" s="61"/>
      <c r="T266" s="64"/>
    </row>
    <row r="267" spans="3:20" ht="14.1" customHeight="1" x14ac:dyDescent="0.25">
      <c r="C267" s="72"/>
      <c r="D267" s="73"/>
      <c r="I267" s="69"/>
      <c r="J267" s="69"/>
      <c r="Q267" s="61"/>
      <c r="R267" s="61"/>
      <c r="S267" s="61"/>
      <c r="T267" s="64"/>
    </row>
    <row r="268" spans="3:20" ht="14.1" customHeight="1" x14ac:dyDescent="0.25">
      <c r="C268" s="72"/>
      <c r="D268" s="73"/>
      <c r="I268" s="69"/>
      <c r="J268" s="69"/>
      <c r="Q268" s="61"/>
      <c r="R268" s="61"/>
      <c r="S268" s="61"/>
      <c r="T268" s="64"/>
    </row>
    <row r="269" spans="3:20" ht="14.1" customHeight="1" x14ac:dyDescent="0.25">
      <c r="C269" s="72"/>
      <c r="D269" s="73"/>
      <c r="I269" s="69"/>
      <c r="J269" s="69"/>
      <c r="Q269" s="61"/>
      <c r="R269" s="61"/>
      <c r="S269" s="61"/>
      <c r="T269" s="64"/>
    </row>
    <row r="270" spans="3:20" ht="14.1" customHeight="1" x14ac:dyDescent="0.25">
      <c r="C270" s="72"/>
      <c r="D270" s="73"/>
      <c r="I270" s="69"/>
      <c r="J270" s="69"/>
      <c r="Q270" s="61"/>
      <c r="R270" s="61"/>
      <c r="S270" s="61"/>
      <c r="T270" s="64"/>
    </row>
    <row r="271" spans="3:20" ht="14.1" customHeight="1" x14ac:dyDescent="0.25">
      <c r="C271" s="72"/>
      <c r="D271" s="73"/>
      <c r="I271" s="69"/>
      <c r="J271" s="69"/>
      <c r="Q271" s="61"/>
      <c r="R271" s="61"/>
      <c r="S271" s="61"/>
      <c r="T271" s="64"/>
    </row>
    <row r="272" spans="3:20" ht="14.1" customHeight="1" x14ac:dyDescent="0.25">
      <c r="C272" s="72"/>
      <c r="D272" s="73"/>
      <c r="I272" s="69"/>
      <c r="J272" s="69"/>
      <c r="Q272" s="61"/>
      <c r="R272" s="61"/>
      <c r="S272" s="61"/>
      <c r="T272" s="64"/>
    </row>
    <row r="273" spans="3:20" ht="14.1" customHeight="1" x14ac:dyDescent="0.25">
      <c r="C273" s="72"/>
      <c r="D273" s="73"/>
      <c r="I273" s="69"/>
      <c r="J273" s="69"/>
      <c r="Q273" s="61"/>
      <c r="R273" s="61"/>
      <c r="S273" s="61"/>
      <c r="T273" s="64"/>
    </row>
    <row r="274" spans="3:20" ht="14.1" customHeight="1" x14ac:dyDescent="0.25">
      <c r="C274" s="72"/>
      <c r="D274" s="73"/>
      <c r="I274" s="69"/>
      <c r="J274" s="69"/>
      <c r="Q274" s="61"/>
      <c r="R274" s="61"/>
      <c r="S274" s="61"/>
      <c r="T274" s="64"/>
    </row>
    <row r="275" spans="3:20" ht="14.1" customHeight="1" x14ac:dyDescent="0.25">
      <c r="C275" s="72"/>
      <c r="D275" s="73"/>
      <c r="I275" s="69"/>
      <c r="J275" s="69"/>
      <c r="Q275" s="61"/>
      <c r="R275" s="61"/>
      <c r="S275" s="61"/>
      <c r="T275" s="64"/>
    </row>
    <row r="276" spans="3:20" ht="14.1" customHeight="1" x14ac:dyDescent="0.25">
      <c r="C276" s="72"/>
      <c r="D276" s="73"/>
      <c r="I276" s="69"/>
      <c r="J276" s="69"/>
      <c r="Q276" s="61"/>
      <c r="R276" s="61"/>
      <c r="S276" s="61"/>
      <c r="T276" s="64"/>
    </row>
    <row r="277" spans="3:20" ht="14.1" customHeight="1" x14ac:dyDescent="0.25">
      <c r="C277" s="72"/>
      <c r="D277" s="75"/>
      <c r="I277" s="69"/>
      <c r="J277" s="69"/>
      <c r="Q277" s="61"/>
      <c r="R277" s="61"/>
      <c r="S277" s="61"/>
      <c r="T277" s="64"/>
    </row>
    <row r="278" spans="3:20" ht="14.1" customHeight="1" x14ac:dyDescent="0.25">
      <c r="C278" s="72"/>
      <c r="D278" s="73"/>
      <c r="I278" s="69"/>
      <c r="J278" s="69"/>
      <c r="Q278" s="61"/>
      <c r="R278" s="61"/>
      <c r="S278" s="61"/>
      <c r="T278" s="64"/>
    </row>
    <row r="279" spans="3:20" ht="14.1" customHeight="1" x14ac:dyDescent="0.25">
      <c r="C279" s="72"/>
      <c r="D279" s="73"/>
      <c r="I279" s="69"/>
      <c r="J279" s="69"/>
      <c r="Q279" s="61"/>
      <c r="R279" s="61"/>
      <c r="S279" s="61"/>
      <c r="T279" s="64"/>
    </row>
    <row r="280" spans="3:20" ht="14.1" customHeight="1" x14ac:dyDescent="0.25">
      <c r="C280" s="72"/>
      <c r="D280" s="73"/>
      <c r="I280" s="69"/>
      <c r="J280" s="69"/>
      <c r="Q280" s="61"/>
      <c r="R280" s="61"/>
      <c r="S280" s="61"/>
      <c r="T280" s="64"/>
    </row>
    <row r="281" spans="3:20" ht="14.1" customHeight="1" x14ac:dyDescent="0.25">
      <c r="C281" s="72"/>
      <c r="D281" s="73"/>
      <c r="I281" s="69"/>
      <c r="J281" s="69"/>
      <c r="Q281" s="61"/>
      <c r="R281" s="61"/>
      <c r="S281" s="61"/>
      <c r="T281" s="64"/>
    </row>
    <row r="282" spans="3:20" ht="14.1" customHeight="1" x14ac:dyDescent="0.25">
      <c r="C282" s="72"/>
      <c r="D282" s="73"/>
      <c r="I282" s="69"/>
      <c r="J282" s="69"/>
      <c r="Q282" s="61"/>
      <c r="R282" s="61"/>
      <c r="S282" s="61"/>
      <c r="T282" s="64"/>
    </row>
    <row r="283" spans="3:20" ht="14.1" customHeight="1" x14ac:dyDescent="0.25">
      <c r="C283" s="72"/>
      <c r="D283" s="73"/>
      <c r="I283" s="69"/>
      <c r="J283" s="69"/>
      <c r="Q283" s="61"/>
      <c r="R283" s="61"/>
      <c r="S283" s="61"/>
      <c r="T283" s="64"/>
    </row>
    <row r="284" spans="3:20" ht="14.1" customHeight="1" x14ac:dyDescent="0.25">
      <c r="C284" s="72"/>
      <c r="D284" s="73"/>
      <c r="I284" s="69"/>
      <c r="J284" s="69"/>
      <c r="Q284" s="61"/>
      <c r="R284" s="61"/>
      <c r="S284" s="61"/>
      <c r="T284" s="64"/>
    </row>
    <row r="285" spans="3:20" ht="14.1" customHeight="1" x14ac:dyDescent="0.25">
      <c r="C285" s="72"/>
      <c r="D285" s="73"/>
      <c r="I285" s="69"/>
      <c r="J285" s="69"/>
      <c r="Q285" s="61"/>
      <c r="R285" s="61"/>
      <c r="S285" s="61"/>
      <c r="T285" s="64"/>
    </row>
    <row r="286" spans="3:20" ht="14.1" customHeight="1" x14ac:dyDescent="0.25">
      <c r="C286" s="70"/>
      <c r="D286" s="71"/>
      <c r="I286" s="69"/>
      <c r="J286" s="69"/>
      <c r="Q286" s="61"/>
      <c r="R286" s="61"/>
      <c r="S286" s="61"/>
      <c r="T286" s="64"/>
    </row>
    <row r="287" spans="3:20" ht="14.1" customHeight="1" x14ac:dyDescent="0.25">
      <c r="C287" s="72"/>
      <c r="D287" s="73"/>
      <c r="I287" s="69"/>
      <c r="J287" s="69"/>
      <c r="Q287" s="61"/>
      <c r="R287" s="61"/>
      <c r="S287" s="61"/>
      <c r="T287" s="64"/>
    </row>
    <row r="288" spans="3:20" ht="14.1" customHeight="1" x14ac:dyDescent="0.25">
      <c r="C288" s="72"/>
      <c r="D288" s="73"/>
      <c r="Q288" s="61"/>
      <c r="R288" s="61"/>
      <c r="S288" s="61"/>
      <c r="T288" s="64"/>
    </row>
    <row r="289" spans="3:20" ht="14.1" customHeight="1" x14ac:dyDescent="0.25">
      <c r="C289" s="72"/>
      <c r="D289" s="73"/>
      <c r="Q289" s="61"/>
      <c r="R289" s="61"/>
      <c r="S289" s="61"/>
      <c r="T289" s="64"/>
    </row>
    <row r="290" spans="3:20" ht="14.1" customHeight="1" x14ac:dyDescent="0.25">
      <c r="C290" s="72"/>
      <c r="D290" s="73"/>
      <c r="Q290" s="61"/>
      <c r="R290" s="61"/>
      <c r="S290" s="61"/>
      <c r="T290" s="64"/>
    </row>
    <row r="291" spans="3:20" ht="14.1" customHeight="1" x14ac:dyDescent="0.25">
      <c r="C291" s="72"/>
      <c r="D291" s="73"/>
      <c r="Q291" s="61"/>
      <c r="R291" s="61"/>
      <c r="S291" s="61"/>
      <c r="T291" s="64"/>
    </row>
    <row r="292" spans="3:20" ht="14.1" customHeight="1" x14ac:dyDescent="0.25">
      <c r="C292" s="72"/>
      <c r="D292" s="73"/>
      <c r="Q292" s="61"/>
      <c r="R292" s="61"/>
      <c r="S292" s="61"/>
      <c r="T292" s="64"/>
    </row>
    <row r="293" spans="3:20" ht="14.1" customHeight="1" x14ac:dyDescent="0.25">
      <c r="C293" s="72"/>
      <c r="D293" s="73"/>
      <c r="Q293" s="61"/>
      <c r="R293" s="61"/>
      <c r="S293" s="61"/>
      <c r="T293" s="64"/>
    </row>
    <row r="294" spans="3:20" ht="14.1" customHeight="1" x14ac:dyDescent="0.25">
      <c r="C294" s="72"/>
      <c r="D294" s="73"/>
      <c r="Q294" s="61"/>
      <c r="R294" s="61"/>
      <c r="S294" s="61"/>
      <c r="T294" s="64"/>
    </row>
    <row r="295" spans="3:20" ht="14.1" customHeight="1" x14ac:dyDescent="0.25">
      <c r="C295" s="72"/>
      <c r="D295" s="73"/>
      <c r="Q295" s="61"/>
      <c r="R295" s="61"/>
      <c r="S295" s="61"/>
      <c r="T295" s="64"/>
    </row>
    <row r="296" spans="3:20" ht="14.1" customHeight="1" x14ac:dyDescent="0.25">
      <c r="C296" s="72"/>
      <c r="D296" s="73"/>
      <c r="Q296" s="61"/>
      <c r="R296" s="61"/>
      <c r="S296" s="61"/>
      <c r="T296" s="64"/>
    </row>
    <row r="297" spans="3:20" ht="14.1" customHeight="1" x14ac:dyDescent="0.25">
      <c r="C297" s="72"/>
      <c r="D297" s="73"/>
      <c r="Q297" s="61"/>
      <c r="R297" s="61"/>
      <c r="S297" s="61"/>
      <c r="T297" s="64"/>
    </row>
    <row r="298" spans="3:20" ht="14.1" customHeight="1" x14ac:dyDescent="0.25">
      <c r="C298" s="72"/>
      <c r="D298" s="73"/>
      <c r="Q298" s="61"/>
      <c r="R298" s="61"/>
      <c r="S298" s="61"/>
      <c r="T298" s="64"/>
    </row>
    <row r="299" spans="3:20" ht="14.1" customHeight="1" x14ac:dyDescent="0.25">
      <c r="C299" s="72"/>
      <c r="D299" s="73"/>
      <c r="Q299" s="61"/>
      <c r="R299" s="61"/>
      <c r="S299" s="61"/>
      <c r="T299" s="64"/>
    </row>
    <row r="300" spans="3:20" ht="14.1" customHeight="1" x14ac:dyDescent="0.25">
      <c r="C300" s="72"/>
      <c r="D300" s="73"/>
      <c r="Q300" s="61"/>
      <c r="R300" s="61"/>
      <c r="S300" s="61"/>
      <c r="T300" s="64"/>
    </row>
    <row r="301" spans="3:20" ht="14.1" customHeight="1" x14ac:dyDescent="0.25">
      <c r="C301" s="72"/>
      <c r="D301" s="73"/>
      <c r="Q301" s="61"/>
      <c r="R301" s="61"/>
      <c r="S301" s="61"/>
      <c r="T301" s="64"/>
    </row>
    <row r="302" spans="3:20" ht="14.1" customHeight="1" x14ac:dyDescent="0.25">
      <c r="C302" s="72"/>
      <c r="D302" s="73"/>
      <c r="Q302" s="61"/>
      <c r="R302" s="61"/>
      <c r="S302" s="61"/>
      <c r="T302" s="64"/>
    </row>
    <row r="303" spans="3:20" ht="14.1" customHeight="1" x14ac:dyDescent="0.25">
      <c r="C303" s="72"/>
      <c r="D303" s="73"/>
      <c r="Q303" s="61"/>
      <c r="R303" s="61"/>
      <c r="S303" s="61"/>
      <c r="T303" s="64"/>
    </row>
    <row r="304" spans="3:20" ht="14.1" customHeight="1" x14ac:dyDescent="0.25">
      <c r="C304" s="72"/>
      <c r="D304" s="73"/>
      <c r="Q304" s="61"/>
      <c r="R304" s="61"/>
      <c r="S304" s="61"/>
      <c r="T304" s="64"/>
    </row>
    <row r="305" spans="3:20" ht="14.1" customHeight="1" x14ac:dyDescent="0.25">
      <c r="C305" s="72"/>
      <c r="D305" s="73"/>
      <c r="Q305" s="61"/>
      <c r="R305" s="61"/>
      <c r="S305" s="61"/>
      <c r="T305" s="64"/>
    </row>
    <row r="306" spans="3:20" ht="14.1" customHeight="1" x14ac:dyDescent="0.25">
      <c r="C306" s="72"/>
      <c r="D306" s="73"/>
      <c r="Q306" s="61"/>
      <c r="R306" s="61"/>
      <c r="S306" s="61"/>
      <c r="T306" s="64"/>
    </row>
    <row r="307" spans="3:20" ht="14.1" customHeight="1" x14ac:dyDescent="0.25">
      <c r="C307" s="72"/>
      <c r="D307" s="73"/>
      <c r="Q307" s="61"/>
      <c r="R307" s="61"/>
      <c r="S307" s="61"/>
      <c r="T307" s="64"/>
    </row>
    <row r="308" spans="3:20" ht="14.1" customHeight="1" x14ac:dyDescent="0.25">
      <c r="C308" s="72"/>
      <c r="D308" s="73"/>
      <c r="Q308" s="61"/>
      <c r="R308" s="61"/>
      <c r="S308" s="61"/>
      <c r="T308" s="64"/>
    </row>
    <row r="309" spans="3:20" ht="14.1" customHeight="1" x14ac:dyDescent="0.25">
      <c r="C309" s="72"/>
      <c r="D309" s="73"/>
      <c r="M309" s="5"/>
      <c r="N309" s="65"/>
      <c r="Q309" s="61"/>
      <c r="R309" s="61"/>
      <c r="S309" s="61"/>
      <c r="T309" s="64"/>
    </row>
    <row r="310" spans="3:20" ht="14.1" customHeight="1" x14ac:dyDescent="0.25">
      <c r="C310" s="72"/>
      <c r="D310" s="73"/>
      <c r="Q310" s="61"/>
      <c r="R310" s="61"/>
      <c r="S310" s="61"/>
      <c r="T310" s="64"/>
    </row>
    <row r="311" spans="3:20" ht="14.1" customHeight="1" x14ac:dyDescent="0.25">
      <c r="C311" s="72"/>
      <c r="D311" s="73"/>
      <c r="Q311" s="61"/>
      <c r="R311" s="61"/>
      <c r="S311" s="61"/>
      <c r="T311" s="64"/>
    </row>
    <row r="312" spans="3:20" ht="14.1" customHeight="1" x14ac:dyDescent="0.25">
      <c r="C312" s="72"/>
      <c r="D312" s="73"/>
      <c r="Q312" s="61"/>
      <c r="R312" s="61"/>
      <c r="S312" s="61"/>
      <c r="T312" s="64"/>
    </row>
    <row r="313" spans="3:20" ht="14.1" customHeight="1" x14ac:dyDescent="0.25">
      <c r="C313" s="72"/>
      <c r="D313" s="73"/>
      <c r="Q313" s="61"/>
      <c r="R313" s="61"/>
      <c r="S313" s="61"/>
      <c r="T313" s="64"/>
    </row>
    <row r="314" spans="3:20" ht="14.1" customHeight="1" x14ac:dyDescent="0.25">
      <c r="C314" s="72"/>
      <c r="D314" s="73"/>
      <c r="Q314" s="61"/>
      <c r="R314" s="61"/>
      <c r="S314" s="61"/>
      <c r="T314" s="64"/>
    </row>
    <row r="315" spans="3:20" ht="14.1" customHeight="1" x14ac:dyDescent="0.25">
      <c r="C315" s="72"/>
      <c r="D315" s="73"/>
      <c r="Q315" s="61"/>
      <c r="R315" s="61"/>
      <c r="S315" s="61"/>
      <c r="T315" s="64"/>
    </row>
    <row r="316" spans="3:20" ht="14.1" customHeight="1" x14ac:dyDescent="0.25">
      <c r="C316" s="72"/>
      <c r="D316" s="73"/>
      <c r="Q316" s="61"/>
      <c r="R316" s="61"/>
      <c r="S316" s="61"/>
      <c r="T316" s="64"/>
    </row>
    <row r="317" spans="3:20" ht="14.1" customHeight="1" x14ac:dyDescent="0.25">
      <c r="C317" s="72"/>
      <c r="D317" s="73"/>
      <c r="Q317" s="61"/>
      <c r="R317" s="61"/>
      <c r="S317" s="61"/>
      <c r="T317" s="64"/>
    </row>
    <row r="318" spans="3:20" ht="14.1" customHeight="1" x14ac:dyDescent="0.25">
      <c r="C318" s="72"/>
      <c r="D318" s="73"/>
      <c r="Q318" s="61"/>
      <c r="R318" s="61"/>
      <c r="S318" s="61"/>
      <c r="T318" s="64"/>
    </row>
    <row r="319" spans="3:20" ht="14.1" customHeight="1" x14ac:dyDescent="0.25">
      <c r="C319" s="72"/>
      <c r="D319" s="73"/>
      <c r="Q319" s="61"/>
      <c r="R319" s="61"/>
      <c r="S319" s="61"/>
      <c r="T319" s="64"/>
    </row>
    <row r="320" spans="3:20" ht="14.1" customHeight="1" x14ac:dyDescent="0.25">
      <c r="C320" s="72"/>
      <c r="D320" s="73"/>
      <c r="Q320" s="61"/>
      <c r="R320" s="61"/>
      <c r="S320" s="61"/>
      <c r="T320" s="64"/>
    </row>
    <row r="321" spans="3:20" ht="14.1" customHeight="1" x14ac:dyDescent="0.25">
      <c r="C321" s="72"/>
      <c r="D321" s="73"/>
      <c r="Q321" s="61"/>
      <c r="R321" s="61"/>
      <c r="S321" s="61"/>
      <c r="T321" s="64"/>
    </row>
    <row r="322" spans="3:20" ht="14.1" customHeight="1" x14ac:dyDescent="0.25">
      <c r="C322" s="72"/>
      <c r="D322" s="73"/>
      <c r="Q322" s="61"/>
      <c r="R322" s="61"/>
      <c r="S322" s="61"/>
      <c r="T322" s="64"/>
    </row>
    <row r="323" spans="3:20" ht="14.1" customHeight="1" x14ac:dyDescent="0.25">
      <c r="C323" s="72"/>
      <c r="D323" s="73"/>
      <c r="Q323" s="61"/>
      <c r="R323" s="61"/>
      <c r="S323" s="61"/>
      <c r="T323" s="64"/>
    </row>
    <row r="324" spans="3:20" ht="14.1" customHeight="1" x14ac:dyDescent="0.25">
      <c r="C324" s="72"/>
      <c r="D324" s="73"/>
      <c r="Q324" s="61"/>
      <c r="R324" s="61"/>
      <c r="S324" s="61"/>
      <c r="T324" s="64"/>
    </row>
    <row r="325" spans="3:20" ht="14.1" customHeight="1" x14ac:dyDescent="0.25">
      <c r="C325" s="72"/>
      <c r="D325" s="73"/>
      <c r="Q325" s="61"/>
      <c r="R325" s="61"/>
      <c r="S325" s="61"/>
      <c r="T325" s="64"/>
    </row>
    <row r="326" spans="3:20" ht="14.1" customHeight="1" x14ac:dyDescent="0.25">
      <c r="C326" s="72"/>
      <c r="D326" s="73"/>
      <c r="Q326" s="61"/>
      <c r="R326" s="61"/>
      <c r="S326" s="61"/>
      <c r="T326" s="64"/>
    </row>
    <row r="327" spans="3:20" ht="14.1" customHeight="1" x14ac:dyDescent="0.25">
      <c r="C327" s="72"/>
      <c r="D327" s="73"/>
      <c r="Q327" s="61"/>
      <c r="R327" s="61"/>
      <c r="S327" s="61"/>
      <c r="T327" s="64"/>
    </row>
    <row r="328" spans="3:20" ht="14.1" customHeight="1" x14ac:dyDescent="0.25">
      <c r="C328" s="72"/>
      <c r="D328" s="73"/>
      <c r="Q328" s="61"/>
      <c r="R328" s="61"/>
      <c r="S328" s="61"/>
      <c r="T328" s="64"/>
    </row>
    <row r="329" spans="3:20" ht="14.1" customHeight="1" x14ac:dyDescent="0.25">
      <c r="C329" s="72"/>
      <c r="D329" s="73"/>
      <c r="Q329" s="61"/>
      <c r="R329" s="61"/>
      <c r="S329" s="61"/>
      <c r="T329" s="64"/>
    </row>
    <row r="330" spans="3:20" ht="14.1" customHeight="1" x14ac:dyDescent="0.25">
      <c r="C330" s="72"/>
      <c r="D330" s="73"/>
      <c r="Q330" s="61"/>
      <c r="R330" s="61"/>
      <c r="S330" s="61"/>
      <c r="T330" s="64"/>
    </row>
    <row r="331" spans="3:20" ht="14.1" customHeight="1" x14ac:dyDescent="0.25">
      <c r="C331" s="74"/>
      <c r="D331" s="73"/>
      <c r="Q331" s="61"/>
      <c r="R331" s="61"/>
      <c r="S331" s="61"/>
      <c r="T331" s="64"/>
    </row>
    <row r="332" spans="3:20" ht="14.1" customHeight="1" x14ac:dyDescent="0.25">
      <c r="C332" s="70"/>
      <c r="D332" s="71"/>
      <c r="Q332" s="61"/>
      <c r="R332" s="61"/>
      <c r="S332" s="61"/>
      <c r="T332" s="64"/>
    </row>
    <row r="333" spans="3:20" ht="14.1" customHeight="1" x14ac:dyDescent="0.25">
      <c r="C333" s="72"/>
      <c r="D333" s="73"/>
      <c r="Q333" s="61"/>
      <c r="R333" s="61"/>
      <c r="S333" s="61"/>
      <c r="T333" s="64"/>
    </row>
    <row r="334" spans="3:20" ht="14.1" customHeight="1" x14ac:dyDescent="0.25">
      <c r="C334" s="72"/>
      <c r="D334" s="73"/>
      <c r="Q334" s="61"/>
      <c r="R334" s="61"/>
      <c r="S334" s="61"/>
      <c r="T334" s="64"/>
    </row>
    <row r="335" spans="3:20" ht="14.1" customHeight="1" x14ac:dyDescent="0.25">
      <c r="C335" s="72"/>
      <c r="D335" s="73"/>
      <c r="Q335" s="61"/>
      <c r="R335" s="61"/>
      <c r="S335" s="61"/>
      <c r="T335" s="64"/>
    </row>
    <row r="336" spans="3:20" ht="14.1" customHeight="1" x14ac:dyDescent="0.25">
      <c r="C336" s="72"/>
      <c r="D336" s="73"/>
      <c r="Q336" s="61"/>
      <c r="R336" s="61"/>
      <c r="S336" s="61"/>
      <c r="T336" s="64"/>
    </row>
    <row r="337" spans="3:20" ht="14.1" customHeight="1" x14ac:dyDescent="0.25">
      <c r="C337" s="72"/>
      <c r="D337" s="73"/>
      <c r="Q337" s="61"/>
      <c r="R337" s="61"/>
      <c r="S337" s="61"/>
      <c r="T337" s="64"/>
    </row>
    <row r="338" spans="3:20" ht="14.1" customHeight="1" x14ac:dyDescent="0.25">
      <c r="C338" s="72"/>
      <c r="D338" s="73"/>
      <c r="Q338" s="61"/>
      <c r="R338" s="61"/>
      <c r="S338" s="61"/>
      <c r="T338" s="64"/>
    </row>
    <row r="339" spans="3:20" ht="14.1" customHeight="1" x14ac:dyDescent="0.25">
      <c r="C339" s="72"/>
      <c r="D339" s="73"/>
      <c r="Q339" s="61"/>
      <c r="R339" s="61"/>
      <c r="S339" s="61"/>
      <c r="T339" s="64"/>
    </row>
    <row r="340" spans="3:20" ht="14.1" customHeight="1" x14ac:dyDescent="0.25">
      <c r="C340" s="72"/>
      <c r="D340" s="73"/>
      <c r="Q340" s="61"/>
      <c r="R340" s="61"/>
      <c r="S340" s="61"/>
      <c r="T340" s="64"/>
    </row>
    <row r="341" spans="3:20" ht="14.1" customHeight="1" x14ac:dyDescent="0.25">
      <c r="C341" s="72"/>
      <c r="D341" s="73"/>
      <c r="Q341" s="61"/>
      <c r="R341" s="61"/>
      <c r="S341" s="61"/>
      <c r="T341" s="64"/>
    </row>
    <row r="342" spans="3:20" ht="14.1" customHeight="1" x14ac:dyDescent="0.25">
      <c r="C342" s="72"/>
      <c r="D342" s="73"/>
      <c r="Q342" s="61"/>
      <c r="R342" s="61"/>
      <c r="S342" s="61"/>
      <c r="T342" s="64"/>
    </row>
    <row r="343" spans="3:20" ht="14.1" customHeight="1" x14ac:dyDescent="0.25">
      <c r="C343" s="72"/>
      <c r="D343" s="71"/>
      <c r="Q343" s="61"/>
      <c r="R343" s="61"/>
      <c r="S343" s="61"/>
      <c r="T343" s="64"/>
    </row>
    <row r="344" spans="3:20" ht="14.1" customHeight="1" x14ac:dyDescent="0.25">
      <c r="C344" s="72"/>
      <c r="D344" s="71"/>
      <c r="Q344" s="61"/>
      <c r="R344" s="61"/>
      <c r="S344" s="61"/>
      <c r="T344" s="64"/>
    </row>
    <row r="345" spans="3:20" ht="14.1" customHeight="1" x14ac:dyDescent="0.25">
      <c r="C345" s="72"/>
      <c r="D345" s="73"/>
      <c r="Q345" s="61"/>
      <c r="R345" s="61"/>
      <c r="S345" s="61"/>
      <c r="T345" s="64"/>
    </row>
    <row r="346" spans="3:20" ht="14.1" customHeight="1" x14ac:dyDescent="0.25">
      <c r="C346" s="72"/>
      <c r="D346" s="73"/>
      <c r="Q346" s="61"/>
      <c r="R346" s="61"/>
      <c r="S346" s="61"/>
      <c r="T346" s="64"/>
    </row>
    <row r="347" spans="3:20" ht="14.1" customHeight="1" x14ac:dyDescent="0.25">
      <c r="C347" s="72"/>
      <c r="D347" s="73"/>
      <c r="Q347" s="61"/>
      <c r="R347" s="61"/>
      <c r="S347" s="61"/>
      <c r="T347" s="64"/>
    </row>
    <row r="348" spans="3:20" ht="14.1" customHeight="1" x14ac:dyDescent="0.25">
      <c r="C348" s="72"/>
      <c r="D348" s="73"/>
      <c r="Q348" s="61"/>
      <c r="R348" s="61"/>
      <c r="S348" s="61"/>
      <c r="T348" s="64"/>
    </row>
    <row r="349" spans="3:20" ht="14.1" customHeight="1" x14ac:dyDescent="0.25">
      <c r="C349" s="72"/>
      <c r="D349" s="73"/>
      <c r="Q349" s="61"/>
      <c r="R349" s="61"/>
      <c r="S349" s="61"/>
      <c r="T349" s="64"/>
    </row>
    <row r="350" spans="3:20" ht="14.1" customHeight="1" x14ac:dyDescent="0.25">
      <c r="C350" s="72"/>
      <c r="D350" s="73"/>
      <c r="Q350" s="61"/>
      <c r="R350" s="61"/>
      <c r="S350" s="61"/>
      <c r="T350" s="64"/>
    </row>
    <row r="351" spans="3:20" ht="14.1" customHeight="1" x14ac:dyDescent="0.25">
      <c r="C351" s="72"/>
      <c r="D351" s="73"/>
      <c r="Q351" s="61"/>
      <c r="R351" s="61"/>
      <c r="S351" s="61"/>
      <c r="T351" s="64"/>
    </row>
    <row r="352" spans="3:20" ht="14.1" customHeight="1" x14ac:dyDescent="0.25">
      <c r="C352" s="72"/>
      <c r="D352" s="73"/>
      <c r="Q352" s="61"/>
      <c r="R352" s="61"/>
      <c r="S352" s="61"/>
      <c r="T352" s="64"/>
    </row>
    <row r="353" spans="3:20" ht="14.1" customHeight="1" x14ac:dyDescent="0.25">
      <c r="C353" s="72"/>
      <c r="D353" s="73"/>
      <c r="Q353" s="61"/>
      <c r="R353" s="61"/>
      <c r="S353" s="61"/>
      <c r="T353" s="64"/>
    </row>
    <row r="354" spans="3:20" ht="14.1" customHeight="1" x14ac:dyDescent="0.25">
      <c r="C354" s="72"/>
      <c r="D354" s="73"/>
      <c r="Q354" s="61"/>
      <c r="R354" s="61"/>
      <c r="S354" s="61"/>
      <c r="T354" s="64"/>
    </row>
    <row r="355" spans="3:20" ht="14.1" customHeight="1" x14ac:dyDescent="0.25">
      <c r="C355" s="72"/>
      <c r="D355" s="73"/>
      <c r="M355" s="5"/>
      <c r="N355" s="65"/>
      <c r="Q355" s="61"/>
      <c r="R355" s="61"/>
      <c r="S355" s="61"/>
      <c r="T355" s="64"/>
    </row>
    <row r="356" spans="3:20" ht="14.1" customHeight="1" x14ac:dyDescent="0.25">
      <c r="C356" s="72"/>
      <c r="D356" s="73"/>
      <c r="Q356" s="61"/>
      <c r="R356" s="61"/>
      <c r="S356" s="61"/>
      <c r="T356" s="64"/>
    </row>
    <row r="357" spans="3:20" ht="14.1" customHeight="1" x14ac:dyDescent="0.25">
      <c r="C357" s="72"/>
      <c r="D357" s="73"/>
      <c r="Q357" s="61"/>
      <c r="R357" s="61"/>
      <c r="S357" s="61"/>
      <c r="T357" s="64"/>
    </row>
    <row r="358" spans="3:20" ht="14.1" customHeight="1" x14ac:dyDescent="0.25">
      <c r="C358" s="72"/>
      <c r="D358" s="73"/>
      <c r="Q358" s="61"/>
      <c r="R358" s="61"/>
      <c r="S358" s="61"/>
      <c r="T358" s="64"/>
    </row>
    <row r="359" spans="3:20" ht="14.1" customHeight="1" x14ac:dyDescent="0.25">
      <c r="C359" s="72"/>
      <c r="D359" s="73"/>
      <c r="Q359" s="61"/>
      <c r="R359" s="61"/>
      <c r="S359" s="61"/>
      <c r="T359" s="64"/>
    </row>
    <row r="360" spans="3:20" ht="14.1" customHeight="1" x14ac:dyDescent="0.25">
      <c r="C360" s="72"/>
      <c r="D360" s="73"/>
      <c r="Q360" s="61"/>
      <c r="R360" s="61"/>
      <c r="S360" s="61"/>
      <c r="T360" s="64"/>
    </row>
    <row r="361" spans="3:20" ht="14.1" customHeight="1" x14ac:dyDescent="0.25">
      <c r="C361" s="72"/>
      <c r="D361" s="73"/>
      <c r="Q361" s="61"/>
      <c r="R361" s="61"/>
      <c r="S361" s="61"/>
      <c r="T361" s="64"/>
    </row>
    <row r="362" spans="3:20" ht="14.1" customHeight="1" x14ac:dyDescent="0.25">
      <c r="C362" s="72"/>
      <c r="D362" s="73"/>
      <c r="Q362" s="61"/>
      <c r="R362" s="61"/>
      <c r="S362" s="61"/>
      <c r="T362" s="64"/>
    </row>
    <row r="363" spans="3:20" ht="14.1" customHeight="1" x14ac:dyDescent="0.25">
      <c r="C363" s="72"/>
      <c r="D363" s="73"/>
      <c r="Q363" s="61"/>
      <c r="R363" s="61"/>
      <c r="S363" s="61"/>
      <c r="T363" s="64"/>
    </row>
    <row r="364" spans="3:20" ht="14.1" customHeight="1" x14ac:dyDescent="0.25">
      <c r="C364" s="72"/>
      <c r="D364" s="73"/>
      <c r="Q364" s="61"/>
      <c r="R364" s="61"/>
      <c r="S364" s="61"/>
      <c r="T364" s="64"/>
    </row>
    <row r="365" spans="3:20" ht="14.1" customHeight="1" x14ac:dyDescent="0.25">
      <c r="C365" s="72"/>
      <c r="D365" s="73"/>
      <c r="Q365" s="61"/>
      <c r="R365" s="61"/>
      <c r="S365" s="61"/>
      <c r="T365" s="64"/>
    </row>
    <row r="366" spans="3:20" ht="14.1" customHeight="1" x14ac:dyDescent="0.25">
      <c r="C366" s="72"/>
      <c r="D366" s="73"/>
      <c r="Q366" s="61"/>
      <c r="R366" s="61"/>
      <c r="S366" s="61"/>
      <c r="T366" s="64"/>
    </row>
    <row r="367" spans="3:20" ht="14.1" customHeight="1" x14ac:dyDescent="0.25">
      <c r="C367" s="72"/>
      <c r="D367" s="73"/>
      <c r="Q367" s="61"/>
      <c r="R367" s="61"/>
      <c r="S367" s="61"/>
      <c r="T367" s="64"/>
    </row>
    <row r="368" spans="3:20" ht="14.1" customHeight="1" x14ac:dyDescent="0.25">
      <c r="C368" s="72"/>
      <c r="D368" s="73"/>
      <c r="Q368" s="61"/>
      <c r="R368" s="61"/>
      <c r="S368" s="61"/>
      <c r="T368" s="64"/>
    </row>
    <row r="369" spans="3:20" ht="14.1" customHeight="1" x14ac:dyDescent="0.25">
      <c r="C369" s="72"/>
      <c r="D369" s="73"/>
      <c r="Q369" s="61"/>
      <c r="R369" s="61"/>
      <c r="S369" s="61"/>
      <c r="T369" s="64"/>
    </row>
    <row r="370" spans="3:20" ht="14.1" customHeight="1" x14ac:dyDescent="0.25">
      <c r="C370" s="72"/>
      <c r="D370" s="73"/>
      <c r="Q370" s="61"/>
      <c r="R370" s="61"/>
      <c r="S370" s="61"/>
      <c r="T370" s="64"/>
    </row>
    <row r="371" spans="3:20" ht="14.1" customHeight="1" x14ac:dyDescent="0.25">
      <c r="C371" s="72"/>
      <c r="D371" s="73"/>
      <c r="Q371" s="61"/>
      <c r="R371" s="61"/>
      <c r="S371" s="61"/>
      <c r="T371" s="64"/>
    </row>
    <row r="372" spans="3:20" ht="14.1" customHeight="1" x14ac:dyDescent="0.25">
      <c r="C372" s="72"/>
      <c r="D372" s="73"/>
      <c r="Q372" s="61"/>
      <c r="R372" s="61"/>
      <c r="S372" s="61"/>
      <c r="T372" s="64"/>
    </row>
    <row r="373" spans="3:20" ht="14.1" customHeight="1" x14ac:dyDescent="0.25">
      <c r="C373" s="72"/>
      <c r="D373" s="73"/>
      <c r="Q373" s="61"/>
      <c r="R373" s="61"/>
      <c r="S373" s="61"/>
      <c r="T373" s="64"/>
    </row>
    <row r="374" spans="3:20" ht="14.1" customHeight="1" x14ac:dyDescent="0.25">
      <c r="C374" s="72"/>
      <c r="D374" s="73"/>
      <c r="Q374" s="61"/>
      <c r="R374" s="61"/>
      <c r="S374" s="61"/>
      <c r="T374" s="64"/>
    </row>
    <row r="375" spans="3:20" ht="14.1" customHeight="1" x14ac:dyDescent="0.25">
      <c r="C375" s="72"/>
      <c r="D375" s="73"/>
      <c r="Q375" s="61"/>
      <c r="R375" s="61"/>
      <c r="S375" s="61"/>
      <c r="T375" s="64"/>
    </row>
    <row r="376" spans="3:20" ht="14.1" customHeight="1" x14ac:dyDescent="0.25">
      <c r="C376" s="72"/>
      <c r="D376" s="73"/>
      <c r="Q376" s="61"/>
      <c r="R376" s="61"/>
      <c r="S376" s="61"/>
      <c r="T376" s="64"/>
    </row>
    <row r="377" spans="3:20" ht="14.1" customHeight="1" x14ac:dyDescent="0.25">
      <c r="C377" s="72"/>
      <c r="D377" s="73"/>
      <c r="Q377" s="61"/>
      <c r="R377" s="61"/>
      <c r="S377" s="61"/>
      <c r="T377" s="64"/>
    </row>
    <row r="378" spans="3:20" ht="14.1" customHeight="1" x14ac:dyDescent="0.25">
      <c r="C378" s="72"/>
      <c r="D378" s="73"/>
      <c r="Q378" s="61"/>
      <c r="R378" s="61"/>
      <c r="S378" s="61"/>
      <c r="T378" s="64"/>
    </row>
    <row r="379" spans="3:20" ht="14.1" customHeight="1" x14ac:dyDescent="0.25">
      <c r="C379" s="72"/>
      <c r="D379" s="73"/>
      <c r="Q379" s="61"/>
      <c r="R379" s="61"/>
      <c r="S379" s="61"/>
      <c r="T379" s="64"/>
    </row>
    <row r="380" spans="3:20" ht="14.1" customHeight="1" x14ac:dyDescent="0.25">
      <c r="C380" s="72"/>
      <c r="D380" s="73"/>
      <c r="Q380" s="61"/>
      <c r="R380" s="61"/>
      <c r="S380" s="61"/>
      <c r="T380" s="64"/>
    </row>
    <row r="381" spans="3:20" ht="14.1" customHeight="1" x14ac:dyDescent="0.25">
      <c r="C381" s="72"/>
      <c r="D381" s="73"/>
      <c r="Q381" s="61"/>
      <c r="R381" s="61"/>
      <c r="S381" s="61"/>
      <c r="T381" s="64"/>
    </row>
    <row r="382" spans="3:20" ht="14.1" customHeight="1" x14ac:dyDescent="0.25">
      <c r="C382" s="72"/>
      <c r="D382" s="73"/>
      <c r="Q382" s="61"/>
      <c r="R382" s="61"/>
      <c r="S382" s="61"/>
      <c r="T382" s="64"/>
    </row>
    <row r="383" spans="3:20" ht="14.1" customHeight="1" x14ac:dyDescent="0.25">
      <c r="C383" s="72"/>
      <c r="D383" s="73"/>
      <c r="Q383" s="61"/>
      <c r="R383" s="61"/>
      <c r="S383" s="61"/>
      <c r="T383" s="64"/>
    </row>
    <row r="384" spans="3:20" ht="14.1" customHeight="1" x14ac:dyDescent="0.25">
      <c r="C384" s="72"/>
      <c r="D384" s="73"/>
      <c r="Q384" s="61"/>
      <c r="R384" s="61"/>
      <c r="S384" s="61"/>
      <c r="T384" s="64"/>
    </row>
    <row r="385" spans="3:20" ht="14.1" customHeight="1" x14ac:dyDescent="0.25">
      <c r="C385" s="72"/>
      <c r="D385" s="73"/>
      <c r="Q385" s="61"/>
      <c r="R385" s="61"/>
      <c r="S385" s="61"/>
      <c r="T385" s="64"/>
    </row>
    <row r="386" spans="3:20" ht="14.1" customHeight="1" x14ac:dyDescent="0.25">
      <c r="C386" s="72"/>
      <c r="D386" s="73"/>
      <c r="Q386" s="61"/>
      <c r="R386" s="61"/>
      <c r="S386" s="61"/>
      <c r="T386" s="64"/>
    </row>
    <row r="387" spans="3:20" ht="14.1" customHeight="1" x14ac:dyDescent="0.25">
      <c r="C387" s="72"/>
      <c r="D387" s="73"/>
      <c r="Q387" s="61"/>
      <c r="R387" s="61"/>
      <c r="S387" s="61"/>
      <c r="T387" s="64"/>
    </row>
    <row r="388" spans="3:20" ht="14.1" customHeight="1" x14ac:dyDescent="0.25">
      <c r="C388" s="72"/>
      <c r="D388" s="73"/>
      <c r="Q388" s="61"/>
      <c r="R388" s="61"/>
      <c r="S388" s="61"/>
      <c r="T388" s="64"/>
    </row>
    <row r="389" spans="3:20" ht="14.1" customHeight="1" x14ac:dyDescent="0.25">
      <c r="C389" s="72"/>
      <c r="D389" s="73"/>
      <c r="Q389" s="61"/>
      <c r="R389" s="61"/>
      <c r="S389" s="61"/>
      <c r="T389" s="64"/>
    </row>
    <row r="390" spans="3:20" ht="14.1" customHeight="1" x14ac:dyDescent="0.25">
      <c r="C390" s="72"/>
      <c r="D390" s="73"/>
      <c r="Q390" s="61"/>
      <c r="R390" s="61"/>
      <c r="S390" s="61"/>
      <c r="T390" s="64"/>
    </row>
    <row r="391" spans="3:20" ht="14.1" customHeight="1" x14ac:dyDescent="0.25">
      <c r="C391" s="72"/>
      <c r="D391" s="73"/>
      <c r="Q391" s="61"/>
      <c r="R391" s="61"/>
      <c r="S391" s="61"/>
      <c r="T391" s="64"/>
    </row>
    <row r="392" spans="3:20" ht="14.1" customHeight="1" x14ac:dyDescent="0.25">
      <c r="C392" s="72"/>
      <c r="D392" s="73"/>
      <c r="Q392" s="61"/>
      <c r="R392" s="61"/>
      <c r="S392" s="61"/>
      <c r="T392" s="64"/>
    </row>
    <row r="393" spans="3:20" ht="14.1" customHeight="1" x14ac:dyDescent="0.25">
      <c r="C393" s="72"/>
      <c r="D393" s="73"/>
      <c r="Q393" s="61"/>
      <c r="R393" s="61"/>
      <c r="S393" s="61"/>
      <c r="T393" s="64"/>
    </row>
    <row r="394" spans="3:20" ht="14.1" customHeight="1" x14ac:dyDescent="0.25">
      <c r="C394" s="72"/>
      <c r="D394" s="73"/>
      <c r="Q394" s="61"/>
      <c r="R394" s="61"/>
      <c r="S394" s="61"/>
      <c r="T394" s="64"/>
    </row>
    <row r="395" spans="3:20" ht="14.1" customHeight="1" x14ac:dyDescent="0.25">
      <c r="C395" s="72"/>
      <c r="D395" s="73"/>
      <c r="Q395" s="61"/>
      <c r="R395" s="61"/>
      <c r="S395" s="61"/>
      <c r="T395" s="64"/>
    </row>
    <row r="396" spans="3:20" ht="14.1" customHeight="1" x14ac:dyDescent="0.25">
      <c r="C396" s="72"/>
      <c r="D396" s="73"/>
      <c r="Q396" s="61"/>
      <c r="R396" s="61"/>
      <c r="S396" s="61"/>
      <c r="T396" s="64"/>
    </row>
    <row r="397" spans="3:20" ht="14.1" customHeight="1" x14ac:dyDescent="0.25">
      <c r="C397" s="72"/>
      <c r="D397" s="73"/>
      <c r="Q397" s="61"/>
      <c r="R397" s="61"/>
      <c r="S397" s="61"/>
      <c r="T397" s="64"/>
    </row>
    <row r="398" spans="3:20" ht="14.1" customHeight="1" x14ac:dyDescent="0.25">
      <c r="C398" s="74"/>
      <c r="D398" s="73"/>
      <c r="Q398" s="61"/>
      <c r="R398" s="61"/>
      <c r="S398" s="61"/>
      <c r="T398" s="64"/>
    </row>
    <row r="399" spans="3:20" ht="14.1" customHeight="1" x14ac:dyDescent="0.25">
      <c r="C399" s="70"/>
      <c r="D399" s="71"/>
      <c r="Q399" s="61"/>
      <c r="R399" s="61"/>
      <c r="S399" s="61"/>
      <c r="T399" s="64"/>
    </row>
    <row r="400" spans="3:20" ht="14.1" customHeight="1" x14ac:dyDescent="0.25">
      <c r="C400" s="77"/>
      <c r="D400" s="71"/>
      <c r="Q400" s="61"/>
      <c r="R400" s="61"/>
      <c r="S400" s="61"/>
      <c r="T400" s="64"/>
    </row>
    <row r="401" spans="3:20" ht="14.1" customHeight="1" x14ac:dyDescent="0.25">
      <c r="C401" s="77"/>
      <c r="D401" s="73"/>
      <c r="Q401" s="61"/>
      <c r="R401" s="61"/>
      <c r="S401" s="61"/>
      <c r="T401" s="64"/>
    </row>
    <row r="402" spans="3:20" ht="14.1" customHeight="1" x14ac:dyDescent="0.25">
      <c r="C402" s="77"/>
      <c r="D402" s="73"/>
      <c r="Q402" s="61"/>
      <c r="R402" s="61"/>
      <c r="S402" s="61"/>
      <c r="T402" s="64"/>
    </row>
    <row r="403" spans="3:20" ht="14.1" customHeight="1" x14ac:dyDescent="0.25">
      <c r="C403" s="77"/>
      <c r="D403" s="73"/>
      <c r="Q403" s="61"/>
      <c r="R403" s="61"/>
      <c r="S403" s="61"/>
      <c r="T403" s="64"/>
    </row>
    <row r="404" spans="3:20" ht="14.1" customHeight="1" x14ac:dyDescent="0.25">
      <c r="C404" s="77"/>
      <c r="D404" s="73"/>
      <c r="Q404" s="61"/>
      <c r="R404" s="61"/>
      <c r="S404" s="61"/>
      <c r="T404" s="64"/>
    </row>
    <row r="405" spans="3:20" ht="14.1" customHeight="1" x14ac:dyDescent="0.25">
      <c r="C405" s="77"/>
      <c r="D405" s="71"/>
      <c r="Q405" s="61"/>
      <c r="R405" s="61"/>
      <c r="S405" s="61"/>
      <c r="T405" s="64"/>
    </row>
    <row r="406" spans="3:20" ht="14.1" customHeight="1" x14ac:dyDescent="0.25">
      <c r="C406" s="77"/>
      <c r="D406" s="73"/>
      <c r="Q406" s="61"/>
      <c r="R406" s="61"/>
      <c r="S406" s="61"/>
      <c r="T406" s="64"/>
    </row>
    <row r="407" spans="3:20" ht="14.1" customHeight="1" x14ac:dyDescent="0.25">
      <c r="C407" s="77"/>
      <c r="D407" s="73"/>
      <c r="Q407" s="61"/>
      <c r="R407" s="61"/>
      <c r="S407" s="61"/>
      <c r="T407" s="64"/>
    </row>
    <row r="408" spans="3:20" ht="14.1" customHeight="1" x14ac:dyDescent="0.25">
      <c r="C408" s="77"/>
      <c r="D408" s="71"/>
      <c r="Q408" s="61"/>
      <c r="R408" s="61"/>
      <c r="S408" s="61"/>
      <c r="T408" s="64"/>
    </row>
    <row r="409" spans="3:20" ht="14.1" customHeight="1" x14ac:dyDescent="0.25">
      <c r="C409" s="77"/>
      <c r="D409" s="71"/>
      <c r="Q409" s="61"/>
      <c r="R409" s="61"/>
      <c r="S409" s="61"/>
      <c r="T409" s="64"/>
    </row>
    <row r="410" spans="3:20" ht="14.1" customHeight="1" x14ac:dyDescent="0.25">
      <c r="C410" s="77"/>
      <c r="D410" s="73"/>
      <c r="Q410" s="61"/>
      <c r="R410" s="61"/>
      <c r="S410" s="61"/>
      <c r="T410" s="64"/>
    </row>
    <row r="411" spans="3:20" ht="14.1" customHeight="1" x14ac:dyDescent="0.25">
      <c r="C411" s="77"/>
      <c r="D411" s="73"/>
      <c r="Q411" s="61"/>
      <c r="R411" s="61"/>
      <c r="S411" s="61"/>
      <c r="T411" s="64"/>
    </row>
    <row r="412" spans="3:20" ht="14.1" customHeight="1" x14ac:dyDescent="0.25">
      <c r="C412" s="77"/>
      <c r="D412" s="73"/>
      <c r="Q412" s="61"/>
      <c r="R412" s="61"/>
      <c r="S412" s="61"/>
      <c r="T412" s="64"/>
    </row>
    <row r="413" spans="3:20" ht="14.1" customHeight="1" x14ac:dyDescent="0.25">
      <c r="C413" s="77"/>
      <c r="D413" s="73"/>
      <c r="Q413" s="61"/>
      <c r="R413" s="61"/>
      <c r="S413" s="61"/>
      <c r="T413" s="64"/>
    </row>
    <row r="414" spans="3:20" ht="14.1" customHeight="1" x14ac:dyDescent="0.25">
      <c r="C414" s="77"/>
      <c r="D414" s="73"/>
      <c r="Q414" s="61"/>
      <c r="R414" s="61"/>
      <c r="S414" s="61"/>
      <c r="T414" s="64"/>
    </row>
    <row r="415" spans="3:20" ht="14.1" customHeight="1" x14ac:dyDescent="0.25">
      <c r="C415" s="77"/>
      <c r="D415" s="73"/>
      <c r="Q415" s="61"/>
      <c r="R415" s="61"/>
      <c r="S415" s="61"/>
      <c r="T415" s="64"/>
    </row>
    <row r="416" spans="3:20" ht="14.1" customHeight="1" x14ac:dyDescent="0.25">
      <c r="C416" s="77"/>
      <c r="D416" s="73"/>
      <c r="Q416" s="61"/>
      <c r="R416" s="61"/>
      <c r="S416" s="61"/>
      <c r="T416" s="64"/>
    </row>
    <row r="417" spans="3:20" ht="14.1" customHeight="1" x14ac:dyDescent="0.25">
      <c r="C417" s="77"/>
      <c r="D417" s="73"/>
      <c r="Q417" s="61"/>
      <c r="R417" s="61"/>
      <c r="S417" s="61"/>
      <c r="T417" s="64"/>
    </row>
    <row r="418" spans="3:20" ht="14.1" customHeight="1" x14ac:dyDescent="0.25">
      <c r="C418" s="77"/>
      <c r="D418" s="73"/>
      <c r="Q418" s="61"/>
      <c r="R418" s="61"/>
      <c r="S418" s="61"/>
      <c r="T418" s="64"/>
    </row>
    <row r="419" spans="3:20" ht="14.1" customHeight="1" x14ac:dyDescent="0.25">
      <c r="C419" s="77"/>
      <c r="D419" s="73"/>
      <c r="Q419" s="61"/>
      <c r="R419" s="61"/>
      <c r="S419" s="61"/>
      <c r="T419" s="64"/>
    </row>
    <row r="420" spans="3:20" ht="14.1" customHeight="1" x14ac:dyDescent="0.25">
      <c r="C420" s="77"/>
      <c r="D420" s="73"/>
      <c r="Q420" s="61"/>
      <c r="R420" s="61"/>
      <c r="S420" s="61"/>
      <c r="T420" s="64"/>
    </row>
    <row r="421" spans="3:20" ht="14.1" customHeight="1" x14ac:dyDescent="0.25">
      <c r="C421" s="77"/>
      <c r="D421" s="73"/>
      <c r="Q421" s="61"/>
      <c r="R421" s="61"/>
      <c r="S421" s="61"/>
      <c r="T421" s="64"/>
    </row>
    <row r="422" spans="3:20" ht="14.1" customHeight="1" x14ac:dyDescent="0.25">
      <c r="C422" s="77"/>
      <c r="D422" s="73"/>
      <c r="M422" s="5"/>
      <c r="N422" s="65"/>
      <c r="Q422" s="61"/>
      <c r="R422" s="61"/>
      <c r="S422" s="61"/>
      <c r="T422" s="64"/>
    </row>
    <row r="423" spans="3:20" ht="14.1" customHeight="1" x14ac:dyDescent="0.25">
      <c r="C423" s="77"/>
      <c r="D423" s="73"/>
      <c r="Q423" s="61"/>
      <c r="R423" s="61"/>
      <c r="S423" s="61"/>
      <c r="T423" s="64"/>
    </row>
    <row r="424" spans="3:20" ht="14.1" customHeight="1" x14ac:dyDescent="0.25">
      <c r="C424" s="77"/>
      <c r="D424" s="73"/>
      <c r="Q424" s="61"/>
      <c r="R424" s="61"/>
      <c r="S424" s="61"/>
      <c r="T424" s="64"/>
    </row>
    <row r="425" spans="3:20" ht="14.1" customHeight="1" x14ac:dyDescent="0.25">
      <c r="C425" s="77"/>
      <c r="D425" s="73"/>
      <c r="Q425" s="61"/>
      <c r="R425" s="61"/>
      <c r="S425" s="61"/>
      <c r="T425" s="64"/>
    </row>
    <row r="426" spans="3:20" ht="14.1" customHeight="1" x14ac:dyDescent="0.25">
      <c r="C426" s="77"/>
      <c r="D426" s="73"/>
      <c r="Q426" s="61"/>
      <c r="R426" s="61"/>
      <c r="S426" s="61"/>
      <c r="T426" s="64"/>
    </row>
    <row r="427" spans="3:20" ht="14.1" customHeight="1" x14ac:dyDescent="0.25">
      <c r="C427" s="77"/>
      <c r="D427" s="73"/>
      <c r="Q427" s="61"/>
      <c r="R427" s="61"/>
      <c r="S427" s="61"/>
      <c r="T427" s="64"/>
    </row>
    <row r="428" spans="3:20" ht="14.1" customHeight="1" x14ac:dyDescent="0.25">
      <c r="C428" s="77"/>
      <c r="D428" s="73"/>
      <c r="Q428" s="61"/>
      <c r="R428" s="61"/>
      <c r="S428" s="61"/>
      <c r="T428" s="64"/>
    </row>
    <row r="429" spans="3:20" ht="14.1" customHeight="1" x14ac:dyDescent="0.25">
      <c r="C429" s="77"/>
      <c r="D429" s="73"/>
      <c r="Q429" s="61"/>
      <c r="R429" s="61"/>
      <c r="S429" s="61"/>
      <c r="T429" s="64"/>
    </row>
    <row r="430" spans="3:20" ht="14.1" customHeight="1" x14ac:dyDescent="0.25">
      <c r="C430" s="77"/>
      <c r="D430" s="73"/>
      <c r="Q430" s="61"/>
      <c r="R430" s="61"/>
      <c r="S430" s="61"/>
      <c r="T430" s="64"/>
    </row>
    <row r="431" spans="3:20" ht="14.1" customHeight="1" x14ac:dyDescent="0.25">
      <c r="C431" s="77"/>
      <c r="D431" s="73"/>
      <c r="Q431" s="61"/>
      <c r="R431" s="61"/>
      <c r="S431" s="61"/>
      <c r="T431" s="64"/>
    </row>
    <row r="432" spans="3:20" ht="14.1" customHeight="1" x14ac:dyDescent="0.25">
      <c r="C432" s="77"/>
      <c r="D432" s="73"/>
      <c r="Q432" s="61"/>
      <c r="R432" s="61"/>
      <c r="S432" s="61"/>
      <c r="T432" s="64"/>
    </row>
    <row r="433" spans="3:20" ht="14.1" customHeight="1" x14ac:dyDescent="0.25">
      <c r="C433" s="77"/>
      <c r="D433" s="71"/>
      <c r="Q433" s="61"/>
      <c r="R433" s="61"/>
      <c r="S433" s="61"/>
      <c r="T433" s="64"/>
    </row>
    <row r="434" spans="3:20" ht="14.1" customHeight="1" x14ac:dyDescent="0.25">
      <c r="C434" s="77"/>
      <c r="D434" s="71"/>
      <c r="Q434" s="61"/>
      <c r="R434" s="61"/>
      <c r="S434" s="61"/>
      <c r="T434" s="64"/>
    </row>
    <row r="435" spans="3:20" ht="14.1" customHeight="1" x14ac:dyDescent="0.25">
      <c r="C435" s="77"/>
      <c r="D435" s="71"/>
      <c r="Q435" s="61"/>
      <c r="R435" s="61"/>
      <c r="S435" s="61"/>
      <c r="T435" s="64"/>
    </row>
    <row r="436" spans="3:20" ht="14.1" customHeight="1" x14ac:dyDescent="0.25">
      <c r="C436" s="77"/>
      <c r="D436" s="71"/>
      <c r="Q436" s="61"/>
      <c r="R436" s="61"/>
      <c r="S436" s="61"/>
      <c r="T436" s="64"/>
    </row>
    <row r="437" spans="3:20" ht="14.1" customHeight="1" x14ac:dyDescent="0.25">
      <c r="C437" s="77"/>
      <c r="D437" s="71"/>
      <c r="Q437" s="61"/>
      <c r="R437" s="61"/>
      <c r="S437" s="61"/>
      <c r="T437" s="64"/>
    </row>
    <row r="438" spans="3:20" ht="14.1" customHeight="1" x14ac:dyDescent="0.25">
      <c r="C438" s="77"/>
      <c r="D438" s="71"/>
      <c r="Q438" s="61"/>
      <c r="R438" s="61"/>
      <c r="S438" s="61"/>
      <c r="T438" s="64"/>
    </row>
    <row r="439" spans="3:20" ht="14.1" customHeight="1" x14ac:dyDescent="0.25">
      <c r="C439" s="77"/>
      <c r="D439" s="73"/>
      <c r="Q439" s="61"/>
      <c r="R439" s="61"/>
      <c r="S439" s="61"/>
      <c r="T439" s="64"/>
    </row>
    <row r="440" spans="3:20" ht="14.1" customHeight="1" x14ac:dyDescent="0.25">
      <c r="C440" s="77"/>
      <c r="D440" s="73"/>
      <c r="Q440" s="61"/>
      <c r="R440" s="61"/>
      <c r="S440" s="61"/>
      <c r="T440" s="64"/>
    </row>
    <row r="441" spans="3:20" ht="14.1" customHeight="1" x14ac:dyDescent="0.25">
      <c r="C441" s="77"/>
      <c r="D441" s="73"/>
      <c r="Q441" s="61"/>
      <c r="R441" s="61"/>
      <c r="S441" s="61"/>
      <c r="T441" s="64"/>
    </row>
    <row r="442" spans="3:20" ht="14.1" customHeight="1" x14ac:dyDescent="0.25">
      <c r="C442" s="77"/>
      <c r="D442" s="71"/>
      <c r="Q442" s="61"/>
      <c r="R442" s="61"/>
      <c r="S442" s="61"/>
      <c r="T442" s="64"/>
    </row>
    <row r="443" spans="3:20" ht="14.1" customHeight="1" x14ac:dyDescent="0.25">
      <c r="C443" s="77"/>
      <c r="D443" s="71"/>
      <c r="Q443" s="61"/>
      <c r="R443" s="61"/>
      <c r="S443" s="61"/>
      <c r="T443" s="64"/>
    </row>
    <row r="444" spans="3:20" ht="14.1" customHeight="1" x14ac:dyDescent="0.25">
      <c r="C444" s="77"/>
      <c r="D444" s="73"/>
      <c r="Q444" s="61"/>
      <c r="R444" s="61"/>
      <c r="S444" s="61"/>
      <c r="T444" s="64"/>
    </row>
    <row r="445" spans="3:20" ht="14.1" customHeight="1" x14ac:dyDescent="0.25">
      <c r="C445" s="77"/>
      <c r="D445" s="71"/>
      <c r="Q445" s="61"/>
      <c r="R445" s="61"/>
      <c r="S445" s="61"/>
      <c r="T445" s="64"/>
    </row>
    <row r="446" spans="3:20" ht="14.1" customHeight="1" x14ac:dyDescent="0.25">
      <c r="C446" s="77"/>
      <c r="D446" s="71"/>
      <c r="Q446" s="61"/>
      <c r="R446" s="61"/>
      <c r="S446" s="61"/>
      <c r="T446" s="64"/>
    </row>
    <row r="447" spans="3:20" ht="14.1" customHeight="1" x14ac:dyDescent="0.25">
      <c r="C447" s="77"/>
      <c r="D447" s="71"/>
      <c r="Q447" s="61"/>
      <c r="R447" s="61"/>
      <c r="S447" s="61"/>
      <c r="T447" s="64"/>
    </row>
    <row r="448" spans="3:20" ht="14.1" customHeight="1" x14ac:dyDescent="0.25">
      <c r="C448" s="77"/>
      <c r="D448" s="71"/>
      <c r="Q448" s="61"/>
      <c r="R448" s="61"/>
      <c r="S448" s="61"/>
      <c r="T448" s="64"/>
    </row>
    <row r="449" spans="3:20" ht="14.1" customHeight="1" x14ac:dyDescent="0.25">
      <c r="C449" s="77"/>
      <c r="D449" s="73"/>
      <c r="Q449" s="61"/>
      <c r="R449" s="61"/>
      <c r="S449" s="61"/>
      <c r="T449" s="64"/>
    </row>
    <row r="450" spans="3:20" ht="14.1" customHeight="1" x14ac:dyDescent="0.25">
      <c r="C450" s="77"/>
      <c r="D450" s="73"/>
      <c r="Q450" s="61"/>
      <c r="R450" s="61"/>
      <c r="S450" s="61"/>
      <c r="T450" s="64"/>
    </row>
    <row r="451" spans="3:20" ht="14.1" customHeight="1" x14ac:dyDescent="0.25">
      <c r="C451" s="77"/>
      <c r="D451" s="73"/>
      <c r="Q451" s="61"/>
      <c r="R451" s="61"/>
      <c r="S451" s="61"/>
      <c r="T451" s="64"/>
    </row>
    <row r="452" spans="3:20" ht="14.1" customHeight="1" x14ac:dyDescent="0.25">
      <c r="C452" s="77"/>
      <c r="D452" s="73"/>
      <c r="Q452" s="61"/>
      <c r="R452" s="61"/>
      <c r="S452" s="61"/>
      <c r="T452" s="64"/>
    </row>
    <row r="453" spans="3:20" ht="14.1" customHeight="1" x14ac:dyDescent="0.25">
      <c r="C453" s="77"/>
      <c r="D453" s="73"/>
      <c r="Q453" s="61"/>
      <c r="R453" s="61"/>
      <c r="S453" s="61"/>
      <c r="T453" s="64"/>
    </row>
    <row r="454" spans="3:20" ht="14.1" customHeight="1" x14ac:dyDescent="0.25">
      <c r="C454" s="77"/>
      <c r="D454" s="73"/>
      <c r="Q454" s="61"/>
      <c r="R454" s="61"/>
      <c r="S454" s="61"/>
      <c r="T454" s="64"/>
    </row>
    <row r="455" spans="3:20" ht="14.1" customHeight="1" x14ac:dyDescent="0.25">
      <c r="C455" s="77"/>
      <c r="D455" s="75"/>
      <c r="Q455" s="61"/>
      <c r="R455" s="61"/>
      <c r="S455" s="61"/>
      <c r="T455" s="64"/>
    </row>
    <row r="456" spans="3:20" ht="14.1" customHeight="1" x14ac:dyDescent="0.25">
      <c r="C456" s="77"/>
      <c r="D456" s="73"/>
      <c r="Q456" s="61"/>
      <c r="R456" s="61"/>
      <c r="S456" s="61"/>
      <c r="T456" s="64"/>
    </row>
    <row r="457" spans="3:20" ht="14.1" customHeight="1" x14ac:dyDescent="0.25">
      <c r="C457" s="77"/>
      <c r="D457" s="73"/>
      <c r="Q457" s="61"/>
      <c r="R457" s="61"/>
      <c r="S457" s="61"/>
      <c r="T457" s="64"/>
    </row>
    <row r="458" spans="3:20" ht="14.1" customHeight="1" x14ac:dyDescent="0.25">
      <c r="C458" s="77"/>
      <c r="D458" s="71"/>
      <c r="Q458" s="61"/>
      <c r="R458" s="61"/>
      <c r="S458" s="61"/>
      <c r="T458" s="64"/>
    </row>
    <row r="459" spans="3:20" ht="14.1" customHeight="1" x14ac:dyDescent="0.25">
      <c r="C459" s="74"/>
      <c r="D459" s="73"/>
      <c r="Q459" s="61"/>
      <c r="R459" s="61"/>
      <c r="S459" s="61"/>
      <c r="T459" s="64"/>
    </row>
    <row r="460" spans="3:20" ht="14.1" customHeight="1" x14ac:dyDescent="0.25">
      <c r="C460" s="70"/>
      <c r="D460" s="71"/>
      <c r="Q460" s="61"/>
      <c r="R460" s="61"/>
      <c r="S460" s="61"/>
      <c r="T460" s="64"/>
    </row>
    <row r="461" spans="3:20" ht="14.1" customHeight="1" x14ac:dyDescent="0.25">
      <c r="C461" s="72"/>
      <c r="D461" s="73"/>
      <c r="Q461" s="61"/>
      <c r="R461" s="61"/>
      <c r="S461" s="61"/>
      <c r="T461" s="64"/>
    </row>
    <row r="462" spans="3:20" ht="14.1" customHeight="1" x14ac:dyDescent="0.25">
      <c r="C462" s="72"/>
      <c r="D462" s="73"/>
      <c r="Q462" s="61"/>
      <c r="R462" s="61"/>
      <c r="S462" s="61"/>
      <c r="T462" s="64"/>
    </row>
    <row r="463" spans="3:20" ht="14.1" customHeight="1" x14ac:dyDescent="0.25">
      <c r="C463" s="72"/>
      <c r="D463" s="73"/>
      <c r="Q463" s="61"/>
      <c r="R463" s="61"/>
      <c r="S463" s="61"/>
      <c r="T463" s="64"/>
    </row>
    <row r="464" spans="3:20" ht="14.1" customHeight="1" x14ac:dyDescent="0.25">
      <c r="C464" s="72"/>
      <c r="D464" s="73"/>
      <c r="Q464" s="61"/>
      <c r="R464" s="61"/>
      <c r="S464" s="61"/>
      <c r="T464" s="64"/>
    </row>
    <row r="465" spans="3:20" ht="14.1" customHeight="1" x14ac:dyDescent="0.25">
      <c r="C465" s="72"/>
      <c r="D465" s="73"/>
      <c r="Q465" s="61"/>
      <c r="R465" s="61"/>
      <c r="S465" s="61"/>
      <c r="T465" s="64"/>
    </row>
    <row r="466" spans="3:20" ht="14.1" customHeight="1" x14ac:dyDescent="0.25">
      <c r="C466" s="72"/>
      <c r="D466" s="73"/>
      <c r="Q466" s="61"/>
      <c r="R466" s="61"/>
      <c r="S466" s="61"/>
      <c r="T466" s="64"/>
    </row>
    <row r="467" spans="3:20" ht="14.1" customHeight="1" x14ac:dyDescent="0.25">
      <c r="C467" s="72"/>
      <c r="D467" s="71"/>
      <c r="Q467" s="61"/>
      <c r="R467" s="61"/>
      <c r="S467" s="61"/>
      <c r="T467" s="64"/>
    </row>
    <row r="468" spans="3:20" ht="14.1" customHeight="1" x14ac:dyDescent="0.25">
      <c r="C468" s="72"/>
      <c r="D468" s="73"/>
      <c r="Q468" s="61"/>
      <c r="R468" s="61"/>
      <c r="S468" s="61"/>
      <c r="T468" s="64"/>
    </row>
    <row r="469" spans="3:20" ht="14.1" customHeight="1" x14ac:dyDescent="0.25">
      <c r="C469" s="72"/>
      <c r="D469" s="73"/>
      <c r="Q469" s="61"/>
      <c r="R469" s="61"/>
      <c r="S469" s="61"/>
      <c r="T469" s="64"/>
    </row>
    <row r="470" spans="3:20" ht="14.1" customHeight="1" x14ac:dyDescent="0.25">
      <c r="C470" s="72"/>
      <c r="D470" s="73"/>
      <c r="Q470" s="61"/>
      <c r="R470" s="61"/>
      <c r="S470" s="61"/>
      <c r="T470" s="64"/>
    </row>
    <row r="471" spans="3:20" ht="14.1" customHeight="1" x14ac:dyDescent="0.25">
      <c r="C471" s="72"/>
      <c r="D471" s="73"/>
      <c r="Q471" s="61"/>
      <c r="R471" s="61"/>
      <c r="S471" s="61"/>
      <c r="T471" s="64"/>
    </row>
    <row r="472" spans="3:20" ht="14.1" customHeight="1" x14ac:dyDescent="0.25">
      <c r="C472" s="72"/>
      <c r="D472" s="73"/>
      <c r="Q472" s="61"/>
      <c r="R472" s="61"/>
      <c r="S472" s="61"/>
      <c r="T472" s="64"/>
    </row>
    <row r="473" spans="3:20" ht="14.1" customHeight="1" x14ac:dyDescent="0.25">
      <c r="C473" s="72"/>
      <c r="D473" s="71"/>
      <c r="Q473" s="61"/>
      <c r="R473" s="61"/>
      <c r="S473" s="61"/>
      <c r="T473" s="64"/>
    </row>
    <row r="474" spans="3:20" ht="14.1" customHeight="1" x14ac:dyDescent="0.25">
      <c r="C474" s="70"/>
      <c r="D474" s="78"/>
      <c r="Q474" s="61"/>
      <c r="R474" s="61"/>
      <c r="S474" s="61"/>
      <c r="T474" s="64"/>
    </row>
    <row r="475" spans="3:20" ht="14.1" customHeight="1" x14ac:dyDescent="0.25">
      <c r="C475" s="70"/>
      <c r="D475" s="78"/>
      <c r="Q475" s="61"/>
      <c r="R475" s="61"/>
      <c r="S475" s="61"/>
      <c r="T475" s="64"/>
    </row>
    <row r="476" spans="3:20" ht="14.1" customHeight="1" x14ac:dyDescent="0.25">
      <c r="C476" s="70"/>
      <c r="D476" s="78"/>
      <c r="Q476" s="61"/>
      <c r="R476" s="61"/>
      <c r="S476" s="61"/>
      <c r="T476" s="64"/>
    </row>
    <row r="477" spans="3:20" ht="14.1" customHeight="1" x14ac:dyDescent="0.25">
      <c r="C477" s="70"/>
      <c r="D477" s="78"/>
      <c r="Q477" s="61"/>
      <c r="R477" s="61"/>
      <c r="S477" s="61"/>
      <c r="T477" s="64"/>
    </row>
    <row r="478" spans="3:20" ht="14.1" customHeight="1" x14ac:dyDescent="0.25">
      <c r="C478" s="70"/>
      <c r="D478" s="78"/>
      <c r="Q478" s="61"/>
      <c r="R478" s="61"/>
      <c r="S478" s="61"/>
      <c r="T478" s="64"/>
    </row>
    <row r="479" spans="3:20" ht="14.1" customHeight="1" x14ac:dyDescent="0.25">
      <c r="C479" s="70"/>
      <c r="D479" s="71"/>
      <c r="Q479" s="61"/>
      <c r="R479" s="61"/>
      <c r="S479" s="61"/>
      <c r="T479" s="64"/>
    </row>
    <row r="480" spans="3:20" ht="14.1" customHeight="1" x14ac:dyDescent="0.25">
      <c r="C480" s="70"/>
      <c r="D480" s="78"/>
      <c r="Q480" s="61"/>
      <c r="R480" s="61"/>
      <c r="S480" s="61"/>
      <c r="T480" s="64"/>
    </row>
    <row r="481" spans="3:20" ht="14.1" customHeight="1" x14ac:dyDescent="0.25">
      <c r="C481" s="70"/>
      <c r="D481" s="78"/>
      <c r="Q481" s="61"/>
      <c r="R481" s="61"/>
      <c r="S481" s="61"/>
      <c r="T481" s="64"/>
    </row>
    <row r="482" spans="3:20" ht="14.1" customHeight="1" x14ac:dyDescent="0.25">
      <c r="C482" s="70"/>
      <c r="D482" s="71"/>
      <c r="Q482" s="61"/>
      <c r="R482" s="61"/>
      <c r="S482" s="61"/>
      <c r="T482" s="64"/>
    </row>
    <row r="483" spans="3:20" ht="14.1" customHeight="1" x14ac:dyDescent="0.25">
      <c r="C483" s="70"/>
      <c r="D483" s="78"/>
      <c r="M483" s="5"/>
      <c r="N483" s="65"/>
      <c r="Q483" s="61"/>
      <c r="R483" s="61"/>
      <c r="S483" s="61"/>
      <c r="T483" s="64"/>
    </row>
    <row r="484" spans="3:20" ht="14.1" customHeight="1" x14ac:dyDescent="0.25">
      <c r="C484" s="70"/>
      <c r="D484" s="78"/>
      <c r="Q484" s="61"/>
      <c r="R484" s="61"/>
      <c r="S484" s="61"/>
      <c r="T484" s="64"/>
    </row>
    <row r="485" spans="3:20" ht="14.1" customHeight="1" x14ac:dyDescent="0.25">
      <c r="C485" s="72"/>
      <c r="D485" s="71"/>
      <c r="Q485" s="61"/>
      <c r="R485" s="61"/>
      <c r="S485" s="61"/>
      <c r="T485" s="64"/>
    </row>
    <row r="486" spans="3:20" ht="14.1" customHeight="1" x14ac:dyDescent="0.25">
      <c r="C486" s="72"/>
      <c r="D486" s="73"/>
      <c r="Q486" s="61"/>
      <c r="R486" s="61"/>
      <c r="S486" s="61"/>
      <c r="T486" s="64"/>
    </row>
    <row r="487" spans="3:20" ht="14.1" customHeight="1" x14ac:dyDescent="0.25">
      <c r="C487" s="72"/>
      <c r="D487" s="73"/>
      <c r="Q487" s="61"/>
      <c r="R487" s="61"/>
      <c r="S487" s="61"/>
      <c r="T487" s="64"/>
    </row>
    <row r="488" spans="3:20" ht="14.1" customHeight="1" x14ac:dyDescent="0.25">
      <c r="C488" s="72"/>
      <c r="D488" s="73"/>
      <c r="Q488" s="61"/>
      <c r="R488" s="61"/>
      <c r="S488" s="61"/>
      <c r="T488" s="64"/>
    </row>
    <row r="489" spans="3:20" ht="14.1" customHeight="1" x14ac:dyDescent="0.25">
      <c r="C489" s="72"/>
      <c r="D489" s="73"/>
      <c r="Q489" s="61"/>
      <c r="R489" s="61"/>
      <c r="S489" s="61"/>
      <c r="T489" s="64"/>
    </row>
    <row r="490" spans="3:20" ht="14.1" customHeight="1" x14ac:dyDescent="0.25">
      <c r="C490" s="72"/>
      <c r="D490" s="73"/>
      <c r="Q490" s="61"/>
      <c r="R490" s="61"/>
      <c r="S490" s="61"/>
      <c r="T490" s="64"/>
    </row>
    <row r="491" spans="3:20" ht="14.1" customHeight="1" x14ac:dyDescent="0.25">
      <c r="C491" s="72"/>
      <c r="D491" s="73"/>
      <c r="Q491" s="61"/>
      <c r="R491" s="61"/>
      <c r="S491" s="61"/>
      <c r="T491" s="64"/>
    </row>
    <row r="492" spans="3:20" ht="14.1" customHeight="1" x14ac:dyDescent="0.25">
      <c r="C492" s="72"/>
      <c r="D492" s="73"/>
      <c r="Q492" s="61"/>
      <c r="R492" s="61"/>
      <c r="S492" s="61"/>
      <c r="T492" s="64"/>
    </row>
    <row r="493" spans="3:20" ht="14.1" customHeight="1" x14ac:dyDescent="0.25">
      <c r="C493" s="72"/>
      <c r="D493" s="73"/>
      <c r="Q493" s="61"/>
      <c r="R493" s="61"/>
      <c r="S493" s="61"/>
      <c r="T493" s="64"/>
    </row>
    <row r="494" spans="3:20" ht="14.1" customHeight="1" x14ac:dyDescent="0.25">
      <c r="C494" s="72"/>
      <c r="D494" s="73"/>
      <c r="Q494" s="61"/>
      <c r="R494" s="61"/>
      <c r="S494" s="61"/>
      <c r="T494" s="64"/>
    </row>
    <row r="495" spans="3:20" ht="14.1" customHeight="1" x14ac:dyDescent="0.25">
      <c r="C495" s="72"/>
      <c r="D495" s="73"/>
      <c r="Q495" s="61"/>
      <c r="R495" s="61"/>
      <c r="S495" s="61"/>
      <c r="T495" s="64"/>
    </row>
    <row r="496" spans="3:20" ht="14.1" customHeight="1" x14ac:dyDescent="0.25">
      <c r="C496" s="72"/>
      <c r="D496" s="73"/>
      <c r="Q496" s="61"/>
      <c r="R496" s="61"/>
      <c r="S496" s="61"/>
      <c r="T496" s="64"/>
    </row>
    <row r="497" spans="3:20" ht="14.1" customHeight="1" x14ac:dyDescent="0.25">
      <c r="C497" s="72"/>
      <c r="D497" s="73"/>
      <c r="Q497" s="61"/>
      <c r="R497" s="61"/>
      <c r="S497" s="61"/>
      <c r="T497" s="64"/>
    </row>
    <row r="498" spans="3:20" ht="14.1" customHeight="1" x14ac:dyDescent="0.25">
      <c r="C498" s="72"/>
      <c r="D498" s="73"/>
      <c r="Q498" s="61"/>
      <c r="R498" s="61"/>
      <c r="S498" s="61"/>
      <c r="T498" s="64"/>
    </row>
    <row r="499" spans="3:20" ht="14.1" customHeight="1" x14ac:dyDescent="0.25">
      <c r="C499" s="72"/>
      <c r="D499" s="73"/>
      <c r="Q499" s="61"/>
      <c r="R499" s="61"/>
      <c r="S499" s="61"/>
      <c r="T499" s="64"/>
    </row>
    <row r="500" spans="3:20" ht="14.1" customHeight="1" x14ac:dyDescent="0.25">
      <c r="C500" s="72"/>
      <c r="D500" s="73"/>
      <c r="Q500" s="61"/>
      <c r="R500" s="61"/>
      <c r="S500" s="61"/>
      <c r="T500" s="64"/>
    </row>
    <row r="501" spans="3:20" ht="14.1" customHeight="1" x14ac:dyDescent="0.25">
      <c r="C501" s="72"/>
      <c r="D501" s="73"/>
      <c r="Q501" s="61"/>
      <c r="R501" s="61"/>
      <c r="S501" s="61"/>
      <c r="T501" s="64"/>
    </row>
    <row r="502" spans="3:20" ht="14.1" customHeight="1" x14ac:dyDescent="0.25">
      <c r="C502" s="72"/>
      <c r="D502" s="73"/>
      <c r="Q502" s="61"/>
      <c r="R502" s="61"/>
      <c r="S502" s="61"/>
      <c r="T502" s="64"/>
    </row>
    <row r="503" spans="3:20" ht="14.1" customHeight="1" x14ac:dyDescent="0.25">
      <c r="C503" s="72"/>
      <c r="D503" s="73"/>
      <c r="Q503" s="61"/>
      <c r="R503" s="61"/>
      <c r="S503" s="61"/>
      <c r="T503" s="64"/>
    </row>
    <row r="504" spans="3:20" ht="14.1" customHeight="1" x14ac:dyDescent="0.25">
      <c r="C504" s="74"/>
      <c r="D504" s="73"/>
      <c r="Q504" s="61"/>
      <c r="R504" s="61"/>
      <c r="S504" s="61"/>
      <c r="T504" s="64"/>
    </row>
    <row r="505" spans="3:20" ht="14.1" customHeight="1" x14ac:dyDescent="0.25">
      <c r="C505" s="70"/>
      <c r="D505" s="71"/>
      <c r="Q505" s="61"/>
      <c r="R505" s="61"/>
      <c r="S505" s="61"/>
      <c r="T505" s="64"/>
    </row>
    <row r="506" spans="3:20" ht="14.1" customHeight="1" x14ac:dyDescent="0.25">
      <c r="C506" s="72"/>
      <c r="D506" s="73"/>
      <c r="Q506" s="61"/>
      <c r="R506" s="61"/>
      <c r="S506" s="61"/>
      <c r="T506" s="64"/>
    </row>
    <row r="507" spans="3:20" ht="14.1" customHeight="1" x14ac:dyDescent="0.25">
      <c r="C507" s="72"/>
      <c r="D507" s="73"/>
      <c r="Q507" s="61"/>
      <c r="R507" s="61"/>
      <c r="S507" s="61"/>
      <c r="T507" s="64"/>
    </row>
    <row r="508" spans="3:20" ht="14.1" customHeight="1" x14ac:dyDescent="0.25">
      <c r="C508" s="72"/>
      <c r="D508" s="73"/>
      <c r="Q508" s="61"/>
      <c r="R508" s="61"/>
      <c r="S508" s="61"/>
      <c r="T508" s="64"/>
    </row>
    <row r="509" spans="3:20" ht="14.1" customHeight="1" x14ac:dyDescent="0.25">
      <c r="C509" s="72"/>
      <c r="D509" s="73"/>
      <c r="Q509" s="61"/>
      <c r="R509" s="61"/>
      <c r="S509" s="61"/>
      <c r="T509" s="64"/>
    </row>
    <row r="510" spans="3:20" ht="14.1" customHeight="1" x14ac:dyDescent="0.25">
      <c r="C510" s="72"/>
      <c r="D510" s="73"/>
      <c r="Q510" s="61"/>
      <c r="R510" s="61"/>
      <c r="S510" s="61"/>
      <c r="T510" s="64"/>
    </row>
    <row r="511" spans="3:20" ht="14.1" customHeight="1" x14ac:dyDescent="0.25">
      <c r="C511" s="72"/>
      <c r="D511" s="73"/>
      <c r="Q511" s="61"/>
      <c r="R511" s="61"/>
      <c r="S511" s="61"/>
      <c r="T511" s="64"/>
    </row>
    <row r="512" spans="3:20" ht="14.1" customHeight="1" x14ac:dyDescent="0.25">
      <c r="C512" s="72"/>
      <c r="D512" s="73"/>
      <c r="Q512" s="61"/>
      <c r="R512" s="61"/>
      <c r="S512" s="61"/>
      <c r="T512" s="64"/>
    </row>
    <row r="513" spans="3:20" ht="14.1" customHeight="1" x14ac:dyDescent="0.25">
      <c r="C513" s="72"/>
      <c r="D513" s="73"/>
      <c r="Q513" s="61"/>
      <c r="R513" s="61"/>
      <c r="S513" s="61"/>
      <c r="T513" s="64"/>
    </row>
    <row r="514" spans="3:20" ht="14.1" customHeight="1" x14ac:dyDescent="0.25">
      <c r="C514" s="72"/>
      <c r="D514" s="73"/>
      <c r="Q514" s="61"/>
      <c r="R514" s="61"/>
      <c r="S514" s="61"/>
      <c r="T514" s="64"/>
    </row>
    <row r="515" spans="3:20" ht="14.1" customHeight="1" x14ac:dyDescent="0.25">
      <c r="C515" s="72"/>
      <c r="D515" s="73"/>
      <c r="Q515" s="61"/>
      <c r="R515" s="61"/>
      <c r="S515" s="61"/>
      <c r="T515" s="64"/>
    </row>
    <row r="516" spans="3:20" ht="14.1" customHeight="1" x14ac:dyDescent="0.25">
      <c r="C516" s="72"/>
      <c r="D516" s="73"/>
      <c r="Q516" s="61"/>
      <c r="R516" s="61"/>
      <c r="S516" s="61"/>
      <c r="T516" s="64"/>
    </row>
    <row r="517" spans="3:20" ht="14.1" customHeight="1" x14ac:dyDescent="0.25">
      <c r="C517" s="72"/>
      <c r="D517" s="73"/>
      <c r="Q517" s="61"/>
      <c r="R517" s="61"/>
      <c r="S517" s="61"/>
      <c r="T517" s="64"/>
    </row>
    <row r="518" spans="3:20" ht="14.1" customHeight="1" x14ac:dyDescent="0.25">
      <c r="C518" s="72"/>
      <c r="D518" s="73"/>
      <c r="Q518" s="61"/>
      <c r="R518" s="61"/>
      <c r="S518" s="61"/>
      <c r="T518" s="64"/>
    </row>
    <row r="519" spans="3:20" ht="14.1" customHeight="1" x14ac:dyDescent="0.25">
      <c r="C519" s="72"/>
      <c r="D519" s="73"/>
      <c r="Q519" s="61"/>
      <c r="R519" s="61"/>
      <c r="S519" s="61"/>
      <c r="T519" s="64"/>
    </row>
    <row r="520" spans="3:20" ht="14.1" customHeight="1" x14ac:dyDescent="0.25">
      <c r="C520" s="72"/>
      <c r="D520" s="73"/>
      <c r="Q520" s="61"/>
      <c r="R520" s="61"/>
      <c r="S520" s="61"/>
      <c r="T520" s="64"/>
    </row>
    <row r="521" spans="3:20" ht="14.1" customHeight="1" x14ac:dyDescent="0.25">
      <c r="C521" s="72"/>
      <c r="D521" s="73"/>
      <c r="Q521" s="61"/>
      <c r="R521" s="61"/>
      <c r="S521" s="61"/>
      <c r="T521" s="64"/>
    </row>
    <row r="522" spans="3:20" ht="14.1" customHeight="1" x14ac:dyDescent="0.25">
      <c r="C522" s="72"/>
      <c r="D522" s="73"/>
      <c r="Q522" s="61"/>
      <c r="R522" s="61"/>
      <c r="S522" s="61"/>
      <c r="T522" s="64"/>
    </row>
    <row r="523" spans="3:20" ht="14.1" customHeight="1" x14ac:dyDescent="0.25">
      <c r="C523" s="72"/>
      <c r="D523" s="73"/>
      <c r="Q523" s="61"/>
      <c r="R523" s="61"/>
      <c r="S523" s="61"/>
      <c r="T523" s="64"/>
    </row>
    <row r="524" spans="3:20" ht="14.1" customHeight="1" x14ac:dyDescent="0.25">
      <c r="C524" s="72"/>
      <c r="D524" s="73"/>
      <c r="Q524" s="61"/>
      <c r="R524" s="61"/>
      <c r="S524" s="61"/>
      <c r="T524" s="64"/>
    </row>
    <row r="525" spans="3:20" ht="14.1" customHeight="1" x14ac:dyDescent="0.25">
      <c r="C525" s="72"/>
      <c r="D525" s="73"/>
      <c r="Q525" s="61"/>
      <c r="R525" s="61"/>
      <c r="S525" s="61"/>
      <c r="T525" s="64"/>
    </row>
    <row r="526" spans="3:20" ht="14.1" customHeight="1" x14ac:dyDescent="0.25">
      <c r="C526" s="72"/>
      <c r="D526" s="79"/>
      <c r="Q526" s="61"/>
      <c r="R526" s="61"/>
      <c r="S526" s="61"/>
      <c r="T526" s="64"/>
    </row>
    <row r="527" spans="3:20" ht="14.1" customHeight="1" x14ac:dyDescent="0.25">
      <c r="C527" s="72"/>
      <c r="D527" s="71"/>
      <c r="Q527" s="61"/>
      <c r="R527" s="61"/>
      <c r="S527" s="61"/>
      <c r="T527" s="64"/>
    </row>
    <row r="528" spans="3:20" ht="14.1" customHeight="1" x14ac:dyDescent="0.25">
      <c r="C528" s="72"/>
      <c r="D528" s="79"/>
      <c r="M528" s="5"/>
      <c r="N528" s="65"/>
      <c r="Q528" s="61"/>
      <c r="R528" s="61"/>
      <c r="S528" s="61"/>
      <c r="T528" s="64"/>
    </row>
    <row r="529" spans="3:20" ht="14.1" customHeight="1" x14ac:dyDescent="0.25">
      <c r="C529" s="72"/>
      <c r="D529" s="79"/>
      <c r="Q529" s="61"/>
      <c r="R529" s="61"/>
      <c r="S529" s="61"/>
      <c r="T529" s="64"/>
    </row>
    <row r="530" spans="3:20" ht="14.1" customHeight="1" x14ac:dyDescent="0.25">
      <c r="C530" s="72"/>
      <c r="D530" s="79"/>
      <c r="Q530" s="61"/>
      <c r="R530" s="61"/>
      <c r="S530" s="61"/>
      <c r="T530" s="64"/>
    </row>
    <row r="531" spans="3:20" ht="14.1" customHeight="1" x14ac:dyDescent="0.25">
      <c r="C531" s="72"/>
      <c r="D531" s="79"/>
      <c r="Q531" s="61"/>
      <c r="R531" s="61"/>
      <c r="S531" s="61"/>
      <c r="T531" s="64"/>
    </row>
    <row r="532" spans="3:20" ht="14.1" customHeight="1" x14ac:dyDescent="0.25">
      <c r="C532" s="72"/>
      <c r="D532" s="79"/>
      <c r="Q532" s="61"/>
      <c r="R532" s="61"/>
      <c r="S532" s="61"/>
      <c r="T532" s="64"/>
    </row>
    <row r="533" spans="3:20" ht="14.1" customHeight="1" x14ac:dyDescent="0.25">
      <c r="C533" s="72"/>
      <c r="D533" s="79"/>
      <c r="Q533" s="61"/>
      <c r="R533" s="61"/>
      <c r="S533" s="61"/>
      <c r="T533" s="64"/>
    </row>
    <row r="534" spans="3:20" ht="14.1" customHeight="1" x14ac:dyDescent="0.25">
      <c r="C534" s="72"/>
      <c r="D534" s="79"/>
      <c r="Q534" s="61"/>
      <c r="R534" s="61"/>
      <c r="S534" s="61"/>
      <c r="T534" s="64"/>
    </row>
    <row r="535" spans="3:20" ht="14.1" customHeight="1" x14ac:dyDescent="0.25">
      <c r="C535" s="72"/>
      <c r="D535" s="79"/>
      <c r="Q535" s="61"/>
      <c r="R535" s="61"/>
      <c r="S535" s="61"/>
      <c r="T535" s="64"/>
    </row>
    <row r="536" spans="3:20" ht="14.1" customHeight="1" x14ac:dyDescent="0.25">
      <c r="C536" s="72"/>
      <c r="D536" s="73"/>
      <c r="Q536" s="61"/>
      <c r="R536" s="61"/>
      <c r="S536" s="61"/>
      <c r="T536" s="64"/>
    </row>
    <row r="537" spans="3:20" ht="14.1" customHeight="1" x14ac:dyDescent="0.25">
      <c r="C537" s="72"/>
      <c r="D537" s="73"/>
      <c r="Q537" s="61"/>
      <c r="R537" s="61"/>
      <c r="S537" s="61"/>
      <c r="T537" s="64"/>
    </row>
    <row r="538" spans="3:20" ht="14.1" customHeight="1" x14ac:dyDescent="0.25">
      <c r="C538" s="72"/>
      <c r="D538" s="73"/>
      <c r="Q538" s="61"/>
      <c r="R538" s="61"/>
      <c r="S538" s="61"/>
      <c r="T538" s="64"/>
    </row>
    <row r="539" spans="3:20" ht="14.1" customHeight="1" x14ac:dyDescent="0.25">
      <c r="C539" s="72"/>
      <c r="D539" s="73"/>
      <c r="Q539" s="61"/>
      <c r="R539" s="61"/>
      <c r="S539" s="61"/>
      <c r="T539" s="64"/>
    </row>
    <row r="540" spans="3:20" ht="14.1" customHeight="1" x14ac:dyDescent="0.25">
      <c r="C540" s="72"/>
      <c r="D540" s="73"/>
      <c r="Q540" s="61"/>
      <c r="R540" s="61"/>
      <c r="S540" s="61"/>
      <c r="T540" s="64"/>
    </row>
    <row r="541" spans="3:20" ht="14.1" customHeight="1" x14ac:dyDescent="0.25">
      <c r="C541" s="72"/>
      <c r="D541" s="73"/>
      <c r="Q541" s="61"/>
      <c r="R541" s="61"/>
      <c r="S541" s="61"/>
      <c r="T541" s="64"/>
    </row>
    <row r="542" spans="3:20" ht="14.1" customHeight="1" x14ac:dyDescent="0.25">
      <c r="C542" s="72"/>
      <c r="D542" s="73"/>
      <c r="Q542" s="61"/>
      <c r="R542" s="61"/>
      <c r="S542" s="61"/>
      <c r="T542" s="64"/>
    </row>
    <row r="543" spans="3:20" ht="14.1" customHeight="1" x14ac:dyDescent="0.25">
      <c r="C543" s="72"/>
      <c r="D543" s="73"/>
      <c r="Q543" s="61"/>
      <c r="R543" s="61"/>
      <c r="S543" s="61"/>
      <c r="T543" s="64"/>
    </row>
    <row r="544" spans="3:20" ht="14.1" customHeight="1" x14ac:dyDescent="0.25">
      <c r="C544" s="72"/>
      <c r="D544" s="73"/>
      <c r="Q544" s="61"/>
      <c r="R544" s="61"/>
      <c r="S544" s="61"/>
      <c r="T544" s="64"/>
    </row>
    <row r="545" spans="3:20" ht="14.1" customHeight="1" x14ac:dyDescent="0.25">
      <c r="C545" s="72"/>
      <c r="D545" s="73"/>
      <c r="Q545" s="61"/>
      <c r="R545" s="61"/>
      <c r="S545" s="61"/>
      <c r="T545" s="64"/>
    </row>
    <row r="546" spans="3:20" ht="14.1" customHeight="1" x14ac:dyDescent="0.25">
      <c r="C546" s="72"/>
      <c r="D546" s="73"/>
      <c r="Q546" s="61"/>
      <c r="R546" s="61"/>
      <c r="S546" s="61"/>
      <c r="T546" s="64"/>
    </row>
    <row r="547" spans="3:20" ht="14.1" customHeight="1" x14ac:dyDescent="0.25">
      <c r="C547" s="72"/>
      <c r="D547" s="73"/>
      <c r="Q547" s="61"/>
      <c r="R547" s="61"/>
      <c r="S547" s="61"/>
      <c r="T547" s="64"/>
    </row>
    <row r="548" spans="3:20" ht="14.1" customHeight="1" x14ac:dyDescent="0.25">
      <c r="C548" s="72"/>
      <c r="D548" s="73"/>
      <c r="Q548" s="61"/>
      <c r="R548" s="61"/>
      <c r="S548" s="61"/>
      <c r="T548" s="64"/>
    </row>
    <row r="549" spans="3:20" ht="14.1" customHeight="1" x14ac:dyDescent="0.25">
      <c r="C549" s="72"/>
      <c r="D549" s="73"/>
      <c r="Q549" s="61"/>
      <c r="R549" s="61"/>
      <c r="S549" s="61"/>
      <c r="T549" s="64"/>
    </row>
    <row r="550" spans="3:20" ht="14.1" customHeight="1" x14ac:dyDescent="0.25">
      <c r="C550" s="72"/>
      <c r="D550" s="73"/>
      <c r="Q550" s="61"/>
      <c r="R550" s="61"/>
      <c r="S550" s="61"/>
      <c r="T550" s="64"/>
    </row>
    <row r="551" spans="3:20" ht="14.1" customHeight="1" x14ac:dyDescent="0.25">
      <c r="C551" s="72"/>
      <c r="D551" s="73"/>
      <c r="Q551" s="61"/>
      <c r="R551" s="61"/>
      <c r="S551" s="61"/>
      <c r="T551" s="64"/>
    </row>
    <row r="552" spans="3:20" ht="14.1" customHeight="1" x14ac:dyDescent="0.25">
      <c r="C552" s="72"/>
      <c r="D552" s="73"/>
      <c r="Q552" s="61"/>
      <c r="R552" s="61"/>
      <c r="S552" s="61"/>
      <c r="T552" s="64"/>
    </row>
    <row r="553" spans="3:20" ht="14.1" customHeight="1" x14ac:dyDescent="0.25">
      <c r="C553" s="72"/>
      <c r="D553" s="73"/>
      <c r="Q553" s="61"/>
      <c r="R553" s="61"/>
      <c r="S553" s="61"/>
      <c r="T553" s="64"/>
    </row>
    <row r="554" spans="3:20" ht="14.1" customHeight="1" x14ac:dyDescent="0.25">
      <c r="C554" s="72"/>
      <c r="D554" s="73"/>
      <c r="Q554" s="61"/>
      <c r="R554" s="61"/>
      <c r="S554" s="61"/>
      <c r="T554" s="64"/>
    </row>
    <row r="555" spans="3:20" ht="14.1" customHeight="1" x14ac:dyDescent="0.25">
      <c r="C555" s="72"/>
      <c r="D555" s="71"/>
      <c r="Q555" s="61"/>
      <c r="R555" s="61"/>
      <c r="S555" s="61"/>
      <c r="T555" s="64"/>
    </row>
    <row r="556" spans="3:20" ht="14.1" customHeight="1" x14ac:dyDescent="0.25">
      <c r="C556" s="72"/>
      <c r="D556" s="73"/>
      <c r="Q556" s="61"/>
      <c r="R556" s="61"/>
      <c r="S556" s="61"/>
      <c r="T556" s="64"/>
    </row>
    <row r="557" spans="3:20" ht="14.1" customHeight="1" x14ac:dyDescent="0.25">
      <c r="C557" s="72"/>
      <c r="D557" s="73"/>
      <c r="Q557" s="61"/>
      <c r="R557" s="61"/>
      <c r="S557" s="61"/>
      <c r="T557" s="64"/>
    </row>
    <row r="558" spans="3:20" ht="14.1" customHeight="1" x14ac:dyDescent="0.25">
      <c r="C558" s="72"/>
      <c r="D558" s="73"/>
      <c r="Q558" s="61"/>
      <c r="R558" s="61"/>
      <c r="S558" s="61"/>
      <c r="T558" s="64"/>
    </row>
    <row r="559" spans="3:20" ht="14.1" customHeight="1" x14ac:dyDescent="0.25">
      <c r="C559" s="72"/>
      <c r="D559" s="73"/>
      <c r="Q559" s="61"/>
      <c r="R559" s="61"/>
      <c r="S559" s="61"/>
      <c r="T559" s="64"/>
    </row>
    <row r="560" spans="3:20" ht="14.1" customHeight="1" x14ac:dyDescent="0.25">
      <c r="C560" s="72"/>
      <c r="D560" s="73"/>
      <c r="Q560" s="61"/>
      <c r="R560" s="61"/>
      <c r="S560" s="61"/>
      <c r="T560" s="64"/>
    </row>
    <row r="561" spans="3:20" ht="14.1" customHeight="1" x14ac:dyDescent="0.25">
      <c r="C561" s="72"/>
      <c r="D561" s="73"/>
      <c r="Q561" s="61"/>
      <c r="R561" s="61"/>
      <c r="S561" s="61"/>
      <c r="T561" s="64"/>
    </row>
    <row r="562" spans="3:20" ht="14.1" customHeight="1" x14ac:dyDescent="0.25">
      <c r="C562" s="72"/>
      <c r="D562" s="73"/>
      <c r="Q562" s="61"/>
      <c r="R562" s="61"/>
      <c r="S562" s="61"/>
      <c r="T562" s="64"/>
    </row>
    <row r="563" spans="3:20" ht="14.1" customHeight="1" x14ac:dyDescent="0.25">
      <c r="C563" s="72"/>
      <c r="D563" s="73"/>
      <c r="Q563" s="61"/>
      <c r="R563" s="61"/>
      <c r="S563" s="61"/>
      <c r="T563" s="64"/>
    </row>
    <row r="564" spans="3:20" ht="14.1" customHeight="1" x14ac:dyDescent="0.25">
      <c r="C564" s="72"/>
      <c r="D564" s="73"/>
      <c r="Q564" s="61"/>
      <c r="R564" s="61"/>
      <c r="S564" s="61"/>
      <c r="T564" s="64"/>
    </row>
    <row r="565" spans="3:20" ht="14.1" customHeight="1" x14ac:dyDescent="0.25">
      <c r="C565" s="72"/>
      <c r="D565" s="73"/>
      <c r="Q565" s="61"/>
      <c r="R565" s="61"/>
      <c r="S565" s="61"/>
      <c r="T565" s="64"/>
    </row>
    <row r="566" spans="3:20" ht="14.1" customHeight="1" x14ac:dyDescent="0.25">
      <c r="C566" s="72"/>
      <c r="D566" s="73"/>
      <c r="Q566" s="61"/>
      <c r="R566" s="61"/>
      <c r="S566" s="61"/>
      <c r="T566" s="64"/>
    </row>
    <row r="567" spans="3:20" ht="14.1" customHeight="1" x14ac:dyDescent="0.25">
      <c r="C567" s="72"/>
      <c r="D567" s="73"/>
      <c r="Q567" s="61"/>
      <c r="R567" s="61"/>
      <c r="S567" s="61"/>
      <c r="T567" s="64"/>
    </row>
    <row r="568" spans="3:20" ht="14.1" customHeight="1" x14ac:dyDescent="0.25">
      <c r="C568" s="72"/>
      <c r="D568" s="73"/>
      <c r="Q568" s="61"/>
      <c r="R568" s="61"/>
      <c r="S568" s="61"/>
      <c r="T568" s="64"/>
    </row>
    <row r="569" spans="3:20" ht="14.1" customHeight="1" x14ac:dyDescent="0.25">
      <c r="C569" s="72"/>
      <c r="D569" s="73"/>
      <c r="Q569" s="61"/>
      <c r="R569" s="61"/>
      <c r="S569" s="61"/>
      <c r="T569" s="64"/>
    </row>
    <row r="570" spans="3:20" ht="14.1" customHeight="1" x14ac:dyDescent="0.25">
      <c r="C570" s="72"/>
      <c r="D570" s="71"/>
      <c r="Q570" s="61"/>
      <c r="R570" s="61"/>
      <c r="S570" s="61"/>
      <c r="T570" s="64"/>
    </row>
    <row r="571" spans="3:20" ht="14.1" customHeight="1" x14ac:dyDescent="0.25">
      <c r="C571" s="72"/>
      <c r="D571" s="71"/>
      <c r="Q571" s="61"/>
      <c r="R571" s="61"/>
      <c r="S571" s="61"/>
      <c r="T571" s="64"/>
    </row>
    <row r="572" spans="3:20" ht="14.1" customHeight="1" x14ac:dyDescent="0.25">
      <c r="C572" s="72"/>
      <c r="D572" s="71"/>
      <c r="Q572" s="61"/>
      <c r="R572" s="61"/>
      <c r="S572" s="61"/>
      <c r="T572" s="64"/>
    </row>
    <row r="573" spans="3:20" ht="14.1" customHeight="1" x14ac:dyDescent="0.25">
      <c r="C573" s="72"/>
      <c r="D573" s="71"/>
      <c r="Q573" s="61"/>
      <c r="R573" s="61"/>
      <c r="S573" s="61"/>
      <c r="T573" s="64"/>
    </row>
    <row r="574" spans="3:20" ht="14.1" customHeight="1" x14ac:dyDescent="0.25">
      <c r="C574" s="72"/>
      <c r="D574" s="80"/>
      <c r="Q574" s="61"/>
      <c r="R574" s="61"/>
      <c r="S574" s="61"/>
      <c r="T574" s="64"/>
    </row>
    <row r="575" spans="3:20" ht="14.1" customHeight="1" x14ac:dyDescent="0.25">
      <c r="C575" s="72"/>
      <c r="D575" s="80"/>
      <c r="Q575" s="61"/>
      <c r="R575" s="61"/>
      <c r="S575" s="61"/>
      <c r="T575" s="64"/>
    </row>
    <row r="576" spans="3:20" ht="14.1" customHeight="1" x14ac:dyDescent="0.25">
      <c r="C576" s="72"/>
      <c r="D576" s="80"/>
      <c r="Q576" s="61"/>
      <c r="R576" s="61"/>
      <c r="S576" s="61"/>
      <c r="T576" s="64"/>
    </row>
    <row r="577" spans="3:20" ht="14.1" customHeight="1" x14ac:dyDescent="0.25">
      <c r="C577" s="72"/>
      <c r="D577" s="80"/>
      <c r="Q577" s="61"/>
      <c r="R577" s="61"/>
      <c r="S577" s="61"/>
      <c r="T577" s="64"/>
    </row>
    <row r="578" spans="3:20" ht="14.1" customHeight="1" x14ac:dyDescent="0.25">
      <c r="C578" s="72"/>
      <c r="D578" s="80"/>
      <c r="Q578" s="61"/>
      <c r="R578" s="61"/>
      <c r="S578" s="61"/>
      <c r="T578" s="64"/>
    </row>
    <row r="579" spans="3:20" ht="14.1" customHeight="1" x14ac:dyDescent="0.25">
      <c r="C579" s="72"/>
      <c r="D579" s="80"/>
      <c r="Q579" s="61"/>
      <c r="R579" s="61"/>
      <c r="S579" s="61"/>
      <c r="T579" s="64"/>
    </row>
    <row r="580" spans="3:20" ht="14.1" customHeight="1" x14ac:dyDescent="0.25">
      <c r="C580" s="72"/>
      <c r="D580" s="80"/>
      <c r="Q580" s="61"/>
      <c r="R580" s="61"/>
      <c r="S580" s="61"/>
      <c r="T580" s="64"/>
    </row>
    <row r="581" spans="3:20" ht="14.1" customHeight="1" x14ac:dyDescent="0.25">
      <c r="C581" s="72"/>
      <c r="D581" s="80"/>
      <c r="Q581" s="61"/>
      <c r="R581" s="61"/>
      <c r="S581" s="61"/>
      <c r="T581" s="64"/>
    </row>
    <row r="582" spans="3:20" ht="14.1" customHeight="1" x14ac:dyDescent="0.25">
      <c r="C582" s="72"/>
      <c r="D582" s="80"/>
      <c r="Q582" s="61"/>
      <c r="R582" s="61"/>
      <c r="S582" s="61"/>
      <c r="T582" s="64"/>
    </row>
    <row r="583" spans="3:20" ht="14.1" customHeight="1" x14ac:dyDescent="0.25">
      <c r="C583" s="72"/>
      <c r="D583" s="80"/>
      <c r="Q583" s="61"/>
      <c r="R583" s="61"/>
      <c r="S583" s="61"/>
      <c r="T583" s="64"/>
    </row>
    <row r="584" spans="3:20" ht="14.1" customHeight="1" x14ac:dyDescent="0.25">
      <c r="C584" s="72"/>
      <c r="D584" s="73"/>
      <c r="Q584" s="61"/>
      <c r="R584" s="61"/>
      <c r="S584" s="61"/>
      <c r="T584" s="64"/>
    </row>
    <row r="585" spans="3:20" ht="14.1" customHeight="1" x14ac:dyDescent="0.25">
      <c r="C585" s="72"/>
      <c r="D585" s="73"/>
      <c r="Q585" s="61"/>
      <c r="R585" s="61"/>
      <c r="S585" s="61"/>
      <c r="T585" s="64"/>
    </row>
    <row r="586" spans="3:20" ht="14.1" customHeight="1" x14ac:dyDescent="0.25">
      <c r="C586" s="72"/>
      <c r="D586" s="73"/>
      <c r="Q586" s="61"/>
      <c r="R586" s="61"/>
      <c r="S586" s="61"/>
      <c r="T586" s="64"/>
    </row>
    <row r="587" spans="3:20" ht="14.1" customHeight="1" x14ac:dyDescent="0.25">
      <c r="C587" s="72"/>
      <c r="D587" s="81"/>
      <c r="Q587" s="61"/>
      <c r="R587" s="61"/>
      <c r="S587" s="61"/>
      <c r="T587" s="64"/>
    </row>
    <row r="588" spans="3:20" ht="14.1" customHeight="1" x14ac:dyDescent="0.25">
      <c r="C588" s="72"/>
      <c r="D588" s="81"/>
      <c r="Q588" s="61"/>
      <c r="R588" s="61"/>
      <c r="S588" s="61"/>
      <c r="T588" s="64"/>
    </row>
    <row r="589" spans="3:20" ht="14.1" customHeight="1" x14ac:dyDescent="0.25">
      <c r="C589" s="72"/>
      <c r="D589" s="81"/>
      <c r="Q589" s="61"/>
      <c r="R589" s="61"/>
      <c r="S589" s="61"/>
      <c r="T589" s="64"/>
    </row>
    <row r="590" spans="3:20" ht="14.1" customHeight="1" x14ac:dyDescent="0.25">
      <c r="C590" s="72"/>
      <c r="D590" s="81"/>
      <c r="Q590" s="61"/>
      <c r="R590" s="61"/>
      <c r="S590" s="61"/>
      <c r="T590" s="64"/>
    </row>
    <row r="591" spans="3:20" ht="14.1" customHeight="1" x14ac:dyDescent="0.25">
      <c r="C591" s="72"/>
      <c r="D591" s="81"/>
      <c r="Q591" s="61"/>
      <c r="R591" s="61"/>
      <c r="S591" s="61"/>
      <c r="T591" s="64"/>
    </row>
    <row r="592" spans="3:20" ht="14.1" customHeight="1" x14ac:dyDescent="0.25">
      <c r="C592" s="72"/>
      <c r="D592" s="73"/>
      <c r="Q592" s="61"/>
      <c r="R592" s="61"/>
      <c r="S592" s="61"/>
      <c r="T592" s="64"/>
    </row>
    <row r="593" spans="3:20" ht="14.1" customHeight="1" x14ac:dyDescent="0.25">
      <c r="C593" s="72"/>
      <c r="D593" s="73"/>
      <c r="Q593" s="61"/>
      <c r="R593" s="61"/>
      <c r="S593" s="61"/>
      <c r="T593" s="64"/>
    </row>
    <row r="594" spans="3:20" ht="14.1" customHeight="1" x14ac:dyDescent="0.25">
      <c r="C594" s="72"/>
      <c r="D594" s="80"/>
      <c r="Q594" s="61"/>
      <c r="R594" s="61"/>
      <c r="S594" s="61"/>
      <c r="T594" s="64"/>
    </row>
    <row r="595" spans="3:20" ht="14.1" customHeight="1" x14ac:dyDescent="0.25">
      <c r="C595" s="72"/>
      <c r="D595" s="80"/>
      <c r="Q595" s="61"/>
      <c r="R595" s="61"/>
      <c r="S595" s="61"/>
      <c r="T595" s="64"/>
    </row>
    <row r="596" spans="3:20" ht="14.1" customHeight="1" x14ac:dyDescent="0.25">
      <c r="C596" s="72"/>
      <c r="D596" s="80"/>
      <c r="Q596" s="61"/>
      <c r="R596" s="61"/>
      <c r="S596" s="61"/>
      <c r="T596" s="64"/>
    </row>
    <row r="597" spans="3:20" ht="14.1" customHeight="1" x14ac:dyDescent="0.25">
      <c r="C597" s="72"/>
      <c r="D597" s="80"/>
      <c r="Q597" s="61"/>
      <c r="R597" s="61"/>
      <c r="S597" s="61"/>
      <c r="T597" s="64"/>
    </row>
    <row r="598" spans="3:20" ht="14.1" customHeight="1" x14ac:dyDescent="0.25">
      <c r="C598" s="72"/>
      <c r="D598" s="80"/>
      <c r="Q598" s="61"/>
      <c r="R598" s="61"/>
      <c r="S598" s="61"/>
      <c r="T598" s="64"/>
    </row>
    <row r="599" spans="3:20" ht="14.1" customHeight="1" x14ac:dyDescent="0.25">
      <c r="C599" s="72"/>
      <c r="D599" s="80"/>
      <c r="Q599" s="61"/>
      <c r="R599" s="61"/>
      <c r="S599" s="61"/>
      <c r="T599" s="64"/>
    </row>
    <row r="600" spans="3:20" ht="14.1" customHeight="1" x14ac:dyDescent="0.25">
      <c r="C600" s="72"/>
      <c r="D600" s="80"/>
      <c r="Q600" s="61"/>
      <c r="R600" s="61"/>
      <c r="S600" s="61"/>
      <c r="T600" s="64"/>
    </row>
    <row r="601" spans="3:20" ht="14.1" customHeight="1" x14ac:dyDescent="0.25">
      <c r="C601" s="72"/>
      <c r="D601" s="80"/>
      <c r="Q601" s="61"/>
      <c r="R601" s="61"/>
      <c r="S601" s="61"/>
      <c r="T601" s="64"/>
    </row>
    <row r="602" spans="3:20" ht="14.1" customHeight="1" x14ac:dyDescent="0.25">
      <c r="C602" s="72"/>
      <c r="D602" s="80"/>
      <c r="Q602" s="61"/>
      <c r="R602" s="61"/>
      <c r="S602" s="61"/>
      <c r="T602" s="64"/>
    </row>
    <row r="603" spans="3:20" ht="14.1" customHeight="1" x14ac:dyDescent="0.25">
      <c r="C603" s="72"/>
      <c r="D603" s="80"/>
      <c r="Q603" s="61"/>
      <c r="R603" s="61"/>
      <c r="S603" s="61"/>
      <c r="T603" s="64"/>
    </row>
    <row r="604" spans="3:20" ht="14.1" customHeight="1" x14ac:dyDescent="0.25">
      <c r="C604" s="72"/>
      <c r="D604" s="80"/>
      <c r="Q604" s="61"/>
      <c r="R604" s="61"/>
      <c r="S604" s="61"/>
      <c r="T604" s="64"/>
    </row>
    <row r="605" spans="3:20" ht="14.1" customHeight="1" x14ac:dyDescent="0.25">
      <c r="C605" s="72"/>
      <c r="D605" s="80"/>
      <c r="Q605" s="61"/>
      <c r="R605" s="61"/>
      <c r="S605" s="61"/>
      <c r="T605" s="64"/>
    </row>
    <row r="606" spans="3:20" ht="14.1" customHeight="1" x14ac:dyDescent="0.25">
      <c r="C606" s="72"/>
      <c r="D606" s="80"/>
      <c r="Q606" s="61"/>
      <c r="R606" s="61"/>
      <c r="S606" s="61"/>
      <c r="T606" s="64"/>
    </row>
    <row r="607" spans="3:20" ht="14.1" customHeight="1" x14ac:dyDescent="0.25">
      <c r="C607" s="72"/>
      <c r="D607" s="80"/>
      <c r="Q607" s="61"/>
      <c r="R607" s="61"/>
      <c r="S607" s="61"/>
      <c r="T607" s="64"/>
    </row>
    <row r="608" spans="3:20" ht="14.1" customHeight="1" x14ac:dyDescent="0.25">
      <c r="C608" s="72"/>
      <c r="D608" s="80"/>
      <c r="Q608" s="61"/>
      <c r="R608" s="61"/>
      <c r="S608" s="61"/>
      <c r="T608" s="64"/>
    </row>
    <row r="609" spans="3:20" ht="14.1" customHeight="1" x14ac:dyDescent="0.25">
      <c r="C609" s="72"/>
      <c r="D609" s="80"/>
      <c r="Q609" s="61"/>
      <c r="R609" s="61"/>
      <c r="S609" s="61"/>
      <c r="T609" s="64"/>
    </row>
    <row r="610" spans="3:20" ht="14.1" customHeight="1" x14ac:dyDescent="0.25">
      <c r="C610" s="72"/>
      <c r="D610" s="80"/>
      <c r="Q610" s="61"/>
      <c r="R610" s="61"/>
      <c r="S610" s="61"/>
      <c r="T610" s="64"/>
    </row>
    <row r="611" spans="3:20" ht="14.1" customHeight="1" x14ac:dyDescent="0.25">
      <c r="C611" s="72"/>
      <c r="D611" s="80"/>
      <c r="Q611" s="61"/>
      <c r="R611" s="61"/>
      <c r="S611" s="61"/>
      <c r="T611" s="64"/>
    </row>
    <row r="612" spans="3:20" ht="14.1" customHeight="1" x14ac:dyDescent="0.25">
      <c r="C612" s="72"/>
      <c r="D612" s="80"/>
      <c r="Q612" s="61"/>
      <c r="R612" s="61"/>
      <c r="S612" s="61"/>
      <c r="T612" s="64"/>
    </row>
    <row r="613" spans="3:20" ht="14.1" customHeight="1" x14ac:dyDescent="0.25">
      <c r="C613" s="72"/>
      <c r="D613" s="80"/>
      <c r="Q613" s="61"/>
      <c r="R613" s="61"/>
      <c r="S613" s="61"/>
      <c r="T613" s="64"/>
    </row>
    <row r="614" spans="3:20" ht="14.1" customHeight="1" x14ac:dyDescent="0.25">
      <c r="C614" s="72"/>
      <c r="D614" s="80"/>
      <c r="Q614" s="61"/>
      <c r="R614" s="61"/>
      <c r="S614" s="61"/>
      <c r="T614" s="64"/>
    </row>
    <row r="615" spans="3:20" ht="14.1" customHeight="1" x14ac:dyDescent="0.25">
      <c r="C615" s="72"/>
      <c r="D615" s="80"/>
      <c r="Q615" s="61"/>
      <c r="R615" s="61"/>
      <c r="S615" s="61"/>
      <c r="T615" s="64"/>
    </row>
    <row r="616" spans="3:20" ht="14.1" customHeight="1" x14ac:dyDescent="0.25">
      <c r="C616" s="72"/>
      <c r="D616" s="80"/>
      <c r="Q616" s="61"/>
      <c r="R616" s="61"/>
      <c r="S616" s="61"/>
      <c r="T616" s="64"/>
    </row>
    <row r="617" spans="3:20" ht="14.1" customHeight="1" x14ac:dyDescent="0.25">
      <c r="C617" s="72"/>
      <c r="D617" s="80"/>
      <c r="Q617" s="61"/>
      <c r="R617" s="61"/>
      <c r="S617" s="61"/>
      <c r="T617" s="64"/>
    </row>
    <row r="618" spans="3:20" ht="14.1" customHeight="1" x14ac:dyDescent="0.25">
      <c r="C618" s="72"/>
      <c r="D618" s="80"/>
      <c r="Q618" s="61"/>
      <c r="R618" s="61"/>
      <c r="S618" s="61"/>
      <c r="T618" s="64"/>
    </row>
    <row r="619" spans="3:20" ht="14.1" customHeight="1" x14ac:dyDescent="0.25">
      <c r="C619" s="72"/>
      <c r="D619" s="80"/>
      <c r="Q619" s="61"/>
      <c r="R619" s="61"/>
      <c r="S619" s="61"/>
      <c r="T619" s="64"/>
    </row>
    <row r="620" spans="3:20" ht="14.1" customHeight="1" x14ac:dyDescent="0.25">
      <c r="C620" s="72"/>
      <c r="D620" s="73"/>
      <c r="Q620" s="61"/>
      <c r="R620" s="61"/>
      <c r="S620" s="61"/>
      <c r="T620" s="64"/>
    </row>
    <row r="621" spans="3:20" ht="14.1" customHeight="1" x14ac:dyDescent="0.25">
      <c r="C621" s="72"/>
      <c r="D621" s="73"/>
      <c r="Q621" s="61"/>
      <c r="R621" s="61"/>
      <c r="S621" s="61"/>
      <c r="T621" s="64"/>
    </row>
    <row r="622" spans="3:20" ht="14.1" customHeight="1" x14ac:dyDescent="0.25">
      <c r="C622" s="72"/>
      <c r="D622" s="73"/>
      <c r="Q622" s="61"/>
      <c r="R622" s="61"/>
      <c r="S622" s="61"/>
      <c r="T622" s="64"/>
    </row>
    <row r="623" spans="3:20" ht="14.1" customHeight="1" x14ac:dyDescent="0.25">
      <c r="C623" s="72"/>
      <c r="D623" s="73"/>
      <c r="Q623" s="61"/>
      <c r="R623" s="61"/>
      <c r="S623" s="61"/>
      <c r="T623" s="64"/>
    </row>
    <row r="624" spans="3:20" ht="14.1" customHeight="1" x14ac:dyDescent="0.25">
      <c r="C624" s="72"/>
      <c r="D624" s="73"/>
      <c r="Q624" s="61"/>
      <c r="R624" s="61"/>
      <c r="S624" s="61"/>
      <c r="T624" s="64"/>
    </row>
    <row r="625" spans="3:20" ht="14.1" customHeight="1" x14ac:dyDescent="0.25">
      <c r="C625" s="72"/>
      <c r="D625" s="73"/>
      <c r="Q625" s="61"/>
      <c r="R625" s="61"/>
      <c r="S625" s="61"/>
      <c r="T625" s="64"/>
    </row>
    <row r="626" spans="3:20" ht="14.1" customHeight="1" x14ac:dyDescent="0.25">
      <c r="C626" s="72"/>
      <c r="D626" s="73"/>
      <c r="Q626" s="61"/>
      <c r="R626" s="61"/>
      <c r="S626" s="61"/>
      <c r="T626" s="64"/>
    </row>
    <row r="627" spans="3:20" ht="14.1" customHeight="1" x14ac:dyDescent="0.25">
      <c r="C627" s="72"/>
      <c r="D627" s="73"/>
      <c r="Q627" s="61"/>
      <c r="R627" s="61"/>
      <c r="S627" s="61"/>
      <c r="T627" s="64"/>
    </row>
    <row r="628" spans="3:20" ht="14.1" customHeight="1" x14ac:dyDescent="0.25">
      <c r="C628" s="72"/>
      <c r="D628" s="73"/>
      <c r="Q628" s="61"/>
      <c r="R628" s="61"/>
      <c r="S628" s="61"/>
      <c r="T628" s="64"/>
    </row>
    <row r="629" spans="3:20" ht="14.1" customHeight="1" x14ac:dyDescent="0.25">
      <c r="C629" s="72"/>
      <c r="D629" s="73"/>
      <c r="Q629" s="61"/>
      <c r="R629" s="61"/>
      <c r="S629" s="61"/>
      <c r="T629" s="64"/>
    </row>
    <row r="630" spans="3:20" ht="14.1" customHeight="1" x14ac:dyDescent="0.25">
      <c r="C630" s="72"/>
      <c r="D630" s="73"/>
      <c r="Q630" s="61"/>
      <c r="R630" s="61"/>
      <c r="S630" s="61"/>
      <c r="T630" s="64"/>
    </row>
    <row r="631" spans="3:20" ht="14.1" customHeight="1" x14ac:dyDescent="0.25">
      <c r="C631" s="72"/>
      <c r="D631" s="73"/>
      <c r="Q631" s="61"/>
      <c r="R631" s="61"/>
      <c r="S631" s="61"/>
      <c r="T631" s="64"/>
    </row>
    <row r="632" spans="3:20" ht="14.1" customHeight="1" x14ac:dyDescent="0.25">
      <c r="C632" s="72"/>
      <c r="D632" s="73"/>
      <c r="Q632" s="61"/>
      <c r="R632" s="61"/>
      <c r="S632" s="61"/>
      <c r="T632" s="64"/>
    </row>
    <row r="633" spans="3:20" ht="14.1" customHeight="1" x14ac:dyDescent="0.25">
      <c r="C633" s="72"/>
      <c r="D633" s="73"/>
      <c r="Q633" s="61"/>
      <c r="R633" s="61"/>
      <c r="S633" s="61"/>
      <c r="T633" s="64"/>
    </row>
    <row r="634" spans="3:20" ht="14.1" customHeight="1" x14ac:dyDescent="0.25">
      <c r="C634" s="72"/>
      <c r="D634" s="73"/>
      <c r="Q634" s="61"/>
      <c r="R634" s="61"/>
      <c r="S634" s="61"/>
      <c r="T634" s="64"/>
    </row>
    <row r="635" spans="3:20" ht="14.1" customHeight="1" x14ac:dyDescent="0.25">
      <c r="C635" s="72"/>
      <c r="D635" s="73"/>
      <c r="Q635" s="61"/>
      <c r="R635" s="61"/>
      <c r="S635" s="61"/>
      <c r="T635" s="64"/>
    </row>
    <row r="636" spans="3:20" ht="14.1" customHeight="1" x14ac:dyDescent="0.25">
      <c r="C636" s="72"/>
      <c r="D636" s="71"/>
      <c r="Q636" s="61"/>
      <c r="R636" s="61"/>
      <c r="S636" s="61"/>
      <c r="T636" s="64"/>
    </row>
    <row r="637" spans="3:20" ht="14.1" customHeight="1" x14ac:dyDescent="0.25">
      <c r="C637" s="72"/>
      <c r="D637" s="71"/>
      <c r="Q637" s="61"/>
      <c r="R637" s="61"/>
      <c r="S637" s="61"/>
      <c r="T637" s="64"/>
    </row>
    <row r="638" spans="3:20" ht="14.1" customHeight="1" x14ac:dyDescent="0.25">
      <c r="C638" s="72"/>
      <c r="D638" s="73"/>
      <c r="Q638" s="61"/>
      <c r="R638" s="61"/>
      <c r="S638" s="61"/>
      <c r="T638" s="64"/>
    </row>
    <row r="639" spans="3:20" ht="14.1" customHeight="1" x14ac:dyDescent="0.25">
      <c r="C639" s="72"/>
      <c r="D639" s="73"/>
      <c r="Q639" s="61"/>
      <c r="R639" s="61"/>
      <c r="S639" s="61"/>
      <c r="T639" s="64"/>
    </row>
    <row r="640" spans="3:20" ht="14.1" customHeight="1" x14ac:dyDescent="0.25">
      <c r="C640" s="72"/>
      <c r="D640" s="73"/>
      <c r="Q640" s="61"/>
      <c r="R640" s="61"/>
      <c r="S640" s="61"/>
      <c r="T640" s="64"/>
    </row>
    <row r="641" spans="3:20" ht="14.1" customHeight="1" x14ac:dyDescent="0.25">
      <c r="C641" s="72"/>
      <c r="D641" s="73"/>
      <c r="Q641" s="61"/>
      <c r="R641" s="61"/>
      <c r="S641" s="61"/>
      <c r="T641" s="64"/>
    </row>
    <row r="642" spans="3:20" ht="14.1" customHeight="1" x14ac:dyDescent="0.25">
      <c r="C642" s="72"/>
      <c r="D642" s="73"/>
      <c r="Q642" s="61"/>
      <c r="R642" s="61"/>
      <c r="S642" s="61"/>
      <c r="T642" s="64"/>
    </row>
    <row r="643" spans="3:20" ht="14.1" customHeight="1" x14ac:dyDescent="0.25">
      <c r="C643" s="72"/>
      <c r="D643" s="73"/>
      <c r="Q643" s="61"/>
      <c r="R643" s="61"/>
      <c r="S643" s="61"/>
      <c r="T643" s="64"/>
    </row>
    <row r="644" spans="3:20" ht="14.1" customHeight="1" x14ac:dyDescent="0.25">
      <c r="C644" s="72"/>
      <c r="D644" s="73"/>
      <c r="Q644" s="61"/>
      <c r="R644" s="61"/>
      <c r="S644" s="61"/>
      <c r="T644" s="64"/>
    </row>
    <row r="645" spans="3:20" ht="14.1" customHeight="1" x14ac:dyDescent="0.25">
      <c r="C645" s="72"/>
      <c r="D645" s="73"/>
      <c r="Q645" s="61"/>
      <c r="R645" s="61"/>
      <c r="S645" s="61"/>
      <c r="T645" s="64"/>
    </row>
    <row r="646" spans="3:20" ht="14.1" customHeight="1" x14ac:dyDescent="0.25">
      <c r="C646" s="72"/>
      <c r="D646" s="73"/>
      <c r="Q646" s="61"/>
      <c r="R646" s="61"/>
      <c r="S646" s="61"/>
      <c r="T646" s="64"/>
    </row>
    <row r="647" spans="3:20" ht="14.1" customHeight="1" x14ac:dyDescent="0.25">
      <c r="C647" s="72"/>
      <c r="D647" s="73"/>
      <c r="Q647" s="61"/>
      <c r="R647" s="61"/>
      <c r="S647" s="61"/>
      <c r="T647" s="64"/>
    </row>
    <row r="648" spans="3:20" ht="14.1" customHeight="1" x14ac:dyDescent="0.25">
      <c r="C648" s="72"/>
      <c r="D648" s="73"/>
      <c r="Q648" s="61"/>
      <c r="R648" s="61"/>
      <c r="S648" s="61"/>
      <c r="T648" s="64"/>
    </row>
    <row r="649" spans="3:20" ht="14.1" customHeight="1" x14ac:dyDescent="0.25">
      <c r="C649" s="72"/>
      <c r="D649" s="73"/>
      <c r="Q649" s="61"/>
      <c r="R649" s="61"/>
      <c r="S649" s="61"/>
      <c r="T649" s="64"/>
    </row>
    <row r="650" spans="3:20" ht="14.1" customHeight="1" x14ac:dyDescent="0.25">
      <c r="C650" s="72"/>
      <c r="D650" s="73"/>
      <c r="Q650" s="61"/>
      <c r="R650" s="61"/>
      <c r="S650" s="61"/>
      <c r="T650" s="64"/>
    </row>
    <row r="651" spans="3:20" ht="14.1" customHeight="1" x14ac:dyDescent="0.25">
      <c r="C651" s="72"/>
      <c r="D651" s="73"/>
      <c r="Q651" s="61"/>
      <c r="R651" s="61"/>
      <c r="S651" s="61"/>
      <c r="T651" s="64"/>
    </row>
    <row r="652" spans="3:20" ht="14.1" customHeight="1" x14ac:dyDescent="0.25">
      <c r="C652" s="72"/>
      <c r="D652" s="73"/>
      <c r="Q652" s="61"/>
      <c r="R652" s="61"/>
      <c r="S652" s="61"/>
      <c r="T652" s="64"/>
    </row>
    <row r="653" spans="3:20" ht="14.1" customHeight="1" x14ac:dyDescent="0.25">
      <c r="C653" s="72"/>
      <c r="D653" s="73"/>
      <c r="Q653" s="61"/>
      <c r="R653" s="61"/>
      <c r="S653" s="61"/>
      <c r="T653" s="64"/>
    </row>
    <row r="654" spans="3:20" ht="14.1" customHeight="1" x14ac:dyDescent="0.25">
      <c r="C654" s="72"/>
      <c r="D654" s="73"/>
      <c r="Q654" s="61"/>
      <c r="R654" s="61"/>
      <c r="S654" s="61"/>
      <c r="T654" s="64"/>
    </row>
    <row r="655" spans="3:20" ht="14.1" customHeight="1" x14ac:dyDescent="0.25">
      <c r="C655" s="72"/>
      <c r="D655" s="73"/>
      <c r="Q655" s="61"/>
      <c r="R655" s="61"/>
      <c r="S655" s="61"/>
      <c r="T655" s="64"/>
    </row>
    <row r="656" spans="3:20" ht="14.1" customHeight="1" x14ac:dyDescent="0.25">
      <c r="C656" s="72"/>
      <c r="D656" s="73"/>
      <c r="Q656" s="61"/>
      <c r="R656" s="61"/>
      <c r="S656" s="61"/>
      <c r="T656" s="64"/>
    </row>
    <row r="657" spans="3:20" ht="14.1" customHeight="1" x14ac:dyDescent="0.25">
      <c r="C657" s="72"/>
      <c r="D657" s="73"/>
      <c r="Q657" s="61"/>
      <c r="R657" s="61"/>
      <c r="S657" s="61"/>
      <c r="T657" s="64"/>
    </row>
    <row r="658" spans="3:20" ht="14.1" customHeight="1" x14ac:dyDescent="0.25">
      <c r="C658" s="72"/>
      <c r="D658" s="82"/>
      <c r="Q658" s="61"/>
      <c r="R658" s="61"/>
      <c r="S658" s="61"/>
      <c r="T658" s="64"/>
    </row>
    <row r="659" spans="3:20" ht="14.1" customHeight="1" x14ac:dyDescent="0.25">
      <c r="C659" s="72"/>
      <c r="D659" s="82"/>
      <c r="Q659" s="61"/>
      <c r="R659" s="61"/>
      <c r="S659" s="61"/>
      <c r="T659" s="64"/>
    </row>
    <row r="660" spans="3:20" ht="14.1" customHeight="1" x14ac:dyDescent="0.25">
      <c r="C660" s="72"/>
      <c r="D660" s="82"/>
      <c r="Q660" s="61"/>
      <c r="R660" s="61"/>
      <c r="S660" s="61"/>
      <c r="T660" s="64"/>
    </row>
    <row r="661" spans="3:20" ht="14.1" customHeight="1" x14ac:dyDescent="0.25">
      <c r="C661" s="72"/>
      <c r="D661" s="73"/>
      <c r="Q661" s="61"/>
      <c r="R661" s="61"/>
      <c r="S661" s="61"/>
      <c r="T661" s="64"/>
    </row>
    <row r="662" spans="3:20" ht="14.1" customHeight="1" x14ac:dyDescent="0.25">
      <c r="C662" s="74"/>
      <c r="D662" s="73"/>
      <c r="Q662" s="61"/>
      <c r="R662" s="61"/>
      <c r="S662" s="61"/>
      <c r="T662" s="64"/>
    </row>
    <row r="663" spans="3:20" ht="14.1" customHeight="1" x14ac:dyDescent="0.25">
      <c r="C663" s="70"/>
      <c r="D663" s="71"/>
      <c r="Q663" s="61"/>
      <c r="R663" s="61"/>
      <c r="S663" s="61"/>
      <c r="T663" s="64"/>
    </row>
    <row r="664" spans="3:20" ht="14.1" customHeight="1" x14ac:dyDescent="0.25">
      <c r="C664" s="72"/>
      <c r="D664" s="73"/>
      <c r="Q664" s="61"/>
      <c r="R664" s="61"/>
      <c r="S664" s="61"/>
      <c r="T664" s="64"/>
    </row>
    <row r="665" spans="3:20" ht="14.1" customHeight="1" x14ac:dyDescent="0.25">
      <c r="C665" s="72"/>
      <c r="D665" s="73"/>
      <c r="Q665" s="61"/>
      <c r="R665" s="61"/>
      <c r="S665" s="61"/>
      <c r="T665" s="64"/>
    </row>
    <row r="666" spans="3:20" ht="14.1" customHeight="1" x14ac:dyDescent="0.25">
      <c r="C666" s="72"/>
      <c r="D666" s="73"/>
      <c r="Q666" s="61"/>
      <c r="R666" s="61"/>
      <c r="S666" s="61"/>
      <c r="T666" s="64"/>
    </row>
    <row r="667" spans="3:20" ht="14.1" customHeight="1" x14ac:dyDescent="0.25">
      <c r="C667" s="72"/>
      <c r="D667" s="73"/>
      <c r="Q667" s="61"/>
      <c r="R667" s="61"/>
      <c r="S667" s="61"/>
      <c r="T667" s="64"/>
    </row>
    <row r="668" spans="3:20" ht="14.1" customHeight="1" x14ac:dyDescent="0.25">
      <c r="C668" s="72"/>
      <c r="D668" s="73"/>
      <c r="Q668" s="61"/>
      <c r="R668" s="61"/>
      <c r="S668" s="61"/>
      <c r="T668" s="64"/>
    </row>
    <row r="669" spans="3:20" ht="14.1" customHeight="1" x14ac:dyDescent="0.25">
      <c r="C669" s="72"/>
      <c r="D669" s="73"/>
      <c r="Q669" s="61"/>
      <c r="R669" s="61"/>
      <c r="S669" s="61"/>
      <c r="T669" s="64"/>
    </row>
    <row r="670" spans="3:20" ht="14.1" customHeight="1" x14ac:dyDescent="0.25">
      <c r="C670" s="72"/>
      <c r="D670" s="73"/>
      <c r="Q670" s="61"/>
      <c r="R670" s="61"/>
      <c r="S670" s="61"/>
      <c r="T670" s="64"/>
    </row>
    <row r="671" spans="3:20" ht="14.1" customHeight="1" x14ac:dyDescent="0.25">
      <c r="C671" s="72"/>
      <c r="D671" s="73"/>
      <c r="Q671" s="61"/>
      <c r="R671" s="61"/>
      <c r="S671" s="61"/>
      <c r="T671" s="64"/>
    </row>
    <row r="672" spans="3:20" ht="14.1" customHeight="1" x14ac:dyDescent="0.25">
      <c r="C672" s="72"/>
      <c r="D672" s="73"/>
      <c r="Q672" s="61"/>
      <c r="R672" s="61"/>
      <c r="S672" s="61"/>
      <c r="T672" s="64"/>
    </row>
    <row r="673" spans="3:20" ht="14.1" customHeight="1" x14ac:dyDescent="0.25">
      <c r="C673" s="72"/>
      <c r="D673" s="73"/>
      <c r="Q673" s="61"/>
      <c r="R673" s="61"/>
      <c r="S673" s="61"/>
      <c r="T673" s="64"/>
    </row>
    <row r="674" spans="3:20" ht="14.1" customHeight="1" x14ac:dyDescent="0.25">
      <c r="C674" s="72"/>
      <c r="D674" s="73"/>
      <c r="Q674" s="61"/>
      <c r="R674" s="61"/>
      <c r="S674" s="61"/>
      <c r="T674" s="64"/>
    </row>
    <row r="675" spans="3:20" ht="14.1" customHeight="1" x14ac:dyDescent="0.25">
      <c r="C675" s="72"/>
      <c r="D675" s="73"/>
      <c r="Q675" s="61"/>
      <c r="R675" s="61"/>
      <c r="S675" s="61"/>
      <c r="T675" s="64"/>
    </row>
    <row r="676" spans="3:20" ht="14.1" customHeight="1" x14ac:dyDescent="0.25">
      <c r="C676" s="72"/>
      <c r="D676" s="73"/>
      <c r="Q676" s="61"/>
      <c r="R676" s="61"/>
      <c r="S676" s="61"/>
      <c r="T676" s="64"/>
    </row>
    <row r="677" spans="3:20" ht="14.1" customHeight="1" x14ac:dyDescent="0.25">
      <c r="C677" s="72"/>
      <c r="D677" s="73"/>
      <c r="Q677" s="61"/>
      <c r="R677" s="61"/>
      <c r="S677" s="61"/>
      <c r="T677" s="64"/>
    </row>
    <row r="678" spans="3:20" ht="14.1" customHeight="1" x14ac:dyDescent="0.25">
      <c r="C678" s="72"/>
      <c r="D678" s="73"/>
      <c r="Q678" s="61"/>
      <c r="R678" s="61"/>
      <c r="S678" s="61"/>
      <c r="T678" s="64"/>
    </row>
    <row r="679" spans="3:20" ht="14.1" customHeight="1" x14ac:dyDescent="0.25">
      <c r="C679" s="72"/>
      <c r="D679" s="71"/>
      <c r="Q679" s="61"/>
      <c r="R679" s="61"/>
      <c r="S679" s="61"/>
      <c r="T679" s="64"/>
    </row>
    <row r="680" spans="3:20" ht="14.1" customHeight="1" x14ac:dyDescent="0.25">
      <c r="C680" s="72"/>
      <c r="D680" s="73"/>
      <c r="Q680" s="61"/>
      <c r="R680" s="61"/>
      <c r="S680" s="61"/>
      <c r="T680" s="64"/>
    </row>
    <row r="681" spans="3:20" ht="14.1" customHeight="1" x14ac:dyDescent="0.25">
      <c r="C681" s="72"/>
      <c r="D681" s="73"/>
      <c r="Q681" s="61"/>
      <c r="R681" s="61"/>
      <c r="S681" s="61"/>
      <c r="T681" s="64"/>
    </row>
    <row r="682" spans="3:20" ht="14.1" customHeight="1" x14ac:dyDescent="0.25">
      <c r="C682" s="72"/>
      <c r="D682" s="73"/>
      <c r="Q682" s="61"/>
      <c r="R682" s="61"/>
      <c r="S682" s="61"/>
      <c r="T682" s="64"/>
    </row>
    <row r="683" spans="3:20" ht="14.1" customHeight="1" x14ac:dyDescent="0.25">
      <c r="C683" s="72"/>
      <c r="D683" s="73"/>
      <c r="Q683" s="61"/>
      <c r="R683" s="61"/>
      <c r="S683" s="61"/>
      <c r="T683" s="64"/>
    </row>
    <row r="684" spans="3:20" ht="14.1" customHeight="1" x14ac:dyDescent="0.25">
      <c r="C684" s="72"/>
      <c r="D684" s="73"/>
      <c r="Q684" s="61"/>
      <c r="R684" s="61"/>
      <c r="S684" s="61"/>
      <c r="T684" s="64"/>
    </row>
    <row r="685" spans="3:20" ht="14.1" customHeight="1" x14ac:dyDescent="0.25">
      <c r="C685" s="72"/>
      <c r="D685" s="73"/>
      <c r="Q685" s="61"/>
      <c r="R685" s="61"/>
      <c r="S685" s="61"/>
      <c r="T685" s="64"/>
    </row>
    <row r="686" spans="3:20" ht="14.1" customHeight="1" x14ac:dyDescent="0.25">
      <c r="C686" s="72"/>
      <c r="D686" s="73"/>
      <c r="M686" s="5"/>
      <c r="N686" s="65"/>
      <c r="Q686" s="61"/>
      <c r="R686" s="61"/>
      <c r="S686" s="61"/>
      <c r="T686" s="64"/>
    </row>
    <row r="687" spans="3:20" ht="14.1" customHeight="1" x14ac:dyDescent="0.25">
      <c r="C687" s="72"/>
      <c r="D687" s="73"/>
      <c r="Q687" s="61"/>
      <c r="R687" s="61"/>
      <c r="S687" s="61"/>
      <c r="T687" s="64"/>
    </row>
    <row r="688" spans="3:20" ht="14.1" customHeight="1" x14ac:dyDescent="0.25">
      <c r="C688" s="72"/>
      <c r="D688" s="73"/>
      <c r="Q688" s="61"/>
      <c r="R688" s="61"/>
      <c r="S688" s="61"/>
      <c r="T688" s="64"/>
    </row>
    <row r="689" spans="3:20" ht="14.1" customHeight="1" x14ac:dyDescent="0.25">
      <c r="C689" s="72"/>
      <c r="D689" s="73"/>
      <c r="Q689" s="61"/>
      <c r="R689" s="61"/>
      <c r="S689" s="61"/>
      <c r="T689" s="64"/>
    </row>
    <row r="690" spans="3:20" ht="14.1" customHeight="1" x14ac:dyDescent="0.25">
      <c r="C690" s="72"/>
      <c r="D690" s="73"/>
      <c r="Q690" s="61"/>
      <c r="R690" s="61"/>
      <c r="S690" s="61"/>
      <c r="T690" s="64"/>
    </row>
    <row r="691" spans="3:20" ht="14.1" customHeight="1" x14ac:dyDescent="0.25">
      <c r="C691" s="72"/>
      <c r="D691" s="73"/>
      <c r="Q691" s="61"/>
      <c r="R691" s="61"/>
      <c r="S691" s="61"/>
      <c r="T691" s="64"/>
    </row>
    <row r="692" spans="3:20" ht="14.1" customHeight="1" x14ac:dyDescent="0.25">
      <c r="C692" s="72"/>
      <c r="D692" s="73"/>
      <c r="Q692" s="61"/>
      <c r="R692" s="61"/>
      <c r="S692" s="61"/>
      <c r="T692" s="64"/>
    </row>
    <row r="693" spans="3:20" ht="14.1" customHeight="1" x14ac:dyDescent="0.25">
      <c r="C693" s="72"/>
      <c r="D693" s="73"/>
      <c r="Q693" s="61"/>
      <c r="R693" s="61"/>
      <c r="S693" s="61"/>
      <c r="T693" s="64"/>
    </row>
    <row r="694" spans="3:20" ht="14.1" customHeight="1" x14ac:dyDescent="0.25">
      <c r="C694" s="72"/>
      <c r="D694" s="73"/>
      <c r="Q694" s="61"/>
      <c r="R694" s="61"/>
      <c r="S694" s="61"/>
      <c r="T694" s="64"/>
    </row>
    <row r="695" spans="3:20" ht="14.1" customHeight="1" x14ac:dyDescent="0.25">
      <c r="C695" s="72"/>
      <c r="D695" s="73"/>
      <c r="Q695" s="61"/>
      <c r="R695" s="61"/>
      <c r="S695" s="61"/>
      <c r="T695" s="64"/>
    </row>
    <row r="696" spans="3:20" ht="14.1" customHeight="1" x14ac:dyDescent="0.25">
      <c r="C696" s="72"/>
      <c r="D696" s="73"/>
      <c r="Q696" s="61"/>
      <c r="R696" s="61"/>
      <c r="S696" s="61"/>
      <c r="T696" s="64"/>
    </row>
    <row r="697" spans="3:20" ht="14.1" customHeight="1" x14ac:dyDescent="0.25">
      <c r="C697" s="72"/>
      <c r="D697" s="73"/>
      <c r="Q697" s="61"/>
      <c r="R697" s="61"/>
      <c r="S697" s="61"/>
      <c r="T697" s="64"/>
    </row>
    <row r="698" spans="3:20" ht="14.1" customHeight="1" x14ac:dyDescent="0.25">
      <c r="C698" s="72"/>
      <c r="D698" s="73"/>
      <c r="Q698" s="61"/>
      <c r="R698" s="61"/>
      <c r="S698" s="61"/>
      <c r="T698" s="64"/>
    </row>
    <row r="699" spans="3:20" ht="14.1" customHeight="1" x14ac:dyDescent="0.25">
      <c r="C699" s="72"/>
      <c r="D699" s="73"/>
      <c r="Q699" s="61"/>
      <c r="R699" s="61"/>
      <c r="S699" s="61"/>
      <c r="T699" s="64"/>
    </row>
    <row r="700" spans="3:20" ht="14.1" customHeight="1" x14ac:dyDescent="0.25">
      <c r="C700" s="72"/>
      <c r="D700" s="73"/>
      <c r="Q700" s="61"/>
      <c r="R700" s="61"/>
      <c r="S700" s="61"/>
      <c r="T700" s="64"/>
    </row>
    <row r="701" spans="3:20" ht="14.1" customHeight="1" x14ac:dyDescent="0.25">
      <c r="C701" s="72"/>
      <c r="D701" s="73"/>
      <c r="Q701" s="61"/>
      <c r="R701" s="61"/>
      <c r="S701" s="61"/>
      <c r="T701" s="64"/>
    </row>
    <row r="702" spans="3:20" ht="14.1" customHeight="1" x14ac:dyDescent="0.25">
      <c r="C702" s="72"/>
      <c r="D702" s="73"/>
      <c r="Q702" s="61"/>
      <c r="R702" s="61"/>
      <c r="S702" s="61"/>
      <c r="T702" s="64"/>
    </row>
    <row r="703" spans="3:20" ht="14.1" customHeight="1" x14ac:dyDescent="0.25">
      <c r="C703" s="72"/>
      <c r="D703" s="73"/>
      <c r="Q703" s="61"/>
      <c r="R703" s="61"/>
      <c r="S703" s="61"/>
      <c r="T703" s="64"/>
    </row>
    <row r="704" spans="3:20" ht="14.1" customHeight="1" x14ac:dyDescent="0.25">
      <c r="C704" s="72"/>
      <c r="D704" s="73"/>
      <c r="Q704" s="61"/>
      <c r="R704" s="61"/>
      <c r="S704" s="61"/>
      <c r="T704" s="64"/>
    </row>
    <row r="705" spans="3:20" ht="14.1" customHeight="1" x14ac:dyDescent="0.25">
      <c r="C705" s="72"/>
      <c r="D705" s="73"/>
      <c r="Q705" s="61"/>
      <c r="R705" s="61"/>
      <c r="S705" s="61"/>
      <c r="T705" s="64"/>
    </row>
    <row r="706" spans="3:20" ht="14.1" customHeight="1" x14ac:dyDescent="0.25">
      <c r="C706" s="72"/>
      <c r="D706" s="73"/>
      <c r="Q706" s="61"/>
      <c r="R706" s="61"/>
      <c r="S706" s="61"/>
      <c r="T706" s="64"/>
    </row>
    <row r="707" spans="3:20" ht="14.1" customHeight="1" x14ac:dyDescent="0.25">
      <c r="C707" s="72"/>
      <c r="D707" s="73"/>
      <c r="Q707" s="61"/>
      <c r="R707" s="61"/>
      <c r="S707" s="61"/>
      <c r="T707" s="64"/>
    </row>
    <row r="708" spans="3:20" ht="14.1" customHeight="1" x14ac:dyDescent="0.25">
      <c r="C708" s="72"/>
      <c r="D708" s="73"/>
      <c r="Q708" s="61"/>
      <c r="R708" s="61"/>
      <c r="S708" s="61"/>
      <c r="T708" s="64"/>
    </row>
    <row r="709" spans="3:20" ht="14.1" customHeight="1" x14ac:dyDescent="0.25">
      <c r="C709" s="72"/>
      <c r="D709" s="73"/>
      <c r="Q709" s="61"/>
      <c r="R709" s="61"/>
      <c r="S709" s="61"/>
      <c r="T709" s="64"/>
    </row>
    <row r="710" spans="3:20" ht="14.1" customHeight="1" x14ac:dyDescent="0.25">
      <c r="C710" s="72"/>
      <c r="D710" s="73"/>
      <c r="Q710" s="61"/>
      <c r="R710" s="61"/>
      <c r="S710" s="61"/>
      <c r="T710" s="64"/>
    </row>
    <row r="711" spans="3:20" ht="14.1" customHeight="1" x14ac:dyDescent="0.25">
      <c r="C711" s="72"/>
      <c r="D711" s="73"/>
      <c r="Q711" s="61"/>
      <c r="R711" s="61"/>
      <c r="S711" s="61"/>
      <c r="T711" s="64"/>
    </row>
    <row r="712" spans="3:20" ht="14.1" customHeight="1" x14ac:dyDescent="0.25">
      <c r="C712" s="72"/>
      <c r="D712" s="73"/>
      <c r="Q712" s="61"/>
      <c r="R712" s="61"/>
      <c r="S712" s="61"/>
      <c r="T712" s="64"/>
    </row>
    <row r="713" spans="3:20" ht="14.1" customHeight="1" x14ac:dyDescent="0.25">
      <c r="C713" s="72"/>
      <c r="D713" s="73"/>
      <c r="Q713" s="61"/>
      <c r="R713" s="61"/>
      <c r="S713" s="61"/>
      <c r="T713" s="64"/>
    </row>
    <row r="714" spans="3:20" ht="14.1" customHeight="1" x14ac:dyDescent="0.25">
      <c r="C714" s="72"/>
      <c r="D714" s="73"/>
      <c r="Q714" s="61"/>
      <c r="R714" s="61"/>
      <c r="S714" s="61"/>
      <c r="T714" s="64"/>
    </row>
    <row r="715" spans="3:20" ht="14.1" customHeight="1" x14ac:dyDescent="0.25">
      <c r="C715" s="72"/>
      <c r="D715" s="73"/>
      <c r="Q715" s="61"/>
      <c r="R715" s="61"/>
      <c r="S715" s="61"/>
      <c r="T715" s="64"/>
    </row>
    <row r="716" spans="3:20" ht="14.1" customHeight="1" x14ac:dyDescent="0.25">
      <c r="C716" s="72"/>
      <c r="D716" s="73"/>
      <c r="Q716" s="61"/>
      <c r="R716" s="61"/>
      <c r="S716" s="61"/>
      <c r="T716" s="64"/>
    </row>
    <row r="717" spans="3:20" ht="14.1" customHeight="1" x14ac:dyDescent="0.25">
      <c r="C717" s="72"/>
      <c r="D717" s="73"/>
      <c r="Q717" s="61"/>
      <c r="R717" s="61"/>
      <c r="S717" s="61"/>
      <c r="T717" s="64"/>
    </row>
    <row r="718" spans="3:20" ht="14.1" customHeight="1" x14ac:dyDescent="0.25">
      <c r="C718" s="72"/>
      <c r="D718" s="73"/>
      <c r="Q718" s="61"/>
      <c r="R718" s="61"/>
      <c r="S718" s="61"/>
      <c r="T718" s="64"/>
    </row>
    <row r="719" spans="3:20" ht="14.1" customHeight="1" x14ac:dyDescent="0.25">
      <c r="C719" s="72"/>
      <c r="D719" s="73"/>
      <c r="Q719" s="61"/>
      <c r="R719" s="61"/>
      <c r="S719" s="61"/>
      <c r="T719" s="64"/>
    </row>
    <row r="720" spans="3:20" ht="14.1" customHeight="1" x14ac:dyDescent="0.25">
      <c r="C720" s="72"/>
      <c r="D720" s="73"/>
      <c r="Q720" s="61"/>
      <c r="R720" s="61"/>
      <c r="S720" s="61"/>
      <c r="T720" s="64"/>
    </row>
    <row r="721" spans="3:20" ht="14.1" customHeight="1" x14ac:dyDescent="0.25">
      <c r="C721" s="72"/>
      <c r="D721" s="73"/>
      <c r="Q721" s="61"/>
      <c r="R721" s="61"/>
      <c r="S721" s="61"/>
      <c r="T721" s="64"/>
    </row>
    <row r="722" spans="3:20" ht="14.1" customHeight="1" x14ac:dyDescent="0.25">
      <c r="C722" s="72"/>
      <c r="D722" s="73"/>
      <c r="Q722" s="61"/>
      <c r="R722" s="61"/>
      <c r="S722" s="61"/>
      <c r="T722" s="64"/>
    </row>
    <row r="723" spans="3:20" ht="14.1" customHeight="1" x14ac:dyDescent="0.25">
      <c r="C723" s="72"/>
      <c r="D723" s="73"/>
      <c r="Q723" s="61"/>
      <c r="R723" s="61"/>
      <c r="S723" s="61"/>
      <c r="T723" s="64"/>
    </row>
    <row r="724" spans="3:20" ht="14.1" customHeight="1" x14ac:dyDescent="0.25">
      <c r="C724" s="72"/>
      <c r="D724" s="73"/>
      <c r="Q724" s="61"/>
      <c r="R724" s="61"/>
      <c r="S724" s="61"/>
      <c r="T724" s="64"/>
    </row>
    <row r="725" spans="3:20" ht="14.1" customHeight="1" x14ac:dyDescent="0.25">
      <c r="C725" s="72"/>
      <c r="D725" s="73"/>
      <c r="Q725" s="61"/>
      <c r="R725" s="61"/>
      <c r="S725" s="61"/>
      <c r="T725" s="64"/>
    </row>
    <row r="726" spans="3:20" ht="14.1" customHeight="1" x14ac:dyDescent="0.25">
      <c r="C726" s="72"/>
      <c r="D726" s="73"/>
      <c r="Q726" s="61"/>
      <c r="R726" s="61"/>
      <c r="S726" s="61"/>
      <c r="T726" s="64"/>
    </row>
    <row r="727" spans="3:20" ht="14.1" customHeight="1" x14ac:dyDescent="0.25">
      <c r="C727" s="72"/>
      <c r="D727" s="73"/>
      <c r="Q727" s="61"/>
      <c r="R727" s="61"/>
      <c r="S727" s="61"/>
      <c r="T727" s="64"/>
    </row>
    <row r="728" spans="3:20" ht="14.1" customHeight="1" x14ac:dyDescent="0.25">
      <c r="C728" s="72"/>
      <c r="D728" s="73"/>
      <c r="Q728" s="61"/>
      <c r="R728" s="61"/>
      <c r="S728" s="61"/>
      <c r="T728" s="64"/>
    </row>
    <row r="729" spans="3:20" ht="14.1" customHeight="1" x14ac:dyDescent="0.25">
      <c r="C729" s="72"/>
      <c r="D729" s="73"/>
      <c r="Q729" s="61"/>
      <c r="R729" s="61"/>
      <c r="S729" s="61"/>
      <c r="T729" s="64"/>
    </row>
    <row r="730" spans="3:20" ht="14.1" customHeight="1" x14ac:dyDescent="0.25">
      <c r="C730" s="72"/>
      <c r="D730" s="73"/>
      <c r="Q730" s="61"/>
      <c r="R730" s="61"/>
      <c r="S730" s="61"/>
      <c r="T730" s="64"/>
    </row>
    <row r="731" spans="3:20" ht="14.1" customHeight="1" x14ac:dyDescent="0.25">
      <c r="C731" s="72"/>
      <c r="D731" s="73"/>
      <c r="Q731" s="61"/>
      <c r="R731" s="61"/>
      <c r="S731" s="61"/>
      <c r="T731" s="64"/>
    </row>
    <row r="732" spans="3:20" ht="14.1" customHeight="1" x14ac:dyDescent="0.25">
      <c r="C732" s="72"/>
      <c r="D732" s="73"/>
      <c r="Q732" s="61"/>
      <c r="R732" s="61"/>
      <c r="S732" s="61"/>
      <c r="T732" s="64"/>
    </row>
    <row r="733" spans="3:20" ht="14.1" customHeight="1" x14ac:dyDescent="0.25">
      <c r="C733" s="72"/>
      <c r="D733" s="71"/>
      <c r="Q733" s="61"/>
      <c r="R733" s="61"/>
      <c r="S733" s="61"/>
      <c r="T733" s="64"/>
    </row>
    <row r="734" spans="3:20" ht="14.1" customHeight="1" x14ac:dyDescent="0.25">
      <c r="C734" s="72"/>
      <c r="D734" s="71"/>
      <c r="Q734" s="61"/>
      <c r="R734" s="61"/>
      <c r="S734" s="61"/>
      <c r="T734" s="64"/>
    </row>
    <row r="735" spans="3:20" ht="14.1" customHeight="1" x14ac:dyDescent="0.25">
      <c r="C735" s="72"/>
      <c r="D735" s="71"/>
      <c r="Q735" s="61"/>
      <c r="R735" s="61"/>
      <c r="S735" s="61"/>
      <c r="T735" s="64"/>
    </row>
    <row r="736" spans="3:20" ht="14.1" customHeight="1" x14ac:dyDescent="0.25">
      <c r="C736" s="72"/>
      <c r="D736" s="71"/>
      <c r="Q736" s="61"/>
      <c r="R736" s="61"/>
      <c r="S736" s="61"/>
      <c r="T736" s="64"/>
    </row>
    <row r="737" spans="3:20" ht="14.1" customHeight="1" x14ac:dyDescent="0.25">
      <c r="C737" s="72"/>
      <c r="D737" s="71"/>
      <c r="Q737" s="61"/>
      <c r="R737" s="61"/>
      <c r="S737" s="61"/>
      <c r="T737" s="64"/>
    </row>
    <row r="738" spans="3:20" ht="14.1" customHeight="1" x14ac:dyDescent="0.25">
      <c r="C738" s="72"/>
      <c r="D738" s="71"/>
      <c r="Q738" s="61"/>
      <c r="R738" s="61"/>
      <c r="S738" s="61"/>
      <c r="T738" s="64"/>
    </row>
    <row r="739" spans="3:20" ht="14.1" customHeight="1" x14ac:dyDescent="0.25">
      <c r="C739" s="72"/>
      <c r="D739" s="71"/>
      <c r="Q739" s="61"/>
      <c r="R739" s="61"/>
      <c r="S739" s="61"/>
      <c r="T739" s="64"/>
    </row>
    <row r="740" spans="3:20" ht="14.1" customHeight="1" x14ac:dyDescent="0.25">
      <c r="C740" s="72"/>
      <c r="D740" s="73"/>
      <c r="Q740" s="61"/>
      <c r="R740" s="61"/>
      <c r="S740" s="61"/>
      <c r="T740" s="64"/>
    </row>
    <row r="741" spans="3:20" ht="14.1" customHeight="1" x14ac:dyDescent="0.25">
      <c r="C741" s="72"/>
      <c r="D741" s="73"/>
      <c r="Q741" s="61"/>
      <c r="R741" s="61"/>
      <c r="S741" s="61"/>
      <c r="T741" s="64"/>
    </row>
    <row r="742" spans="3:20" ht="14.1" customHeight="1" x14ac:dyDescent="0.25">
      <c r="C742" s="72"/>
      <c r="D742" s="73"/>
      <c r="Q742" s="61"/>
      <c r="R742" s="61"/>
      <c r="S742" s="61"/>
      <c r="T742" s="64"/>
    </row>
    <row r="743" spans="3:20" ht="14.1" customHeight="1" x14ac:dyDescent="0.25">
      <c r="C743" s="72"/>
      <c r="D743" s="73"/>
      <c r="Q743" s="61"/>
      <c r="R743" s="61"/>
      <c r="S743" s="61"/>
      <c r="T743" s="64"/>
    </row>
    <row r="744" spans="3:20" ht="14.1" customHeight="1" x14ac:dyDescent="0.25">
      <c r="C744" s="72"/>
      <c r="D744" s="73"/>
      <c r="Q744" s="61"/>
      <c r="R744" s="61"/>
      <c r="S744" s="61"/>
      <c r="T744" s="64"/>
    </row>
    <row r="745" spans="3:20" ht="14.1" customHeight="1" x14ac:dyDescent="0.25">
      <c r="C745" s="72"/>
      <c r="D745" s="73"/>
      <c r="Q745" s="61"/>
      <c r="R745" s="61"/>
      <c r="S745" s="61"/>
      <c r="T745" s="64"/>
    </row>
    <row r="746" spans="3:20" ht="14.1" customHeight="1" x14ac:dyDescent="0.25">
      <c r="C746" s="72"/>
      <c r="D746" s="73"/>
      <c r="Q746" s="61"/>
      <c r="R746" s="61"/>
      <c r="S746" s="61"/>
      <c r="T746" s="64"/>
    </row>
    <row r="747" spans="3:20" ht="14.1" customHeight="1" x14ac:dyDescent="0.25">
      <c r="C747" s="72"/>
      <c r="D747" s="73"/>
      <c r="Q747" s="61"/>
      <c r="R747" s="61"/>
      <c r="S747" s="61"/>
      <c r="T747" s="64"/>
    </row>
    <row r="748" spans="3:20" ht="14.1" customHeight="1" x14ac:dyDescent="0.25">
      <c r="C748" s="72"/>
      <c r="D748" s="73"/>
      <c r="Q748" s="61"/>
      <c r="R748" s="61"/>
      <c r="S748" s="61"/>
      <c r="T748" s="64"/>
    </row>
    <row r="749" spans="3:20" ht="14.1" customHeight="1" x14ac:dyDescent="0.25">
      <c r="C749" s="72"/>
      <c r="D749" s="73"/>
      <c r="Q749" s="61"/>
      <c r="R749" s="61"/>
      <c r="S749" s="61"/>
      <c r="T749" s="64"/>
    </row>
    <row r="750" spans="3:20" ht="14.1" customHeight="1" x14ac:dyDescent="0.25">
      <c r="C750" s="72"/>
      <c r="D750" s="73"/>
      <c r="Q750" s="61"/>
      <c r="R750" s="61"/>
      <c r="S750" s="61"/>
      <c r="T750" s="64"/>
    </row>
    <row r="751" spans="3:20" ht="14.1" customHeight="1" x14ac:dyDescent="0.25">
      <c r="C751" s="72"/>
      <c r="D751" s="73"/>
      <c r="Q751" s="61"/>
      <c r="R751" s="61"/>
      <c r="S751" s="61"/>
      <c r="T751" s="64"/>
    </row>
    <row r="752" spans="3:20" ht="14.1" customHeight="1" x14ac:dyDescent="0.25">
      <c r="C752" s="72"/>
      <c r="D752" s="73"/>
      <c r="Q752" s="61"/>
      <c r="R752" s="61"/>
      <c r="S752" s="61"/>
      <c r="T752" s="64"/>
    </row>
    <row r="753" spans="3:20" ht="14.1" customHeight="1" x14ac:dyDescent="0.25">
      <c r="C753" s="72"/>
      <c r="D753" s="73"/>
      <c r="Q753" s="61"/>
      <c r="R753" s="61"/>
      <c r="S753" s="61"/>
      <c r="T753" s="64"/>
    </row>
    <row r="754" spans="3:20" ht="14.1" customHeight="1" x14ac:dyDescent="0.25">
      <c r="C754" s="72"/>
      <c r="D754" s="73"/>
      <c r="Q754" s="61"/>
      <c r="R754" s="61"/>
      <c r="S754" s="61"/>
      <c r="T754" s="64"/>
    </row>
    <row r="755" spans="3:20" ht="14.1" customHeight="1" x14ac:dyDescent="0.25">
      <c r="C755" s="72"/>
      <c r="D755" s="73"/>
      <c r="Q755" s="61"/>
      <c r="R755" s="61"/>
      <c r="S755" s="61"/>
      <c r="T755" s="64"/>
    </row>
    <row r="756" spans="3:20" ht="14.1" customHeight="1" x14ac:dyDescent="0.25">
      <c r="C756" s="72"/>
      <c r="D756" s="73"/>
      <c r="Q756" s="61"/>
      <c r="R756" s="61"/>
      <c r="S756" s="61"/>
      <c r="T756" s="64"/>
    </row>
    <row r="757" spans="3:20" ht="14.1" customHeight="1" x14ac:dyDescent="0.25">
      <c r="C757" s="72"/>
      <c r="D757" s="73"/>
      <c r="Q757" s="61"/>
      <c r="R757" s="61"/>
      <c r="S757" s="61"/>
      <c r="T757" s="64"/>
    </row>
    <row r="758" spans="3:20" ht="14.1" customHeight="1" x14ac:dyDescent="0.25">
      <c r="C758" s="72"/>
      <c r="D758" s="73"/>
      <c r="Q758" s="61"/>
      <c r="R758" s="61"/>
      <c r="S758" s="61"/>
      <c r="T758" s="64"/>
    </row>
    <row r="759" spans="3:20" ht="14.1" customHeight="1" x14ac:dyDescent="0.25">
      <c r="C759" s="72"/>
      <c r="D759" s="73"/>
      <c r="Q759" s="61"/>
      <c r="R759" s="61"/>
      <c r="S759" s="61"/>
      <c r="T759" s="64"/>
    </row>
    <row r="760" spans="3:20" ht="14.1" customHeight="1" x14ac:dyDescent="0.25">
      <c r="C760" s="72"/>
      <c r="D760" s="73"/>
      <c r="Q760" s="61"/>
      <c r="R760" s="61"/>
      <c r="S760" s="61"/>
      <c r="T760" s="64"/>
    </row>
    <row r="761" spans="3:20" ht="14.1" customHeight="1" x14ac:dyDescent="0.25">
      <c r="C761" s="72"/>
      <c r="D761" s="73"/>
      <c r="Q761" s="61"/>
      <c r="R761" s="61"/>
      <c r="S761" s="61"/>
      <c r="T761" s="64"/>
    </row>
    <row r="762" spans="3:20" ht="14.1" customHeight="1" x14ac:dyDescent="0.25">
      <c r="C762" s="72"/>
      <c r="D762" s="73"/>
      <c r="Q762" s="61"/>
      <c r="R762" s="61"/>
      <c r="S762" s="61"/>
      <c r="T762" s="64"/>
    </row>
    <row r="763" spans="3:20" ht="14.1" customHeight="1" x14ac:dyDescent="0.25">
      <c r="C763" s="72"/>
      <c r="D763" s="73"/>
      <c r="Q763" s="61"/>
      <c r="R763" s="61"/>
      <c r="S763" s="61"/>
      <c r="T763" s="64"/>
    </row>
    <row r="764" spans="3:20" ht="14.1" customHeight="1" x14ac:dyDescent="0.25">
      <c r="C764" s="72"/>
      <c r="D764" s="73"/>
      <c r="Q764" s="61"/>
      <c r="R764" s="61"/>
      <c r="S764" s="61"/>
      <c r="T764" s="64"/>
    </row>
    <row r="765" spans="3:20" ht="14.1" customHeight="1" x14ac:dyDescent="0.25">
      <c r="C765" s="72"/>
      <c r="D765" s="73"/>
      <c r="Q765" s="61"/>
      <c r="R765" s="61"/>
      <c r="S765" s="61"/>
      <c r="T765" s="64"/>
    </row>
    <row r="766" spans="3:20" ht="14.1" customHeight="1" x14ac:dyDescent="0.25">
      <c r="C766" s="72"/>
      <c r="D766" s="73"/>
      <c r="Q766" s="61"/>
      <c r="R766" s="61"/>
      <c r="S766" s="61"/>
      <c r="T766" s="64"/>
    </row>
    <row r="767" spans="3:20" ht="14.1" customHeight="1" x14ac:dyDescent="0.25">
      <c r="C767" s="72"/>
      <c r="D767" s="73"/>
      <c r="Q767" s="61"/>
      <c r="R767" s="61"/>
      <c r="S767" s="61"/>
      <c r="T767" s="64"/>
    </row>
    <row r="768" spans="3:20" ht="14.1" customHeight="1" x14ac:dyDescent="0.25">
      <c r="C768" s="72"/>
      <c r="D768" s="73"/>
      <c r="Q768" s="61"/>
      <c r="R768" s="61"/>
      <c r="S768" s="61"/>
      <c r="T768" s="64"/>
    </row>
    <row r="769" spans="3:20" ht="14.1" customHeight="1" x14ac:dyDescent="0.25">
      <c r="C769" s="72"/>
      <c r="D769" s="73"/>
      <c r="Q769" s="61"/>
      <c r="R769" s="61"/>
      <c r="S769" s="61"/>
      <c r="T769" s="64"/>
    </row>
    <row r="770" spans="3:20" ht="14.1" customHeight="1" x14ac:dyDescent="0.25">
      <c r="C770" s="72"/>
      <c r="D770" s="73"/>
      <c r="Q770" s="61"/>
      <c r="R770" s="61"/>
      <c r="S770" s="61"/>
      <c r="T770" s="64"/>
    </row>
    <row r="771" spans="3:20" ht="14.1" customHeight="1" x14ac:dyDescent="0.25">
      <c r="C771" s="72"/>
      <c r="D771" s="73"/>
      <c r="Q771" s="61"/>
      <c r="R771" s="61"/>
      <c r="S771" s="61"/>
      <c r="T771" s="64"/>
    </row>
    <row r="772" spans="3:20" ht="14.1" customHeight="1" x14ac:dyDescent="0.25">
      <c r="C772" s="72"/>
      <c r="D772" s="73"/>
      <c r="Q772" s="61"/>
      <c r="R772" s="61"/>
      <c r="S772" s="61"/>
      <c r="T772" s="64"/>
    </row>
    <row r="773" spans="3:20" ht="14.1" customHeight="1" x14ac:dyDescent="0.25">
      <c r="C773" s="72"/>
      <c r="D773" s="73"/>
      <c r="Q773" s="61"/>
      <c r="R773" s="61"/>
      <c r="S773" s="61"/>
      <c r="T773" s="64"/>
    </row>
    <row r="774" spans="3:20" ht="14.1" customHeight="1" x14ac:dyDescent="0.25">
      <c r="C774" s="72"/>
      <c r="D774" s="73"/>
      <c r="Q774" s="61"/>
      <c r="R774" s="61"/>
      <c r="S774" s="61"/>
      <c r="T774" s="64"/>
    </row>
    <row r="775" spans="3:20" ht="14.1" customHeight="1" x14ac:dyDescent="0.25">
      <c r="C775" s="72"/>
      <c r="D775" s="73"/>
      <c r="Q775" s="61"/>
      <c r="R775" s="61"/>
      <c r="S775" s="61"/>
      <c r="T775" s="64"/>
    </row>
    <row r="776" spans="3:20" ht="14.1" customHeight="1" x14ac:dyDescent="0.25">
      <c r="C776" s="72"/>
      <c r="D776" s="73"/>
      <c r="Q776" s="61"/>
      <c r="R776" s="61"/>
      <c r="S776" s="61"/>
      <c r="T776" s="64"/>
    </row>
    <row r="777" spans="3:20" ht="14.1" customHeight="1" x14ac:dyDescent="0.25">
      <c r="C777" s="72"/>
      <c r="D777" s="73"/>
      <c r="Q777" s="61"/>
      <c r="R777" s="61"/>
      <c r="S777" s="61"/>
      <c r="T777" s="64"/>
    </row>
    <row r="778" spans="3:20" ht="14.1" customHeight="1" x14ac:dyDescent="0.25">
      <c r="C778" s="72"/>
      <c r="D778" s="73"/>
      <c r="Q778" s="61"/>
      <c r="R778" s="61"/>
      <c r="S778" s="61"/>
      <c r="T778" s="64"/>
    </row>
    <row r="779" spans="3:20" ht="14.1" customHeight="1" x14ac:dyDescent="0.25">
      <c r="C779" s="72"/>
      <c r="D779" s="73"/>
      <c r="Q779" s="61"/>
      <c r="R779" s="61"/>
      <c r="S779" s="61"/>
      <c r="T779" s="64"/>
    </row>
    <row r="780" spans="3:20" ht="14.1" customHeight="1" x14ac:dyDescent="0.25">
      <c r="C780" s="72"/>
      <c r="D780" s="73"/>
      <c r="Q780" s="61"/>
      <c r="R780" s="61"/>
      <c r="S780" s="61"/>
      <c r="T780" s="64"/>
    </row>
    <row r="781" spans="3:20" ht="14.1" customHeight="1" x14ac:dyDescent="0.25">
      <c r="C781" s="72"/>
      <c r="D781" s="73"/>
      <c r="Q781" s="61"/>
      <c r="R781" s="61"/>
      <c r="S781" s="61"/>
      <c r="T781" s="64"/>
    </row>
    <row r="782" spans="3:20" ht="14.1" customHeight="1" x14ac:dyDescent="0.25">
      <c r="C782" s="72"/>
      <c r="D782" s="73"/>
      <c r="Q782" s="61"/>
      <c r="R782" s="61"/>
      <c r="S782" s="61"/>
      <c r="T782" s="64"/>
    </row>
    <row r="783" spans="3:20" ht="14.1" customHeight="1" x14ac:dyDescent="0.25">
      <c r="C783" s="72"/>
      <c r="D783" s="73"/>
      <c r="Q783" s="61"/>
      <c r="R783" s="61"/>
      <c r="S783" s="61"/>
      <c r="T783" s="64"/>
    </row>
    <row r="784" spans="3:20" ht="14.1" customHeight="1" x14ac:dyDescent="0.25">
      <c r="C784" s="72"/>
      <c r="D784" s="73"/>
      <c r="Q784" s="61"/>
      <c r="R784" s="61"/>
      <c r="S784" s="61"/>
      <c r="T784" s="64"/>
    </row>
    <row r="785" spans="3:20" ht="14.1" customHeight="1" x14ac:dyDescent="0.25">
      <c r="C785" s="72"/>
      <c r="D785" s="73"/>
      <c r="Q785" s="61"/>
      <c r="R785" s="61"/>
      <c r="S785" s="61"/>
      <c r="T785" s="64"/>
    </row>
    <row r="786" spans="3:20" ht="14.1" customHeight="1" x14ac:dyDescent="0.25">
      <c r="C786" s="72"/>
      <c r="D786" s="73"/>
      <c r="Q786" s="61"/>
      <c r="R786" s="61"/>
      <c r="S786" s="61"/>
      <c r="T786" s="64"/>
    </row>
    <row r="787" spans="3:20" ht="14.1" customHeight="1" x14ac:dyDescent="0.25">
      <c r="C787" s="72"/>
      <c r="D787" s="73"/>
      <c r="Q787" s="61"/>
      <c r="R787" s="61"/>
      <c r="S787" s="61"/>
      <c r="T787" s="64"/>
    </row>
    <row r="788" spans="3:20" ht="14.1" customHeight="1" x14ac:dyDescent="0.25">
      <c r="C788" s="72"/>
      <c r="D788" s="73"/>
      <c r="Q788" s="61"/>
      <c r="R788" s="61"/>
      <c r="S788" s="61"/>
      <c r="T788" s="64"/>
    </row>
    <row r="789" spans="3:20" ht="14.1" customHeight="1" x14ac:dyDescent="0.25">
      <c r="C789" s="72"/>
      <c r="D789" s="73"/>
      <c r="Q789" s="61"/>
      <c r="R789" s="61"/>
      <c r="S789" s="61"/>
      <c r="T789" s="64"/>
    </row>
    <row r="790" spans="3:20" ht="14.1" customHeight="1" x14ac:dyDescent="0.25">
      <c r="C790" s="72"/>
      <c r="D790" s="73"/>
      <c r="Q790" s="61"/>
      <c r="R790" s="61"/>
      <c r="S790" s="61"/>
      <c r="T790" s="64"/>
    </row>
    <row r="791" spans="3:20" ht="14.1" customHeight="1" x14ac:dyDescent="0.25">
      <c r="C791" s="72"/>
      <c r="D791" s="73"/>
      <c r="Q791" s="61"/>
      <c r="R791" s="61"/>
      <c r="S791" s="61"/>
      <c r="T791" s="64"/>
    </row>
    <row r="792" spans="3:20" ht="14.1" customHeight="1" x14ac:dyDescent="0.25">
      <c r="C792" s="72"/>
      <c r="D792" s="73"/>
      <c r="Q792" s="61"/>
      <c r="R792" s="61"/>
      <c r="S792" s="61"/>
      <c r="T792" s="64"/>
    </row>
    <row r="793" spans="3:20" ht="14.1" customHeight="1" x14ac:dyDescent="0.25">
      <c r="C793" s="72"/>
      <c r="D793" s="73"/>
      <c r="Q793" s="61"/>
      <c r="R793" s="61"/>
      <c r="S793" s="61"/>
      <c r="T793" s="64"/>
    </row>
    <row r="794" spans="3:20" ht="14.1" customHeight="1" x14ac:dyDescent="0.25">
      <c r="C794" s="72"/>
      <c r="D794" s="73"/>
      <c r="Q794" s="61"/>
      <c r="R794" s="61"/>
      <c r="S794" s="61"/>
      <c r="T794" s="64"/>
    </row>
    <row r="795" spans="3:20" ht="14.1" customHeight="1" x14ac:dyDescent="0.25">
      <c r="C795" s="72"/>
      <c r="D795" s="73"/>
      <c r="Q795" s="61"/>
      <c r="R795" s="61"/>
      <c r="S795" s="61"/>
      <c r="T795" s="64"/>
    </row>
    <row r="796" spans="3:20" ht="14.1" customHeight="1" x14ac:dyDescent="0.25">
      <c r="C796" s="72"/>
      <c r="D796" s="73"/>
      <c r="Q796" s="61"/>
      <c r="R796" s="61"/>
      <c r="S796" s="61"/>
      <c r="T796" s="64"/>
    </row>
    <row r="797" spans="3:20" ht="14.1" customHeight="1" x14ac:dyDescent="0.25">
      <c r="C797" s="72"/>
      <c r="D797" s="73"/>
      <c r="Q797" s="61"/>
      <c r="R797" s="61"/>
      <c r="S797" s="61"/>
      <c r="T797" s="64"/>
    </row>
    <row r="798" spans="3:20" ht="14.1" customHeight="1" x14ac:dyDescent="0.25">
      <c r="C798" s="72"/>
      <c r="D798" s="73"/>
      <c r="Q798" s="61"/>
      <c r="R798" s="61"/>
      <c r="S798" s="61"/>
      <c r="T798" s="64"/>
    </row>
    <row r="799" spans="3:20" ht="14.1" customHeight="1" x14ac:dyDescent="0.25">
      <c r="C799" s="72"/>
      <c r="D799" s="73"/>
      <c r="Q799" s="61"/>
      <c r="R799" s="61"/>
      <c r="S799" s="61"/>
      <c r="T799" s="64"/>
    </row>
    <row r="800" spans="3:20" ht="14.1" customHeight="1" x14ac:dyDescent="0.25">
      <c r="C800" s="72"/>
      <c r="D800" s="73"/>
      <c r="Q800" s="61"/>
      <c r="R800" s="61"/>
      <c r="S800" s="61"/>
      <c r="T800" s="64"/>
    </row>
    <row r="801" spans="3:20" ht="14.1" customHeight="1" x14ac:dyDescent="0.25">
      <c r="C801" s="72"/>
      <c r="D801" s="73"/>
      <c r="Q801" s="61"/>
      <c r="R801" s="61"/>
      <c r="S801" s="61"/>
      <c r="T801" s="64"/>
    </row>
    <row r="802" spans="3:20" ht="14.1" customHeight="1" x14ac:dyDescent="0.25">
      <c r="C802" s="72"/>
      <c r="D802" s="73"/>
      <c r="Q802" s="61"/>
      <c r="R802" s="61"/>
      <c r="S802" s="61"/>
      <c r="T802" s="64"/>
    </row>
    <row r="803" spans="3:20" ht="14.1" customHeight="1" x14ac:dyDescent="0.25">
      <c r="C803" s="72"/>
      <c r="D803" s="73"/>
      <c r="Q803" s="61"/>
      <c r="R803" s="61"/>
      <c r="S803" s="61"/>
      <c r="T803" s="64"/>
    </row>
    <row r="804" spans="3:20" ht="14.1" customHeight="1" x14ac:dyDescent="0.25">
      <c r="C804" s="72"/>
      <c r="D804" s="73"/>
      <c r="Q804" s="61"/>
      <c r="R804" s="61"/>
      <c r="S804" s="61"/>
      <c r="T804" s="64"/>
    </row>
    <row r="805" spans="3:20" ht="14.1" customHeight="1" x14ac:dyDescent="0.25">
      <c r="C805" s="72"/>
      <c r="D805" s="73"/>
      <c r="Q805" s="61"/>
      <c r="R805" s="61"/>
      <c r="S805" s="61"/>
      <c r="T805" s="64"/>
    </row>
    <row r="806" spans="3:20" ht="14.1" customHeight="1" x14ac:dyDescent="0.25">
      <c r="C806" s="72"/>
      <c r="D806" s="73"/>
      <c r="Q806" s="61"/>
      <c r="R806" s="61"/>
      <c r="S806" s="61"/>
      <c r="T806" s="64"/>
    </row>
    <row r="807" spans="3:20" ht="14.1" customHeight="1" x14ac:dyDescent="0.25">
      <c r="C807" s="72"/>
      <c r="D807" s="73"/>
      <c r="Q807" s="61"/>
      <c r="R807" s="61"/>
      <c r="S807" s="61"/>
      <c r="T807" s="64"/>
    </row>
    <row r="808" spans="3:20" ht="14.1" customHeight="1" x14ac:dyDescent="0.25">
      <c r="C808" s="72"/>
      <c r="D808" s="73"/>
      <c r="Q808" s="61"/>
      <c r="R808" s="61"/>
      <c r="S808" s="61"/>
      <c r="T808" s="64"/>
    </row>
    <row r="809" spans="3:20" ht="14.1" customHeight="1" x14ac:dyDescent="0.25">
      <c r="C809" s="72"/>
      <c r="D809" s="73"/>
      <c r="Q809" s="61"/>
      <c r="R809" s="61"/>
      <c r="S809" s="61"/>
      <c r="T809" s="64"/>
    </row>
    <row r="810" spans="3:20" ht="14.1" customHeight="1" x14ac:dyDescent="0.25">
      <c r="C810" s="72"/>
      <c r="D810" s="73"/>
      <c r="Q810" s="61"/>
      <c r="R810" s="61"/>
      <c r="S810" s="61"/>
      <c r="T810" s="64"/>
    </row>
    <row r="811" spans="3:20" ht="14.1" customHeight="1" x14ac:dyDescent="0.25">
      <c r="C811" s="72"/>
      <c r="D811" s="73"/>
      <c r="Q811" s="61"/>
      <c r="R811" s="61"/>
      <c r="S811" s="61"/>
      <c r="T811" s="64"/>
    </row>
    <row r="812" spans="3:20" ht="14.1" customHeight="1" x14ac:dyDescent="0.25">
      <c r="C812" s="72"/>
      <c r="D812" s="73"/>
      <c r="Q812" s="61"/>
      <c r="R812" s="61"/>
      <c r="S812" s="61"/>
      <c r="T812" s="64"/>
    </row>
    <row r="813" spans="3:20" ht="14.1" customHeight="1" x14ac:dyDescent="0.25">
      <c r="C813" s="72"/>
      <c r="D813" s="73"/>
      <c r="Q813" s="61"/>
      <c r="R813" s="61"/>
      <c r="S813" s="61"/>
      <c r="T813" s="64"/>
    </row>
    <row r="814" spans="3:20" ht="14.1" customHeight="1" x14ac:dyDescent="0.25">
      <c r="C814" s="72"/>
      <c r="D814" s="73"/>
      <c r="Q814" s="61"/>
      <c r="R814" s="61"/>
      <c r="S814" s="61"/>
      <c r="T814" s="64"/>
    </row>
    <row r="815" spans="3:20" ht="14.1" customHeight="1" x14ac:dyDescent="0.25">
      <c r="C815" s="72"/>
      <c r="D815" s="73"/>
      <c r="Q815" s="61"/>
      <c r="R815" s="61"/>
      <c r="S815" s="61"/>
      <c r="T815" s="64"/>
    </row>
    <row r="816" spans="3:20" ht="14.1" customHeight="1" x14ac:dyDescent="0.25">
      <c r="C816" s="72"/>
      <c r="D816" s="73"/>
      <c r="Q816" s="61"/>
      <c r="R816" s="61"/>
      <c r="S816" s="61"/>
      <c r="T816" s="64"/>
    </row>
    <row r="817" spans="3:20" ht="14.1" customHeight="1" x14ac:dyDescent="0.25">
      <c r="C817" s="72"/>
      <c r="D817" s="73"/>
      <c r="Q817" s="61"/>
      <c r="R817" s="61"/>
      <c r="S817" s="61"/>
      <c r="T817" s="64"/>
    </row>
    <row r="818" spans="3:20" ht="14.1" customHeight="1" x14ac:dyDescent="0.25">
      <c r="C818" s="72"/>
      <c r="D818" s="73"/>
      <c r="Q818" s="61"/>
      <c r="R818" s="61"/>
      <c r="S818" s="61"/>
      <c r="T818" s="64"/>
    </row>
    <row r="819" spans="3:20" ht="14.1" customHeight="1" x14ac:dyDescent="0.25">
      <c r="C819" s="72"/>
      <c r="D819" s="73"/>
      <c r="Q819" s="61"/>
      <c r="R819" s="61"/>
      <c r="S819" s="61"/>
      <c r="T819" s="64"/>
    </row>
    <row r="820" spans="3:20" ht="14.1" customHeight="1" x14ac:dyDescent="0.25">
      <c r="C820" s="72"/>
      <c r="D820" s="73"/>
      <c r="Q820" s="61"/>
      <c r="R820" s="61"/>
      <c r="S820" s="61"/>
      <c r="T820" s="64"/>
    </row>
    <row r="821" spans="3:20" ht="14.1" customHeight="1" x14ac:dyDescent="0.25">
      <c r="C821" s="72"/>
      <c r="D821" s="73"/>
      <c r="Q821" s="61"/>
      <c r="R821" s="61"/>
      <c r="S821" s="61"/>
      <c r="T821" s="64"/>
    </row>
    <row r="822" spans="3:20" ht="14.1" customHeight="1" x14ac:dyDescent="0.25">
      <c r="C822" s="72"/>
      <c r="D822" s="73"/>
      <c r="Q822" s="61"/>
      <c r="R822" s="61"/>
      <c r="S822" s="61"/>
      <c r="T822" s="64"/>
    </row>
    <row r="823" spans="3:20" ht="14.1" customHeight="1" x14ac:dyDescent="0.25">
      <c r="C823" s="72"/>
      <c r="D823" s="73"/>
      <c r="Q823" s="61"/>
      <c r="R823" s="61"/>
      <c r="S823" s="61"/>
      <c r="T823" s="64"/>
    </row>
    <row r="824" spans="3:20" ht="14.1" customHeight="1" x14ac:dyDescent="0.25">
      <c r="C824" s="72"/>
      <c r="D824" s="73"/>
      <c r="Q824" s="61"/>
      <c r="R824" s="61"/>
      <c r="S824" s="61"/>
      <c r="T824" s="64"/>
    </row>
    <row r="825" spans="3:20" ht="14.1" customHeight="1" x14ac:dyDescent="0.25">
      <c r="C825" s="72"/>
      <c r="D825" s="73"/>
      <c r="Q825" s="61"/>
      <c r="R825" s="61"/>
      <c r="S825" s="61"/>
      <c r="T825" s="64"/>
    </row>
    <row r="826" spans="3:20" ht="14.1" customHeight="1" x14ac:dyDescent="0.25">
      <c r="C826" s="72"/>
      <c r="D826" s="73"/>
      <c r="Q826" s="61"/>
      <c r="R826" s="61"/>
      <c r="S826" s="61"/>
      <c r="T826" s="64"/>
    </row>
    <row r="827" spans="3:20" ht="14.1" customHeight="1" x14ac:dyDescent="0.25">
      <c r="C827" s="72"/>
      <c r="D827" s="73"/>
      <c r="Q827" s="61"/>
      <c r="R827" s="61"/>
      <c r="S827" s="61"/>
      <c r="T827" s="64"/>
    </row>
    <row r="828" spans="3:20" ht="14.1" customHeight="1" x14ac:dyDescent="0.25">
      <c r="C828" s="72"/>
      <c r="D828" s="73"/>
      <c r="Q828" s="61"/>
      <c r="R828" s="61"/>
      <c r="S828" s="61"/>
      <c r="T828" s="64"/>
    </row>
    <row r="829" spans="3:20" ht="14.1" customHeight="1" x14ac:dyDescent="0.25">
      <c r="C829" s="72"/>
      <c r="D829" s="73"/>
      <c r="Q829" s="61"/>
      <c r="R829" s="61"/>
      <c r="S829" s="61"/>
      <c r="T829" s="64"/>
    </row>
    <row r="830" spans="3:20" ht="14.1" customHeight="1" x14ac:dyDescent="0.25">
      <c r="C830" s="72"/>
      <c r="D830" s="73"/>
      <c r="Q830" s="61"/>
      <c r="R830" s="61"/>
      <c r="S830" s="61"/>
      <c r="T830" s="64"/>
    </row>
    <row r="831" spans="3:20" ht="14.1" customHeight="1" x14ac:dyDescent="0.25">
      <c r="C831" s="72"/>
      <c r="D831" s="73"/>
      <c r="Q831" s="61"/>
      <c r="R831" s="61"/>
      <c r="S831" s="61"/>
      <c r="T831" s="64"/>
    </row>
    <row r="832" spans="3:20" ht="14.1" customHeight="1" x14ac:dyDescent="0.25">
      <c r="C832" s="72"/>
      <c r="D832" s="73"/>
      <c r="Q832" s="61"/>
      <c r="R832" s="61"/>
      <c r="S832" s="61"/>
      <c r="T832" s="64"/>
    </row>
    <row r="833" spans="3:20" ht="14.1" customHeight="1" x14ac:dyDescent="0.25">
      <c r="C833" s="72"/>
      <c r="D833" s="73"/>
      <c r="Q833" s="61"/>
      <c r="R833" s="61"/>
      <c r="S833" s="61"/>
      <c r="T833" s="64"/>
    </row>
    <row r="834" spans="3:20" ht="14.1" customHeight="1" x14ac:dyDescent="0.25">
      <c r="C834" s="72"/>
      <c r="D834" s="73"/>
      <c r="Q834" s="61"/>
      <c r="R834" s="61"/>
      <c r="S834" s="61"/>
      <c r="T834" s="64"/>
    </row>
    <row r="835" spans="3:20" ht="14.1" customHeight="1" x14ac:dyDescent="0.25">
      <c r="C835" s="74"/>
      <c r="D835" s="73"/>
      <c r="Q835" s="61"/>
      <c r="R835" s="61"/>
      <c r="S835" s="61"/>
      <c r="T835" s="64"/>
    </row>
    <row r="836" spans="3:20" ht="14.1" customHeight="1" x14ac:dyDescent="0.25">
      <c r="C836" s="70"/>
      <c r="D836" s="71"/>
      <c r="Q836" s="61"/>
      <c r="R836" s="61"/>
      <c r="S836" s="61"/>
      <c r="T836" s="64"/>
    </row>
    <row r="837" spans="3:20" ht="14.1" customHeight="1" x14ac:dyDescent="0.25">
      <c r="C837" s="72"/>
      <c r="D837" s="73"/>
      <c r="Q837" s="61"/>
      <c r="R837" s="61"/>
      <c r="S837" s="61"/>
      <c r="T837" s="64"/>
    </row>
    <row r="838" spans="3:20" ht="14.1" customHeight="1" x14ac:dyDescent="0.25">
      <c r="C838" s="72"/>
      <c r="D838" s="73"/>
      <c r="Q838" s="61"/>
      <c r="R838" s="61"/>
      <c r="S838" s="61"/>
      <c r="T838" s="64"/>
    </row>
    <row r="839" spans="3:20" ht="14.1" customHeight="1" x14ac:dyDescent="0.25">
      <c r="C839" s="72"/>
      <c r="D839" s="73"/>
      <c r="Q839" s="61"/>
      <c r="R839" s="61"/>
      <c r="S839" s="61"/>
      <c r="T839" s="64"/>
    </row>
    <row r="840" spans="3:20" ht="14.1" customHeight="1" x14ac:dyDescent="0.25">
      <c r="C840" s="72"/>
      <c r="D840" s="73"/>
      <c r="Q840" s="61"/>
      <c r="R840" s="61"/>
      <c r="S840" s="61"/>
      <c r="T840" s="64"/>
    </row>
    <row r="841" spans="3:20" ht="14.1" customHeight="1" x14ac:dyDescent="0.25">
      <c r="C841" s="72"/>
      <c r="D841" s="73"/>
      <c r="Q841" s="61"/>
      <c r="R841" s="61"/>
      <c r="S841" s="61"/>
      <c r="T841" s="64"/>
    </row>
    <row r="842" spans="3:20" ht="14.1" customHeight="1" x14ac:dyDescent="0.25">
      <c r="C842" s="72"/>
      <c r="D842" s="73"/>
      <c r="Q842" s="61"/>
      <c r="R842" s="61"/>
      <c r="S842" s="61"/>
      <c r="T842" s="64"/>
    </row>
    <row r="843" spans="3:20" ht="14.1" customHeight="1" x14ac:dyDescent="0.25">
      <c r="C843" s="72"/>
      <c r="D843" s="73"/>
      <c r="Q843" s="61"/>
      <c r="R843" s="61"/>
      <c r="S843" s="61"/>
      <c r="T843" s="64"/>
    </row>
    <row r="844" spans="3:20" ht="14.1" customHeight="1" x14ac:dyDescent="0.25">
      <c r="C844" s="72"/>
      <c r="D844" s="73"/>
      <c r="Q844" s="61"/>
      <c r="R844" s="61"/>
      <c r="S844" s="61"/>
      <c r="T844" s="64"/>
    </row>
    <row r="845" spans="3:20" ht="14.1" customHeight="1" x14ac:dyDescent="0.25">
      <c r="C845" s="72"/>
      <c r="D845" s="73"/>
      <c r="Q845" s="61"/>
      <c r="R845" s="61"/>
      <c r="S845" s="61"/>
      <c r="T845" s="64"/>
    </row>
    <row r="846" spans="3:20" ht="14.1" customHeight="1" x14ac:dyDescent="0.25">
      <c r="C846" s="72"/>
      <c r="D846" s="73"/>
      <c r="Q846" s="61"/>
      <c r="R846" s="61"/>
      <c r="S846" s="61"/>
      <c r="T846" s="64"/>
    </row>
    <row r="847" spans="3:20" ht="14.1" customHeight="1" x14ac:dyDescent="0.25">
      <c r="C847" s="72"/>
      <c r="D847" s="73"/>
      <c r="Q847" s="61"/>
      <c r="R847" s="61"/>
      <c r="S847" s="61"/>
      <c r="T847" s="64"/>
    </row>
    <row r="848" spans="3:20" ht="14.1" customHeight="1" x14ac:dyDescent="0.25">
      <c r="C848" s="72"/>
      <c r="D848" s="73"/>
      <c r="Q848" s="61"/>
      <c r="R848" s="61"/>
      <c r="S848" s="61"/>
      <c r="T848" s="64"/>
    </row>
    <row r="849" spans="3:20" ht="14.1" customHeight="1" x14ac:dyDescent="0.25">
      <c r="C849" s="72"/>
      <c r="D849" s="73"/>
      <c r="Q849" s="61"/>
      <c r="R849" s="61"/>
      <c r="S849" s="61"/>
      <c r="T849" s="64"/>
    </row>
    <row r="850" spans="3:20" ht="14.1" customHeight="1" x14ac:dyDescent="0.25">
      <c r="C850" s="72"/>
      <c r="D850" s="73"/>
      <c r="Q850" s="61"/>
      <c r="R850" s="61"/>
      <c r="S850" s="61"/>
      <c r="T850" s="64"/>
    </row>
    <row r="851" spans="3:20" ht="14.1" customHeight="1" x14ac:dyDescent="0.25">
      <c r="C851" s="72"/>
      <c r="D851" s="73"/>
      <c r="Q851" s="61"/>
      <c r="R851" s="61"/>
      <c r="S851" s="61"/>
      <c r="T851" s="64"/>
    </row>
    <row r="852" spans="3:20" ht="14.1" customHeight="1" x14ac:dyDescent="0.25">
      <c r="C852" s="72"/>
      <c r="D852" s="73"/>
      <c r="Q852" s="61"/>
      <c r="R852" s="61"/>
      <c r="S852" s="61"/>
      <c r="T852" s="64"/>
    </row>
    <row r="853" spans="3:20" ht="14.1" customHeight="1" x14ac:dyDescent="0.25">
      <c r="C853" s="72"/>
      <c r="D853" s="73"/>
      <c r="Q853" s="61"/>
      <c r="R853" s="61"/>
      <c r="S853" s="61"/>
      <c r="T853" s="64"/>
    </row>
    <row r="854" spans="3:20" ht="14.1" customHeight="1" x14ac:dyDescent="0.25">
      <c r="C854" s="72"/>
      <c r="D854" s="73"/>
      <c r="Q854" s="61"/>
      <c r="R854" s="61"/>
      <c r="S854" s="61"/>
      <c r="T854" s="64"/>
    </row>
    <row r="855" spans="3:20" ht="14.1" customHeight="1" x14ac:dyDescent="0.25">
      <c r="C855" s="72"/>
      <c r="D855" s="73"/>
      <c r="Q855" s="61"/>
      <c r="R855" s="61"/>
      <c r="S855" s="61"/>
      <c r="T855" s="64"/>
    </row>
    <row r="856" spans="3:20" ht="14.1" customHeight="1" x14ac:dyDescent="0.25">
      <c r="C856" s="72"/>
      <c r="D856" s="73"/>
      <c r="Q856" s="61"/>
      <c r="R856" s="61"/>
      <c r="S856" s="61"/>
      <c r="T856" s="64"/>
    </row>
    <row r="857" spans="3:20" ht="14.1" customHeight="1" x14ac:dyDescent="0.25">
      <c r="C857" s="72"/>
      <c r="D857" s="73"/>
      <c r="Q857" s="61"/>
      <c r="R857" s="61"/>
      <c r="S857" s="61"/>
      <c r="T857" s="64"/>
    </row>
    <row r="858" spans="3:20" ht="14.1" customHeight="1" x14ac:dyDescent="0.25">
      <c r="C858" s="72"/>
      <c r="D858" s="73"/>
      <c r="Q858" s="61"/>
      <c r="R858" s="61"/>
      <c r="S858" s="61"/>
      <c r="T858" s="64"/>
    </row>
    <row r="859" spans="3:20" ht="14.1" customHeight="1" x14ac:dyDescent="0.25">
      <c r="C859" s="72"/>
      <c r="D859" s="73"/>
      <c r="M859" s="5"/>
      <c r="N859" s="65"/>
      <c r="Q859" s="61"/>
      <c r="R859" s="61"/>
      <c r="S859" s="61"/>
      <c r="T859" s="64"/>
    </row>
    <row r="860" spans="3:20" ht="14.1" customHeight="1" x14ac:dyDescent="0.25">
      <c r="C860" s="72"/>
      <c r="D860" s="73"/>
      <c r="Q860" s="61"/>
      <c r="R860" s="61"/>
      <c r="S860" s="61"/>
      <c r="T860" s="64"/>
    </row>
    <row r="861" spans="3:20" ht="14.1" customHeight="1" x14ac:dyDescent="0.25">
      <c r="C861" s="72"/>
      <c r="D861" s="73"/>
      <c r="Q861" s="61"/>
      <c r="R861" s="61"/>
      <c r="S861" s="61"/>
      <c r="T861" s="64"/>
    </row>
    <row r="862" spans="3:20" ht="14.1" customHeight="1" x14ac:dyDescent="0.25">
      <c r="C862" s="72"/>
      <c r="D862" s="73"/>
      <c r="Q862" s="61"/>
      <c r="R862" s="61"/>
      <c r="S862" s="61"/>
      <c r="T862" s="64"/>
    </row>
    <row r="863" spans="3:20" ht="14.1" customHeight="1" x14ac:dyDescent="0.25">
      <c r="C863" s="72"/>
      <c r="D863" s="73"/>
      <c r="Q863" s="61"/>
      <c r="R863" s="61"/>
      <c r="S863" s="61"/>
      <c r="T863" s="64"/>
    </row>
    <row r="864" spans="3:20" ht="14.1" customHeight="1" x14ac:dyDescent="0.25">
      <c r="C864" s="72"/>
      <c r="D864" s="73"/>
      <c r="Q864" s="61"/>
      <c r="R864" s="61"/>
      <c r="S864" s="61"/>
      <c r="T864" s="64"/>
    </row>
    <row r="865" spans="3:20" ht="14.1" customHeight="1" x14ac:dyDescent="0.25">
      <c r="C865" s="72"/>
      <c r="D865" s="73"/>
      <c r="Q865" s="61"/>
      <c r="R865" s="61"/>
      <c r="S865" s="61"/>
      <c r="T865" s="64"/>
    </row>
    <row r="866" spans="3:20" ht="14.1" customHeight="1" x14ac:dyDescent="0.25">
      <c r="C866" s="72"/>
      <c r="D866" s="73"/>
      <c r="Q866" s="61"/>
      <c r="R866" s="61"/>
      <c r="S866" s="61"/>
      <c r="T866" s="64"/>
    </row>
    <row r="867" spans="3:20" ht="14.1" customHeight="1" x14ac:dyDescent="0.25">
      <c r="C867" s="72"/>
      <c r="D867" s="73"/>
      <c r="Q867" s="61"/>
      <c r="R867" s="61"/>
      <c r="S867" s="61"/>
      <c r="T867" s="64"/>
    </row>
    <row r="868" spans="3:20" ht="14.1" customHeight="1" x14ac:dyDescent="0.25">
      <c r="C868" s="72"/>
      <c r="D868" s="73"/>
      <c r="Q868" s="61"/>
      <c r="R868" s="61"/>
      <c r="S868" s="61"/>
      <c r="T868" s="64"/>
    </row>
    <row r="869" spans="3:20" ht="14.1" customHeight="1" x14ac:dyDescent="0.25">
      <c r="C869" s="72"/>
      <c r="D869" s="73"/>
      <c r="Q869" s="61"/>
      <c r="R869" s="61"/>
      <c r="S869" s="61"/>
      <c r="T869" s="64"/>
    </row>
    <row r="870" spans="3:20" ht="14.1" customHeight="1" x14ac:dyDescent="0.25">
      <c r="C870" s="72"/>
      <c r="D870" s="73"/>
      <c r="Q870" s="61"/>
      <c r="R870" s="61"/>
      <c r="S870" s="61"/>
      <c r="T870" s="64"/>
    </row>
    <row r="871" spans="3:20" ht="14.1" customHeight="1" x14ac:dyDescent="0.25">
      <c r="C871" s="72"/>
      <c r="D871" s="73"/>
      <c r="Q871" s="61"/>
      <c r="R871" s="61"/>
      <c r="S871" s="61"/>
      <c r="T871" s="64"/>
    </row>
    <row r="872" spans="3:20" ht="14.1" customHeight="1" x14ac:dyDescent="0.25">
      <c r="C872" s="72"/>
      <c r="D872" s="73"/>
      <c r="Q872" s="61"/>
      <c r="R872" s="61"/>
      <c r="S872" s="61"/>
      <c r="T872" s="64"/>
    </row>
    <row r="873" spans="3:20" ht="14.1" customHeight="1" x14ac:dyDescent="0.25">
      <c r="C873" s="72"/>
      <c r="D873" s="73"/>
      <c r="Q873" s="61"/>
      <c r="R873" s="61"/>
      <c r="S873" s="61"/>
      <c r="T873" s="64"/>
    </row>
    <row r="874" spans="3:20" ht="14.1" customHeight="1" x14ac:dyDescent="0.25">
      <c r="C874" s="72"/>
      <c r="D874" s="73"/>
      <c r="Q874" s="61"/>
      <c r="R874" s="61"/>
      <c r="S874" s="61"/>
      <c r="T874" s="64"/>
    </row>
    <row r="875" spans="3:20" ht="14.1" customHeight="1" x14ac:dyDescent="0.25">
      <c r="C875" s="72"/>
      <c r="D875" s="73"/>
      <c r="Q875" s="61"/>
      <c r="R875" s="61"/>
      <c r="S875" s="61"/>
      <c r="T875" s="64"/>
    </row>
    <row r="876" spans="3:20" ht="14.1" customHeight="1" x14ac:dyDescent="0.25">
      <c r="C876" s="72"/>
      <c r="D876" s="73"/>
      <c r="Q876" s="61"/>
      <c r="R876" s="61"/>
      <c r="S876" s="61"/>
      <c r="T876" s="64"/>
    </row>
    <row r="877" spans="3:20" ht="14.1" customHeight="1" x14ac:dyDescent="0.25">
      <c r="C877" s="72"/>
      <c r="D877" s="73"/>
      <c r="Q877" s="61"/>
      <c r="R877" s="61"/>
      <c r="S877" s="61"/>
      <c r="T877" s="64"/>
    </row>
    <row r="878" spans="3:20" ht="14.1" customHeight="1" x14ac:dyDescent="0.25">
      <c r="C878" s="72"/>
      <c r="D878" s="73"/>
      <c r="Q878" s="61"/>
      <c r="R878" s="61"/>
      <c r="S878" s="61"/>
      <c r="T878" s="64"/>
    </row>
    <row r="879" spans="3:20" ht="14.1" customHeight="1" x14ac:dyDescent="0.25">
      <c r="C879" s="72"/>
      <c r="D879" s="73"/>
      <c r="Q879" s="61"/>
      <c r="R879" s="61"/>
      <c r="S879" s="61"/>
      <c r="T879" s="64"/>
    </row>
    <row r="880" spans="3:20" ht="14.1" customHeight="1" x14ac:dyDescent="0.25">
      <c r="C880" s="72"/>
      <c r="D880" s="73"/>
      <c r="Q880" s="61"/>
      <c r="R880" s="61"/>
      <c r="S880" s="61"/>
      <c r="T880" s="64"/>
    </row>
    <row r="881" spans="3:20" ht="14.1" customHeight="1" x14ac:dyDescent="0.25">
      <c r="C881" s="74"/>
      <c r="D881" s="73"/>
      <c r="Q881" s="61"/>
      <c r="R881" s="61"/>
      <c r="S881" s="61"/>
      <c r="T881" s="64"/>
    </row>
    <row r="882" spans="3:20" ht="14.1" customHeight="1" x14ac:dyDescent="0.25">
      <c r="C882" s="70"/>
      <c r="D882" s="71"/>
      <c r="Q882" s="61"/>
      <c r="R882" s="61"/>
      <c r="S882" s="61"/>
      <c r="T882" s="64"/>
    </row>
    <row r="883" spans="3:20" ht="14.1" customHeight="1" x14ac:dyDescent="0.25">
      <c r="C883" s="72"/>
      <c r="D883" s="73"/>
      <c r="Q883" s="61"/>
      <c r="R883" s="61"/>
      <c r="S883" s="61"/>
      <c r="T883" s="64"/>
    </row>
    <row r="884" spans="3:20" ht="14.1" customHeight="1" x14ac:dyDescent="0.25">
      <c r="C884" s="72"/>
      <c r="D884" s="73"/>
      <c r="Q884" s="61"/>
      <c r="R884" s="61"/>
      <c r="S884" s="61"/>
      <c r="T884" s="64"/>
    </row>
    <row r="885" spans="3:20" ht="14.1" customHeight="1" x14ac:dyDescent="0.25">
      <c r="C885" s="72"/>
      <c r="D885" s="73"/>
      <c r="Q885" s="61"/>
      <c r="R885" s="61"/>
      <c r="S885" s="61"/>
      <c r="T885" s="64"/>
    </row>
    <row r="886" spans="3:20" ht="14.1" customHeight="1" x14ac:dyDescent="0.25">
      <c r="C886" s="72"/>
      <c r="D886" s="73"/>
      <c r="Q886" s="61"/>
      <c r="R886" s="61"/>
      <c r="S886" s="61"/>
      <c r="T886" s="64"/>
    </row>
    <row r="887" spans="3:20" ht="14.1" customHeight="1" x14ac:dyDescent="0.25">
      <c r="C887" s="72"/>
      <c r="D887" s="73"/>
      <c r="Q887" s="61"/>
      <c r="R887" s="61"/>
      <c r="S887" s="61"/>
      <c r="T887" s="64"/>
    </row>
    <row r="888" spans="3:20" ht="14.1" customHeight="1" x14ac:dyDescent="0.25">
      <c r="C888" s="72"/>
      <c r="D888" s="73"/>
      <c r="Q888" s="61"/>
      <c r="R888" s="61"/>
      <c r="S888" s="61"/>
      <c r="T888" s="64"/>
    </row>
    <row r="889" spans="3:20" ht="14.1" customHeight="1" x14ac:dyDescent="0.25">
      <c r="C889" s="72"/>
      <c r="D889" s="73"/>
      <c r="Q889" s="61"/>
      <c r="R889" s="61"/>
      <c r="S889" s="61"/>
      <c r="T889" s="64"/>
    </row>
    <row r="890" spans="3:20" ht="14.1" customHeight="1" x14ac:dyDescent="0.25">
      <c r="C890" s="72"/>
      <c r="D890" s="73"/>
      <c r="Q890" s="61"/>
      <c r="R890" s="61"/>
      <c r="S890" s="61"/>
      <c r="T890" s="64"/>
    </row>
    <row r="891" spans="3:20" ht="14.1" customHeight="1" x14ac:dyDescent="0.25">
      <c r="C891" s="72"/>
      <c r="D891" s="73"/>
      <c r="Q891" s="61"/>
      <c r="R891" s="61"/>
      <c r="S891" s="61"/>
      <c r="T891" s="64"/>
    </row>
    <row r="892" spans="3:20" ht="14.1" customHeight="1" x14ac:dyDescent="0.25">
      <c r="C892" s="72"/>
      <c r="D892" s="73"/>
      <c r="Q892" s="61"/>
      <c r="R892" s="61"/>
      <c r="S892" s="61"/>
      <c r="T892" s="64"/>
    </row>
    <row r="893" spans="3:20" ht="14.1" customHeight="1" x14ac:dyDescent="0.25">
      <c r="C893" s="72"/>
      <c r="D893" s="73"/>
      <c r="Q893" s="61"/>
      <c r="R893" s="61"/>
      <c r="S893" s="61"/>
      <c r="T893" s="64"/>
    </row>
    <row r="894" spans="3:20" ht="14.1" customHeight="1" x14ac:dyDescent="0.25">
      <c r="C894" s="72"/>
      <c r="D894" s="73"/>
      <c r="Q894" s="61"/>
      <c r="R894" s="61"/>
      <c r="S894" s="61"/>
      <c r="T894" s="64"/>
    </row>
    <row r="895" spans="3:20" ht="14.1" customHeight="1" x14ac:dyDescent="0.25">
      <c r="C895" s="72"/>
      <c r="D895" s="73"/>
      <c r="Q895" s="61"/>
      <c r="R895" s="61"/>
      <c r="S895" s="61"/>
      <c r="T895" s="64"/>
    </row>
    <row r="896" spans="3:20" ht="14.1" customHeight="1" x14ac:dyDescent="0.25">
      <c r="C896" s="72"/>
      <c r="D896" s="73"/>
      <c r="Q896" s="61"/>
      <c r="R896" s="61"/>
      <c r="S896" s="61"/>
      <c r="T896" s="64"/>
    </row>
    <row r="897" spans="3:20" ht="14.1" customHeight="1" x14ac:dyDescent="0.25">
      <c r="C897" s="72"/>
      <c r="D897" s="73"/>
      <c r="Q897" s="61"/>
      <c r="R897" s="61"/>
      <c r="S897" s="61"/>
      <c r="T897" s="64"/>
    </row>
    <row r="898" spans="3:20" ht="14.1" customHeight="1" x14ac:dyDescent="0.25">
      <c r="C898" s="72"/>
      <c r="D898" s="73"/>
      <c r="Q898" s="61"/>
      <c r="R898" s="61"/>
      <c r="S898" s="61"/>
      <c r="T898" s="64"/>
    </row>
    <row r="899" spans="3:20" ht="14.1" customHeight="1" x14ac:dyDescent="0.25">
      <c r="C899" s="72"/>
      <c r="D899" s="73"/>
      <c r="Q899" s="61"/>
      <c r="R899" s="61"/>
      <c r="S899" s="61"/>
      <c r="T899" s="64"/>
    </row>
    <row r="900" spans="3:20" ht="14.1" customHeight="1" x14ac:dyDescent="0.25">
      <c r="C900" s="72"/>
      <c r="D900" s="73"/>
      <c r="Q900" s="61"/>
      <c r="R900" s="61"/>
      <c r="S900" s="61"/>
      <c r="T900" s="64"/>
    </row>
    <row r="901" spans="3:20" ht="14.1" customHeight="1" x14ac:dyDescent="0.25">
      <c r="C901" s="72"/>
      <c r="D901" s="73"/>
      <c r="Q901" s="61"/>
      <c r="R901" s="61"/>
      <c r="S901" s="61"/>
      <c r="T901" s="64"/>
    </row>
    <row r="902" spans="3:20" ht="14.1" customHeight="1" x14ac:dyDescent="0.25">
      <c r="C902" s="72"/>
      <c r="D902" s="73"/>
      <c r="Q902" s="61"/>
      <c r="R902" s="61"/>
      <c r="S902" s="61"/>
      <c r="T902" s="64"/>
    </row>
    <row r="903" spans="3:20" ht="14.1" customHeight="1" x14ac:dyDescent="0.25">
      <c r="C903" s="72"/>
      <c r="D903" s="73"/>
      <c r="Q903" s="61"/>
      <c r="R903" s="61"/>
      <c r="S903" s="61"/>
      <c r="T903" s="64"/>
    </row>
    <row r="904" spans="3:20" ht="14.1" customHeight="1" x14ac:dyDescent="0.25">
      <c r="C904" s="72"/>
      <c r="D904" s="73"/>
      <c r="Q904" s="61"/>
      <c r="R904" s="61"/>
      <c r="S904" s="61"/>
      <c r="T904" s="64"/>
    </row>
    <row r="905" spans="3:20" ht="14.1" customHeight="1" x14ac:dyDescent="0.25">
      <c r="C905" s="72"/>
      <c r="D905" s="71"/>
      <c r="M905" s="5"/>
      <c r="N905" s="65"/>
      <c r="Q905" s="61"/>
      <c r="R905" s="61"/>
      <c r="S905" s="61"/>
      <c r="T905" s="64"/>
    </row>
    <row r="906" spans="3:20" ht="14.1" customHeight="1" x14ac:dyDescent="0.25">
      <c r="C906" s="72"/>
      <c r="D906" s="71"/>
      <c r="Q906" s="61"/>
      <c r="R906" s="61"/>
      <c r="S906" s="61"/>
      <c r="T906" s="64"/>
    </row>
    <row r="907" spans="3:20" ht="14.1" customHeight="1" x14ac:dyDescent="0.25">
      <c r="C907" s="72"/>
      <c r="D907" s="71"/>
      <c r="Q907" s="61"/>
      <c r="R907" s="61"/>
      <c r="S907" s="61"/>
      <c r="T907" s="64"/>
    </row>
    <row r="908" spans="3:20" ht="14.1" customHeight="1" x14ac:dyDescent="0.25">
      <c r="C908" s="72"/>
      <c r="D908" s="71"/>
      <c r="Q908" s="61"/>
      <c r="R908" s="61"/>
      <c r="S908" s="61"/>
      <c r="T908" s="64"/>
    </row>
    <row r="909" spans="3:20" ht="14.1" customHeight="1" x14ac:dyDescent="0.25">
      <c r="C909" s="72"/>
      <c r="D909" s="73"/>
      <c r="Q909" s="61"/>
      <c r="R909" s="61"/>
      <c r="S909" s="61"/>
      <c r="T909" s="64"/>
    </row>
    <row r="910" spans="3:20" ht="14.1" customHeight="1" x14ac:dyDescent="0.25">
      <c r="C910" s="72"/>
      <c r="D910" s="73"/>
      <c r="Q910" s="61"/>
      <c r="R910" s="61"/>
      <c r="S910" s="61"/>
      <c r="T910" s="64"/>
    </row>
    <row r="911" spans="3:20" ht="14.1" customHeight="1" x14ac:dyDescent="0.25">
      <c r="C911" s="72"/>
      <c r="D911" s="73"/>
      <c r="Q911" s="61"/>
      <c r="R911" s="61"/>
      <c r="S911" s="61"/>
      <c r="T911" s="64"/>
    </row>
    <row r="912" spans="3:20" ht="14.1" customHeight="1" x14ac:dyDescent="0.25">
      <c r="C912" s="72"/>
      <c r="D912" s="71"/>
      <c r="Q912" s="61"/>
      <c r="R912" s="61"/>
      <c r="S912" s="61"/>
      <c r="T912" s="64"/>
    </row>
    <row r="913" spans="3:20" ht="14.1" customHeight="1" x14ac:dyDescent="0.25">
      <c r="C913" s="72"/>
      <c r="D913" s="71"/>
      <c r="Q913" s="61"/>
      <c r="R913" s="61"/>
      <c r="S913" s="61"/>
      <c r="T913" s="64"/>
    </row>
    <row r="914" spans="3:20" ht="14.1" customHeight="1" x14ac:dyDescent="0.25">
      <c r="C914" s="72"/>
      <c r="D914" s="73"/>
      <c r="Q914" s="61"/>
      <c r="R914" s="61"/>
      <c r="S914" s="61"/>
      <c r="T914" s="64"/>
    </row>
    <row r="915" spans="3:20" ht="14.1" customHeight="1" x14ac:dyDescent="0.25">
      <c r="C915" s="72"/>
      <c r="D915" s="73"/>
      <c r="Q915" s="61"/>
      <c r="R915" s="61"/>
      <c r="S915" s="61"/>
      <c r="T915" s="64"/>
    </row>
    <row r="916" spans="3:20" ht="14.1" customHeight="1" x14ac:dyDescent="0.25">
      <c r="C916" s="72"/>
      <c r="D916" s="73"/>
      <c r="Q916" s="61"/>
      <c r="R916" s="61"/>
      <c r="S916" s="61"/>
      <c r="T916" s="64"/>
    </row>
    <row r="917" spans="3:20" ht="14.1" customHeight="1" x14ac:dyDescent="0.25">
      <c r="C917" s="72"/>
      <c r="D917" s="73"/>
      <c r="Q917" s="61"/>
      <c r="R917" s="61"/>
      <c r="S917" s="61"/>
      <c r="T917" s="64"/>
    </row>
    <row r="918" spans="3:20" ht="14.1" customHeight="1" x14ac:dyDescent="0.25">
      <c r="C918" s="72"/>
      <c r="D918" s="73"/>
      <c r="Q918" s="61"/>
      <c r="R918" s="61"/>
      <c r="S918" s="61"/>
      <c r="T918" s="64"/>
    </row>
    <row r="919" spans="3:20" ht="14.1" customHeight="1" x14ac:dyDescent="0.25">
      <c r="C919" s="72"/>
      <c r="D919" s="73"/>
      <c r="Q919" s="61"/>
      <c r="R919" s="61"/>
      <c r="S919" s="61"/>
      <c r="T919" s="64"/>
    </row>
    <row r="920" spans="3:20" ht="14.1" customHeight="1" x14ac:dyDescent="0.25">
      <c r="C920" s="72"/>
      <c r="D920" s="73"/>
      <c r="Q920" s="61"/>
      <c r="R920" s="61"/>
      <c r="S920" s="61"/>
      <c r="T920" s="64"/>
    </row>
    <row r="921" spans="3:20" ht="14.1" customHeight="1" x14ac:dyDescent="0.25">
      <c r="C921" s="72"/>
      <c r="D921" s="73"/>
      <c r="Q921" s="61"/>
      <c r="R921" s="61"/>
      <c r="S921" s="61"/>
      <c r="T921" s="64"/>
    </row>
    <row r="922" spans="3:20" ht="14.1" customHeight="1" x14ac:dyDescent="0.25">
      <c r="C922" s="72"/>
      <c r="D922" s="73"/>
      <c r="Q922" s="61"/>
      <c r="R922" s="61"/>
      <c r="S922" s="61"/>
      <c r="T922" s="64"/>
    </row>
    <row r="923" spans="3:20" ht="14.1" customHeight="1" x14ac:dyDescent="0.25">
      <c r="C923" s="72"/>
      <c r="D923" s="73"/>
      <c r="Q923" s="61"/>
      <c r="R923" s="61"/>
      <c r="S923" s="61"/>
      <c r="T923" s="64"/>
    </row>
    <row r="924" spans="3:20" ht="14.1" customHeight="1" x14ac:dyDescent="0.25">
      <c r="C924" s="72"/>
      <c r="D924" s="73"/>
      <c r="Q924" s="61"/>
      <c r="R924" s="61"/>
      <c r="S924" s="61"/>
      <c r="T924" s="64"/>
    </row>
    <row r="925" spans="3:20" ht="14.1" customHeight="1" x14ac:dyDescent="0.25">
      <c r="C925" s="72"/>
      <c r="D925" s="73"/>
      <c r="Q925" s="61"/>
      <c r="R925" s="61"/>
      <c r="S925" s="61"/>
      <c r="T925" s="64"/>
    </row>
    <row r="926" spans="3:20" ht="14.1" customHeight="1" x14ac:dyDescent="0.25">
      <c r="C926" s="72"/>
      <c r="D926" s="73"/>
      <c r="Q926" s="61"/>
      <c r="R926" s="61"/>
      <c r="S926" s="61"/>
      <c r="T926" s="64"/>
    </row>
    <row r="927" spans="3:20" ht="14.1" customHeight="1" x14ac:dyDescent="0.25">
      <c r="C927" s="72"/>
      <c r="D927" s="73"/>
      <c r="Q927" s="61"/>
      <c r="R927" s="61"/>
      <c r="S927" s="61"/>
      <c r="T927" s="64"/>
    </row>
    <row r="928" spans="3:20" ht="14.1" customHeight="1" x14ac:dyDescent="0.25">
      <c r="C928" s="72"/>
      <c r="D928" s="73"/>
      <c r="Q928" s="61"/>
      <c r="R928" s="61"/>
      <c r="S928" s="61"/>
      <c r="T928" s="64"/>
    </row>
    <row r="929" spans="3:20" ht="14.1" customHeight="1" x14ac:dyDescent="0.25">
      <c r="C929" s="72"/>
      <c r="D929" s="73"/>
      <c r="Q929" s="61"/>
      <c r="R929" s="61"/>
      <c r="S929" s="61"/>
      <c r="T929" s="64"/>
    </row>
    <row r="930" spans="3:20" ht="14.1" customHeight="1" x14ac:dyDescent="0.25">
      <c r="C930" s="72"/>
      <c r="D930" s="73"/>
      <c r="Q930" s="61"/>
      <c r="R930" s="61"/>
      <c r="S930" s="61"/>
      <c r="T930" s="64"/>
    </row>
    <row r="931" spans="3:20" ht="14.1" customHeight="1" x14ac:dyDescent="0.25">
      <c r="C931" s="74"/>
      <c r="D931" s="71"/>
      <c r="Q931" s="61"/>
      <c r="R931" s="61"/>
      <c r="S931" s="61"/>
      <c r="T931" s="64"/>
    </row>
    <row r="932" spans="3:20" ht="14.1" customHeight="1" x14ac:dyDescent="0.25">
      <c r="C932" s="83"/>
      <c r="D932" s="75"/>
      <c r="Q932" s="61"/>
      <c r="R932" s="61"/>
      <c r="S932" s="61"/>
      <c r="T932" s="64"/>
    </row>
    <row r="933" spans="3:20" ht="14.1" customHeight="1" x14ac:dyDescent="0.25">
      <c r="C933" s="84"/>
      <c r="D933" s="75"/>
      <c r="Q933" s="61"/>
      <c r="R933" s="61"/>
      <c r="S933" s="61"/>
      <c r="T933" s="64"/>
    </row>
    <row r="934" spans="3:20" ht="14.1" customHeight="1" x14ac:dyDescent="0.25">
      <c r="C934" s="84"/>
      <c r="D934" s="75"/>
      <c r="Q934" s="61"/>
      <c r="R934" s="61"/>
      <c r="S934" s="61"/>
      <c r="T934" s="64"/>
    </row>
    <row r="935" spans="3:20" ht="14.1" customHeight="1" x14ac:dyDescent="0.25">
      <c r="C935" s="84"/>
      <c r="D935" s="75"/>
      <c r="Q935" s="61"/>
      <c r="R935" s="61"/>
      <c r="S935" s="61"/>
      <c r="T935" s="64"/>
    </row>
    <row r="936" spans="3:20" ht="14.1" customHeight="1" x14ac:dyDescent="0.25">
      <c r="C936" s="84"/>
      <c r="D936" s="75"/>
      <c r="Q936" s="61"/>
      <c r="R936" s="61"/>
      <c r="S936" s="61"/>
      <c r="T936" s="64"/>
    </row>
    <row r="937" spans="3:20" ht="14.1" customHeight="1" x14ac:dyDescent="0.25">
      <c r="C937" s="84"/>
      <c r="D937" s="75"/>
      <c r="Q937" s="61"/>
      <c r="R937" s="61"/>
      <c r="S937" s="61"/>
      <c r="T937" s="64"/>
    </row>
    <row r="938" spans="3:20" ht="14.1" customHeight="1" x14ac:dyDescent="0.25">
      <c r="C938" s="84"/>
      <c r="D938" s="75"/>
      <c r="Q938" s="61"/>
      <c r="R938" s="61"/>
      <c r="S938" s="61"/>
      <c r="T938" s="64"/>
    </row>
    <row r="939" spans="3:20" ht="14.1" customHeight="1" x14ac:dyDescent="0.25">
      <c r="C939" s="84"/>
      <c r="D939" s="75"/>
      <c r="Q939" s="61"/>
      <c r="R939" s="61"/>
      <c r="S939" s="61"/>
      <c r="T939" s="64"/>
    </row>
    <row r="940" spans="3:20" ht="14.1" customHeight="1" x14ac:dyDescent="0.25">
      <c r="C940" s="84"/>
      <c r="D940" s="75"/>
      <c r="Q940" s="61"/>
      <c r="R940" s="61"/>
      <c r="S940" s="61"/>
      <c r="T940" s="64"/>
    </row>
    <row r="941" spans="3:20" ht="14.1" customHeight="1" x14ac:dyDescent="0.25">
      <c r="C941" s="84"/>
      <c r="D941" s="75"/>
      <c r="Q941" s="61"/>
      <c r="R941" s="61"/>
      <c r="S941" s="61"/>
      <c r="T941" s="64"/>
    </row>
    <row r="942" spans="3:20" ht="14.1" customHeight="1" x14ac:dyDescent="0.25">
      <c r="C942" s="84"/>
      <c r="D942" s="75"/>
      <c r="Q942" s="61"/>
      <c r="R942" s="61"/>
      <c r="S942" s="61"/>
      <c r="T942" s="64"/>
    </row>
    <row r="943" spans="3:20" ht="14.1" customHeight="1" x14ac:dyDescent="0.25">
      <c r="C943" s="84"/>
      <c r="D943" s="75"/>
      <c r="Q943" s="61"/>
      <c r="R943" s="61"/>
      <c r="S943" s="61"/>
      <c r="T943" s="64"/>
    </row>
    <row r="944" spans="3:20" ht="14.1" customHeight="1" x14ac:dyDescent="0.25">
      <c r="C944" s="84"/>
      <c r="D944" s="75"/>
      <c r="Q944" s="61"/>
      <c r="R944" s="61"/>
      <c r="S944" s="61"/>
      <c r="T944" s="64"/>
    </row>
    <row r="945" spans="3:20" ht="14.1" customHeight="1" x14ac:dyDescent="0.25">
      <c r="C945" s="84"/>
      <c r="D945" s="75"/>
      <c r="Q945" s="61"/>
      <c r="R945" s="61"/>
      <c r="S945" s="61"/>
      <c r="T945" s="64"/>
    </row>
    <row r="946" spans="3:20" ht="14.1" customHeight="1" x14ac:dyDescent="0.25">
      <c r="C946" s="84"/>
      <c r="D946" s="75"/>
      <c r="Q946" s="61"/>
      <c r="R946" s="61"/>
      <c r="S946" s="61"/>
      <c r="T946" s="64"/>
    </row>
    <row r="947" spans="3:20" ht="14.1" customHeight="1" x14ac:dyDescent="0.25">
      <c r="C947" s="84"/>
      <c r="D947" s="75"/>
      <c r="Q947" s="61"/>
      <c r="R947" s="61"/>
      <c r="S947" s="61"/>
      <c r="T947" s="64"/>
    </row>
    <row r="948" spans="3:20" ht="14.1" customHeight="1" x14ac:dyDescent="0.25">
      <c r="C948" s="84"/>
      <c r="D948" s="75"/>
      <c r="Q948" s="61"/>
      <c r="R948" s="61"/>
      <c r="S948" s="61"/>
      <c r="T948" s="64"/>
    </row>
    <row r="949" spans="3:20" ht="14.1" customHeight="1" x14ac:dyDescent="0.25">
      <c r="C949" s="84"/>
      <c r="D949" s="75"/>
      <c r="Q949" s="61"/>
      <c r="R949" s="61"/>
      <c r="S949" s="61"/>
      <c r="T949" s="64"/>
    </row>
    <row r="950" spans="3:20" ht="14.1" customHeight="1" x14ac:dyDescent="0.25">
      <c r="C950" s="84"/>
      <c r="D950" s="75"/>
      <c r="Q950" s="61"/>
      <c r="R950" s="61"/>
      <c r="S950" s="61"/>
      <c r="T950" s="64"/>
    </row>
    <row r="951" spans="3:20" ht="14.1" customHeight="1" x14ac:dyDescent="0.25">
      <c r="C951" s="84"/>
      <c r="D951" s="75"/>
      <c r="Q951" s="61"/>
      <c r="R951" s="61"/>
      <c r="S951" s="61"/>
      <c r="T951" s="64"/>
    </row>
    <row r="952" spans="3:20" ht="14.1" customHeight="1" x14ac:dyDescent="0.25">
      <c r="C952" s="84"/>
      <c r="D952" s="75"/>
      <c r="Q952" s="61"/>
      <c r="R952" s="61"/>
      <c r="S952" s="61"/>
      <c r="T952" s="64"/>
    </row>
    <row r="953" spans="3:20" ht="14.1" customHeight="1" x14ac:dyDescent="0.25">
      <c r="C953" s="84"/>
      <c r="D953" s="75"/>
      <c r="Q953" s="61"/>
      <c r="R953" s="61"/>
      <c r="S953" s="61"/>
      <c r="T953" s="64"/>
    </row>
    <row r="954" spans="3:20" ht="14.1" customHeight="1" x14ac:dyDescent="0.25">
      <c r="C954" s="84"/>
      <c r="D954" s="75"/>
      <c r="Q954" s="61"/>
      <c r="R954" s="61"/>
      <c r="S954" s="61"/>
      <c r="T954" s="64"/>
    </row>
    <row r="955" spans="3:20" ht="14.1" customHeight="1" x14ac:dyDescent="0.25">
      <c r="C955" s="84"/>
      <c r="D955" s="75"/>
      <c r="M955" s="5"/>
      <c r="N955" s="65"/>
      <c r="Q955" s="61"/>
      <c r="R955" s="61"/>
      <c r="S955" s="61"/>
      <c r="T955" s="64"/>
    </row>
    <row r="956" spans="3:20" ht="14.1" customHeight="1" x14ac:dyDescent="0.25">
      <c r="C956" s="84"/>
      <c r="D956" s="75"/>
      <c r="Q956" s="61"/>
      <c r="R956" s="61"/>
      <c r="S956" s="61"/>
      <c r="T956" s="64"/>
    </row>
    <row r="957" spans="3:20" ht="14.1" customHeight="1" x14ac:dyDescent="0.25">
      <c r="C957" s="84"/>
      <c r="D957" s="75"/>
      <c r="Q957" s="61"/>
      <c r="R957" s="61"/>
      <c r="S957" s="61"/>
      <c r="T957" s="64"/>
    </row>
    <row r="958" spans="3:20" ht="14.1" customHeight="1" x14ac:dyDescent="0.25">
      <c r="C958" s="84"/>
      <c r="D958" s="75"/>
      <c r="Q958" s="61"/>
      <c r="R958" s="61"/>
      <c r="S958" s="61"/>
      <c r="T958" s="64"/>
    </row>
    <row r="959" spans="3:20" ht="14.1" customHeight="1" x14ac:dyDescent="0.25">
      <c r="C959" s="84"/>
      <c r="D959" s="75"/>
      <c r="Q959" s="61"/>
      <c r="R959" s="61"/>
      <c r="S959" s="61"/>
      <c r="T959" s="64"/>
    </row>
    <row r="960" spans="3:20" ht="14.1" customHeight="1" x14ac:dyDescent="0.25">
      <c r="C960" s="84"/>
      <c r="D960" s="75"/>
      <c r="Q960" s="61"/>
      <c r="R960" s="61"/>
      <c r="S960" s="61"/>
      <c r="T960" s="64"/>
    </row>
    <row r="961" spans="3:20" ht="14.1" customHeight="1" x14ac:dyDescent="0.25">
      <c r="C961" s="84"/>
      <c r="D961" s="75"/>
      <c r="Q961" s="61"/>
      <c r="R961" s="61"/>
      <c r="S961" s="61"/>
      <c r="T961" s="64"/>
    </row>
    <row r="962" spans="3:20" ht="14.1" customHeight="1" x14ac:dyDescent="0.25">
      <c r="C962" s="84"/>
      <c r="D962" s="75"/>
      <c r="Q962" s="61"/>
      <c r="R962" s="61"/>
      <c r="S962" s="61"/>
      <c r="T962" s="64"/>
    </row>
    <row r="963" spans="3:20" ht="14.1" customHeight="1" x14ac:dyDescent="0.25">
      <c r="C963" s="84"/>
      <c r="D963" s="75"/>
      <c r="Q963" s="61"/>
      <c r="R963" s="61"/>
      <c r="S963" s="61"/>
      <c r="T963" s="64"/>
    </row>
    <row r="964" spans="3:20" ht="14.1" customHeight="1" x14ac:dyDescent="0.25">
      <c r="C964" s="84"/>
      <c r="D964" s="75"/>
      <c r="Q964" s="61"/>
      <c r="R964" s="61"/>
      <c r="S964" s="61"/>
      <c r="T964" s="64"/>
    </row>
    <row r="965" spans="3:20" ht="14.1" customHeight="1" x14ac:dyDescent="0.25">
      <c r="C965" s="84"/>
      <c r="D965" s="75"/>
      <c r="Q965" s="61"/>
      <c r="R965" s="61"/>
      <c r="S965" s="61"/>
      <c r="T965" s="64"/>
    </row>
    <row r="966" spans="3:20" ht="14.1" customHeight="1" x14ac:dyDescent="0.25">
      <c r="C966" s="84"/>
      <c r="D966" s="75"/>
      <c r="Q966" s="61"/>
      <c r="R966" s="61"/>
      <c r="S966" s="61"/>
      <c r="T966" s="64"/>
    </row>
    <row r="967" spans="3:20" ht="14.1" customHeight="1" x14ac:dyDescent="0.25">
      <c r="C967" s="84"/>
      <c r="D967" s="75"/>
      <c r="Q967" s="61"/>
      <c r="R967" s="61"/>
      <c r="S967" s="61"/>
      <c r="T967" s="64"/>
    </row>
    <row r="968" spans="3:20" ht="14.1" customHeight="1" x14ac:dyDescent="0.25">
      <c r="C968" s="84"/>
      <c r="D968" s="75"/>
      <c r="Q968" s="61"/>
      <c r="R968" s="61"/>
      <c r="S968" s="61"/>
      <c r="T968" s="64"/>
    </row>
    <row r="969" spans="3:20" ht="14.1" customHeight="1" x14ac:dyDescent="0.25">
      <c r="C969" s="84"/>
      <c r="D969" s="75"/>
      <c r="Q969" s="61"/>
      <c r="R969" s="61"/>
      <c r="S969" s="61"/>
      <c r="T969" s="64"/>
    </row>
    <row r="970" spans="3:20" ht="14.1" customHeight="1" x14ac:dyDescent="0.25">
      <c r="C970" s="84"/>
      <c r="D970" s="75"/>
      <c r="Q970" s="61"/>
      <c r="R970" s="61"/>
      <c r="S970" s="61"/>
      <c r="T970" s="64"/>
    </row>
    <row r="971" spans="3:20" ht="14.1" customHeight="1" x14ac:dyDescent="0.25">
      <c r="C971" s="84"/>
      <c r="D971" s="75"/>
      <c r="Q971" s="61"/>
      <c r="R971" s="61"/>
      <c r="S971" s="61"/>
      <c r="T971" s="64"/>
    </row>
    <row r="972" spans="3:20" ht="14.1" customHeight="1" x14ac:dyDescent="0.25">
      <c r="C972" s="84"/>
      <c r="D972" s="75"/>
      <c r="Q972" s="61"/>
      <c r="R972" s="61"/>
      <c r="S972" s="61"/>
      <c r="T972" s="64"/>
    </row>
    <row r="973" spans="3:20" ht="14.1" customHeight="1" x14ac:dyDescent="0.25">
      <c r="C973" s="84"/>
      <c r="D973" s="75"/>
      <c r="Q973" s="61"/>
      <c r="R973" s="61"/>
      <c r="S973" s="61"/>
      <c r="T973" s="64"/>
    </row>
    <row r="974" spans="3:20" ht="14.1" customHeight="1" x14ac:dyDescent="0.25">
      <c r="C974" s="84"/>
      <c r="D974" s="75"/>
      <c r="Q974" s="61"/>
      <c r="R974" s="61"/>
      <c r="S974" s="61"/>
      <c r="T974" s="64"/>
    </row>
    <row r="975" spans="3:20" ht="14.1" customHeight="1" x14ac:dyDescent="0.25">
      <c r="C975" s="84"/>
      <c r="D975" s="75"/>
      <c r="Q975" s="61"/>
      <c r="R975" s="61"/>
      <c r="S975" s="61"/>
      <c r="T975" s="64"/>
    </row>
    <row r="976" spans="3:20" ht="14.1" customHeight="1" x14ac:dyDescent="0.25">
      <c r="C976" s="83"/>
      <c r="D976" s="75"/>
      <c r="Q976" s="61"/>
      <c r="R976" s="61"/>
      <c r="S976" s="61"/>
      <c r="T976" s="64"/>
    </row>
    <row r="977" spans="3:20" ht="14.1" customHeight="1" x14ac:dyDescent="0.25">
      <c r="C977" s="83"/>
      <c r="D977" s="75"/>
      <c r="Q977" s="61"/>
      <c r="R977" s="61"/>
      <c r="S977" s="61"/>
      <c r="T977" s="64"/>
    </row>
    <row r="978" spans="3:20" ht="14.1" customHeight="1" x14ac:dyDescent="0.25">
      <c r="C978" s="84"/>
      <c r="D978" s="75"/>
      <c r="Q978" s="61"/>
      <c r="R978" s="61"/>
      <c r="S978" s="61"/>
      <c r="T978" s="64"/>
    </row>
    <row r="979" spans="3:20" ht="14.1" customHeight="1" x14ac:dyDescent="0.25">
      <c r="C979" s="84"/>
      <c r="D979" s="75"/>
      <c r="Q979" s="61"/>
      <c r="R979" s="61"/>
      <c r="S979" s="61"/>
      <c r="T979" s="64"/>
    </row>
    <row r="980" spans="3:20" ht="14.1" customHeight="1" x14ac:dyDescent="0.25">
      <c r="C980" s="84"/>
      <c r="D980" s="75"/>
      <c r="Q980" s="61"/>
      <c r="R980" s="61"/>
      <c r="S980" s="61"/>
      <c r="T980" s="64"/>
    </row>
    <row r="981" spans="3:20" ht="14.1" customHeight="1" x14ac:dyDescent="0.25">
      <c r="C981" s="84"/>
      <c r="D981" s="75"/>
      <c r="Q981" s="61"/>
      <c r="R981" s="61"/>
      <c r="S981" s="61"/>
      <c r="T981" s="64"/>
    </row>
    <row r="982" spans="3:20" ht="14.1" customHeight="1" x14ac:dyDescent="0.25">
      <c r="C982" s="84"/>
      <c r="D982" s="75"/>
      <c r="Q982" s="61"/>
      <c r="R982" s="61"/>
      <c r="S982" s="61"/>
      <c r="T982" s="64"/>
    </row>
    <row r="983" spans="3:20" ht="14.1" customHeight="1" x14ac:dyDescent="0.25">
      <c r="C983" s="84"/>
      <c r="D983" s="75"/>
      <c r="Q983" s="61"/>
      <c r="R983" s="61"/>
      <c r="S983" s="61"/>
      <c r="T983" s="64"/>
    </row>
    <row r="984" spans="3:20" ht="14.1" customHeight="1" x14ac:dyDescent="0.25">
      <c r="C984" s="84"/>
      <c r="D984" s="75"/>
      <c r="Q984" s="61"/>
      <c r="R984" s="61"/>
      <c r="S984" s="61"/>
      <c r="T984" s="64"/>
    </row>
    <row r="985" spans="3:20" ht="14.1" customHeight="1" x14ac:dyDescent="0.25">
      <c r="C985" s="84"/>
      <c r="D985" s="75"/>
      <c r="Q985" s="61"/>
      <c r="R985" s="61"/>
      <c r="S985" s="61"/>
      <c r="T985" s="64"/>
    </row>
    <row r="986" spans="3:20" ht="14.1" customHeight="1" x14ac:dyDescent="0.25">
      <c r="C986" s="84"/>
      <c r="D986" s="75"/>
      <c r="Q986" s="61"/>
      <c r="R986" s="61"/>
      <c r="S986" s="61"/>
      <c r="T986" s="64"/>
    </row>
    <row r="987" spans="3:20" ht="14.1" customHeight="1" x14ac:dyDescent="0.25">
      <c r="C987" s="84"/>
      <c r="D987" s="75"/>
      <c r="Q987" s="61"/>
      <c r="R987" s="61"/>
      <c r="S987" s="61"/>
      <c r="T987" s="64"/>
    </row>
    <row r="988" spans="3:20" ht="14.1" customHeight="1" x14ac:dyDescent="0.25">
      <c r="C988" s="84"/>
      <c r="D988" s="75"/>
      <c r="Q988" s="61"/>
      <c r="R988" s="61"/>
      <c r="S988" s="61"/>
      <c r="T988" s="64"/>
    </row>
    <row r="989" spans="3:20" ht="14.1" customHeight="1" x14ac:dyDescent="0.25">
      <c r="C989" s="84"/>
      <c r="D989" s="75"/>
      <c r="Q989" s="61"/>
      <c r="R989" s="61"/>
      <c r="S989" s="61"/>
      <c r="T989" s="64"/>
    </row>
    <row r="990" spans="3:20" ht="14.1" customHeight="1" x14ac:dyDescent="0.25">
      <c r="C990" s="84"/>
      <c r="D990" s="75"/>
      <c r="Q990" s="61"/>
      <c r="R990" s="61"/>
      <c r="S990" s="61"/>
      <c r="T990" s="64"/>
    </row>
    <row r="991" spans="3:20" ht="14.1" customHeight="1" x14ac:dyDescent="0.25">
      <c r="C991" s="84"/>
      <c r="D991" s="75"/>
      <c r="Q991" s="61"/>
      <c r="R991" s="61"/>
      <c r="S991" s="61"/>
      <c r="T991" s="64"/>
    </row>
    <row r="992" spans="3:20" ht="14.1" customHeight="1" x14ac:dyDescent="0.25">
      <c r="C992" s="84"/>
      <c r="D992" s="75"/>
      <c r="Q992" s="61"/>
      <c r="R992" s="61"/>
      <c r="S992" s="61"/>
      <c r="T992" s="64"/>
    </row>
    <row r="993" spans="3:20" ht="14.1" customHeight="1" x14ac:dyDescent="0.25">
      <c r="C993" s="84"/>
      <c r="D993" s="75"/>
      <c r="Q993" s="61"/>
      <c r="R993" s="61"/>
      <c r="S993" s="61"/>
      <c r="T993" s="64"/>
    </row>
    <row r="994" spans="3:20" ht="14.1" customHeight="1" x14ac:dyDescent="0.25">
      <c r="C994" s="84"/>
      <c r="D994" s="75"/>
      <c r="Q994" s="61"/>
      <c r="R994" s="61"/>
      <c r="S994" s="61"/>
      <c r="T994" s="64"/>
    </row>
    <row r="995" spans="3:20" ht="14.1" customHeight="1" x14ac:dyDescent="0.25">
      <c r="C995" s="84"/>
      <c r="D995" s="75"/>
      <c r="M995" s="5"/>
      <c r="N995" s="65"/>
      <c r="Q995" s="61"/>
      <c r="R995" s="61"/>
      <c r="S995" s="61"/>
      <c r="T995" s="64"/>
    </row>
    <row r="996" spans="3:20" ht="14.1" customHeight="1" x14ac:dyDescent="0.25">
      <c r="C996" s="84"/>
      <c r="D996" s="75"/>
      <c r="Q996" s="61"/>
      <c r="R996" s="61"/>
      <c r="S996" s="61"/>
      <c r="T996" s="64"/>
    </row>
    <row r="997" spans="3:20" ht="14.1" customHeight="1" x14ac:dyDescent="0.25">
      <c r="C997" s="84"/>
      <c r="D997" s="75"/>
      <c r="Q997" s="61"/>
      <c r="R997" s="61"/>
      <c r="S997" s="61"/>
      <c r="T997" s="64"/>
    </row>
    <row r="998" spans="3:20" ht="14.1" customHeight="1" x14ac:dyDescent="0.25">
      <c r="C998" s="84"/>
      <c r="D998" s="75"/>
      <c r="Q998" s="61"/>
      <c r="R998" s="61"/>
      <c r="S998" s="61"/>
      <c r="T998" s="64"/>
    </row>
    <row r="999" spans="3:20" ht="14.1" customHeight="1" x14ac:dyDescent="0.25">
      <c r="C999" s="84"/>
      <c r="D999" s="75"/>
      <c r="Q999" s="61"/>
      <c r="R999" s="61"/>
      <c r="S999" s="61"/>
      <c r="T999" s="64"/>
    </row>
    <row r="1000" spans="3:20" ht="14.1" customHeight="1" x14ac:dyDescent="0.25">
      <c r="C1000" s="84"/>
      <c r="D1000" s="75"/>
      <c r="Q1000" s="61"/>
      <c r="R1000" s="61"/>
      <c r="S1000" s="61"/>
      <c r="T1000" s="64"/>
    </row>
    <row r="1001" spans="3:20" ht="14.1" customHeight="1" x14ac:dyDescent="0.25">
      <c r="C1001" s="84"/>
      <c r="D1001" s="75"/>
      <c r="Q1001" s="61"/>
      <c r="R1001" s="61"/>
      <c r="S1001" s="61"/>
      <c r="T1001" s="64"/>
    </row>
    <row r="1002" spans="3:20" ht="14.1" customHeight="1" x14ac:dyDescent="0.25">
      <c r="C1002" s="84"/>
      <c r="D1002" s="75"/>
      <c r="Q1002" s="61"/>
      <c r="R1002" s="61"/>
      <c r="S1002" s="61"/>
      <c r="T1002" s="64"/>
    </row>
    <row r="1003" spans="3:20" ht="14.1" customHeight="1" x14ac:dyDescent="0.25">
      <c r="C1003" s="84"/>
      <c r="D1003" s="75"/>
      <c r="Q1003" s="61"/>
      <c r="R1003" s="61"/>
      <c r="S1003" s="61"/>
      <c r="T1003" s="64"/>
    </row>
    <row r="1004" spans="3:20" ht="14.1" customHeight="1" x14ac:dyDescent="0.25">
      <c r="C1004" s="84"/>
      <c r="D1004" s="75"/>
      <c r="Q1004" s="61"/>
      <c r="R1004" s="61"/>
      <c r="S1004" s="61"/>
      <c r="T1004" s="64"/>
    </row>
    <row r="1005" spans="3:20" ht="14.1" customHeight="1" x14ac:dyDescent="0.25">
      <c r="C1005" s="84"/>
      <c r="D1005" s="75"/>
      <c r="Q1005" s="61"/>
      <c r="R1005" s="61"/>
      <c r="S1005" s="61"/>
      <c r="T1005" s="64"/>
    </row>
    <row r="1006" spans="3:20" ht="14.1" customHeight="1" x14ac:dyDescent="0.25">
      <c r="C1006" s="84"/>
      <c r="D1006" s="75"/>
      <c r="Q1006" s="61"/>
      <c r="R1006" s="61"/>
      <c r="S1006" s="61"/>
      <c r="T1006" s="64"/>
    </row>
    <row r="1007" spans="3:20" ht="14.1" customHeight="1" x14ac:dyDescent="0.25">
      <c r="C1007" s="84"/>
      <c r="D1007" s="75"/>
      <c r="Q1007" s="61"/>
      <c r="R1007" s="61"/>
      <c r="S1007" s="61"/>
      <c r="T1007" s="64"/>
    </row>
    <row r="1008" spans="3:20" ht="14.1" customHeight="1" x14ac:dyDescent="0.25">
      <c r="C1008" s="84"/>
      <c r="D1008" s="75"/>
      <c r="Q1008" s="61"/>
      <c r="R1008" s="61"/>
      <c r="S1008" s="61"/>
      <c r="T1008" s="64"/>
    </row>
    <row r="1009" spans="3:20" ht="14.1" customHeight="1" x14ac:dyDescent="0.25">
      <c r="C1009" s="84"/>
      <c r="D1009" s="75"/>
      <c r="Q1009" s="61"/>
      <c r="R1009" s="61"/>
      <c r="S1009" s="61"/>
      <c r="T1009" s="64"/>
    </row>
    <row r="1010" spans="3:20" ht="14.1" customHeight="1" x14ac:dyDescent="0.25">
      <c r="C1010" s="84"/>
      <c r="D1010" s="75"/>
      <c r="Q1010" s="61"/>
      <c r="R1010" s="61"/>
      <c r="S1010" s="61"/>
      <c r="T1010" s="64"/>
    </row>
    <row r="1011" spans="3:20" ht="14.1" customHeight="1" x14ac:dyDescent="0.25">
      <c r="C1011" s="84"/>
      <c r="D1011" s="75"/>
      <c r="Q1011" s="61"/>
      <c r="R1011" s="61"/>
      <c r="S1011" s="61"/>
      <c r="T1011" s="64"/>
    </row>
    <row r="1012" spans="3:20" ht="14.1" customHeight="1" x14ac:dyDescent="0.25">
      <c r="C1012" s="84"/>
      <c r="D1012" s="75"/>
      <c r="Q1012" s="61"/>
      <c r="R1012" s="61"/>
      <c r="S1012" s="61"/>
      <c r="T1012" s="64"/>
    </row>
    <row r="1013" spans="3:20" ht="14.1" customHeight="1" x14ac:dyDescent="0.25">
      <c r="C1013" s="84"/>
      <c r="D1013" s="75"/>
      <c r="Q1013" s="61"/>
      <c r="R1013" s="61"/>
      <c r="S1013" s="61"/>
      <c r="T1013" s="64"/>
    </row>
    <row r="1014" spans="3:20" ht="14.1" customHeight="1" x14ac:dyDescent="0.25">
      <c r="C1014" s="84"/>
      <c r="D1014" s="75"/>
      <c r="Q1014" s="61"/>
      <c r="R1014" s="61"/>
      <c r="S1014" s="61"/>
      <c r="T1014" s="64"/>
    </row>
    <row r="1015" spans="3:20" ht="14.1" customHeight="1" x14ac:dyDescent="0.25">
      <c r="C1015" s="84"/>
      <c r="D1015" s="75"/>
      <c r="Q1015" s="61"/>
      <c r="R1015" s="61"/>
      <c r="S1015" s="61"/>
      <c r="T1015" s="64"/>
    </row>
    <row r="1016" spans="3:20" ht="14.1" customHeight="1" x14ac:dyDescent="0.25">
      <c r="C1016" s="84"/>
      <c r="D1016" s="75"/>
      <c r="Q1016" s="61"/>
      <c r="R1016" s="61"/>
      <c r="S1016" s="61"/>
      <c r="T1016" s="64"/>
    </row>
    <row r="1017" spans="3:20" ht="14.1" customHeight="1" x14ac:dyDescent="0.25">
      <c r="C1017" s="84"/>
      <c r="D1017" s="75"/>
      <c r="Q1017" s="61"/>
      <c r="R1017" s="61"/>
      <c r="S1017" s="61"/>
      <c r="T1017" s="64"/>
    </row>
    <row r="1018" spans="3:20" ht="14.1" customHeight="1" x14ac:dyDescent="0.25">
      <c r="C1018" s="84"/>
      <c r="D1018" s="75"/>
      <c r="Q1018" s="61"/>
      <c r="R1018" s="61"/>
      <c r="S1018" s="61"/>
      <c r="T1018" s="64"/>
    </row>
    <row r="1019" spans="3:20" ht="14.1" customHeight="1" x14ac:dyDescent="0.25">
      <c r="C1019" s="84"/>
      <c r="D1019" s="75"/>
      <c r="Q1019" s="61"/>
      <c r="R1019" s="61"/>
      <c r="S1019" s="61"/>
      <c r="T1019" s="64"/>
    </row>
    <row r="1020" spans="3:20" ht="14.1" customHeight="1" x14ac:dyDescent="0.25">
      <c r="C1020" s="84"/>
      <c r="D1020" s="75"/>
      <c r="Q1020" s="61"/>
      <c r="R1020" s="61"/>
      <c r="S1020" s="61"/>
      <c r="T1020" s="64"/>
    </row>
    <row r="1021" spans="3:20" ht="14.1" customHeight="1" x14ac:dyDescent="0.25">
      <c r="C1021" s="84"/>
      <c r="D1021" s="75"/>
      <c r="Q1021" s="61"/>
      <c r="R1021" s="61"/>
      <c r="S1021" s="61"/>
      <c r="T1021" s="64"/>
    </row>
    <row r="1022" spans="3:20" ht="14.1" customHeight="1" x14ac:dyDescent="0.25">
      <c r="C1022" s="84"/>
      <c r="D1022" s="75"/>
      <c r="Q1022" s="61"/>
      <c r="R1022" s="61"/>
      <c r="S1022" s="61"/>
      <c r="T1022" s="64"/>
    </row>
    <row r="1023" spans="3:20" ht="14.1" customHeight="1" x14ac:dyDescent="0.25">
      <c r="C1023" s="84"/>
      <c r="D1023" s="75"/>
      <c r="Q1023" s="61"/>
      <c r="R1023" s="61"/>
      <c r="S1023" s="61"/>
      <c r="T1023" s="64"/>
    </row>
    <row r="1024" spans="3:20" ht="14.1" customHeight="1" x14ac:dyDescent="0.25">
      <c r="C1024" s="84"/>
      <c r="D1024" s="75"/>
      <c r="Q1024" s="61"/>
      <c r="R1024" s="61"/>
      <c r="S1024" s="61"/>
      <c r="T1024" s="64"/>
    </row>
    <row r="1025" spans="3:20" ht="14.1" customHeight="1" x14ac:dyDescent="0.25">
      <c r="C1025" s="84"/>
      <c r="D1025" s="75"/>
      <c r="Q1025" s="61"/>
      <c r="R1025" s="61"/>
      <c r="S1025" s="61"/>
      <c r="T1025" s="64"/>
    </row>
    <row r="1026" spans="3:20" ht="14.1" customHeight="1" x14ac:dyDescent="0.25">
      <c r="C1026" s="84"/>
      <c r="D1026" s="75"/>
      <c r="Q1026" s="61"/>
      <c r="R1026" s="61"/>
      <c r="S1026" s="61"/>
      <c r="T1026" s="64"/>
    </row>
    <row r="1027" spans="3:20" ht="14.1" customHeight="1" x14ac:dyDescent="0.25">
      <c r="C1027" s="84"/>
      <c r="D1027" s="75"/>
      <c r="Q1027" s="61"/>
      <c r="R1027" s="61"/>
      <c r="S1027" s="61"/>
      <c r="T1027" s="64"/>
    </row>
    <row r="1028" spans="3:20" ht="14.1" customHeight="1" x14ac:dyDescent="0.25">
      <c r="C1028" s="84"/>
      <c r="D1028" s="75"/>
      <c r="Q1028" s="61"/>
      <c r="R1028" s="61"/>
      <c r="S1028" s="61"/>
      <c r="T1028" s="64"/>
    </row>
    <row r="1029" spans="3:20" ht="14.1" customHeight="1" x14ac:dyDescent="0.25">
      <c r="C1029" s="84"/>
      <c r="D1029" s="75"/>
      <c r="Q1029" s="61"/>
      <c r="R1029" s="61"/>
      <c r="S1029" s="61"/>
      <c r="T1029" s="64"/>
    </row>
    <row r="1030" spans="3:20" ht="14.1" customHeight="1" x14ac:dyDescent="0.25">
      <c r="C1030" s="84"/>
      <c r="D1030" s="75"/>
      <c r="Q1030" s="61"/>
      <c r="R1030" s="61"/>
      <c r="S1030" s="61"/>
      <c r="T1030" s="64"/>
    </row>
    <row r="1031" spans="3:20" ht="14.1" customHeight="1" x14ac:dyDescent="0.25">
      <c r="C1031" s="84"/>
      <c r="D1031" s="75"/>
      <c r="Q1031" s="61"/>
      <c r="R1031" s="61"/>
      <c r="S1031" s="61"/>
      <c r="T1031" s="64"/>
    </row>
    <row r="1032" spans="3:20" ht="14.1" customHeight="1" x14ac:dyDescent="0.25">
      <c r="C1032" s="84"/>
      <c r="D1032" s="75"/>
      <c r="Q1032" s="61"/>
      <c r="R1032" s="61"/>
      <c r="S1032" s="61"/>
      <c r="T1032" s="64"/>
    </row>
    <row r="1033" spans="3:20" ht="14.1" customHeight="1" x14ac:dyDescent="0.25">
      <c r="C1033" s="84"/>
      <c r="D1033" s="75"/>
      <c r="Q1033" s="61"/>
      <c r="R1033" s="61"/>
      <c r="S1033" s="61"/>
      <c r="T1033" s="64"/>
    </row>
    <row r="1034" spans="3:20" ht="14.1" customHeight="1" x14ac:dyDescent="0.25">
      <c r="C1034" s="84"/>
      <c r="D1034" s="75"/>
      <c r="Q1034" s="61"/>
      <c r="R1034" s="61"/>
      <c r="S1034" s="61"/>
      <c r="T1034" s="64"/>
    </row>
    <row r="1035" spans="3:20" ht="14.1" customHeight="1" x14ac:dyDescent="0.25">
      <c r="C1035" s="84"/>
      <c r="D1035" s="75"/>
      <c r="Q1035" s="61"/>
      <c r="R1035" s="61"/>
      <c r="S1035" s="61"/>
      <c r="T1035" s="64"/>
    </row>
    <row r="1036" spans="3:20" ht="14.1" customHeight="1" x14ac:dyDescent="0.25">
      <c r="C1036" s="84"/>
      <c r="D1036" s="75"/>
      <c r="Q1036" s="61"/>
      <c r="R1036" s="61"/>
      <c r="S1036" s="61"/>
      <c r="T1036" s="64"/>
    </row>
    <row r="1037" spans="3:20" ht="14.1" customHeight="1" x14ac:dyDescent="0.25">
      <c r="C1037" s="84"/>
      <c r="D1037" s="75"/>
      <c r="Q1037" s="61"/>
      <c r="R1037" s="61"/>
      <c r="S1037" s="61"/>
      <c r="T1037" s="64"/>
    </row>
    <row r="1038" spans="3:20" ht="14.1" customHeight="1" x14ac:dyDescent="0.25">
      <c r="C1038" s="84"/>
      <c r="D1038" s="75"/>
      <c r="Q1038" s="61"/>
      <c r="R1038" s="61"/>
      <c r="S1038" s="61"/>
      <c r="T1038" s="64"/>
    </row>
    <row r="1039" spans="3:20" ht="14.1" customHeight="1" x14ac:dyDescent="0.25">
      <c r="C1039" s="84"/>
      <c r="D1039" s="75"/>
      <c r="Q1039" s="61"/>
      <c r="R1039" s="61"/>
      <c r="S1039" s="61"/>
      <c r="T1039" s="64"/>
    </row>
    <row r="1040" spans="3:20" ht="14.1" customHeight="1" x14ac:dyDescent="0.25">
      <c r="C1040" s="84"/>
      <c r="D1040" s="75"/>
      <c r="Q1040" s="61"/>
      <c r="R1040" s="61"/>
      <c r="S1040" s="61"/>
      <c r="T1040" s="64"/>
    </row>
    <row r="1041" spans="3:20" ht="14.1" customHeight="1" x14ac:dyDescent="0.25">
      <c r="C1041" s="84"/>
      <c r="D1041" s="75"/>
      <c r="Q1041" s="61"/>
      <c r="R1041" s="61"/>
      <c r="S1041" s="61"/>
      <c r="T1041" s="64"/>
    </row>
    <row r="1042" spans="3:20" ht="14.1" customHeight="1" x14ac:dyDescent="0.25">
      <c r="C1042" s="84"/>
      <c r="D1042" s="75"/>
      <c r="Q1042" s="61"/>
      <c r="R1042" s="61"/>
      <c r="S1042" s="61"/>
      <c r="T1042" s="64"/>
    </row>
    <row r="1043" spans="3:20" ht="14.1" customHeight="1" x14ac:dyDescent="0.25">
      <c r="C1043" s="84"/>
      <c r="D1043" s="75"/>
      <c r="Q1043" s="61"/>
      <c r="R1043" s="61"/>
      <c r="S1043" s="61"/>
      <c r="T1043" s="64"/>
    </row>
    <row r="1044" spans="3:20" ht="14.1" customHeight="1" x14ac:dyDescent="0.25">
      <c r="C1044" s="84"/>
      <c r="D1044" s="75"/>
      <c r="Q1044" s="61"/>
      <c r="R1044" s="61"/>
      <c r="S1044" s="61"/>
      <c r="T1044" s="64"/>
    </row>
    <row r="1045" spans="3:20" ht="14.1" customHeight="1" x14ac:dyDescent="0.25">
      <c r="C1045" s="84"/>
      <c r="D1045" s="75"/>
      <c r="Q1045" s="61"/>
      <c r="R1045" s="61"/>
      <c r="S1045" s="61"/>
      <c r="T1045" s="64"/>
    </row>
    <row r="1046" spans="3:20" ht="14.1" customHeight="1" x14ac:dyDescent="0.25">
      <c r="C1046" s="84"/>
      <c r="D1046" s="75"/>
      <c r="Q1046" s="61"/>
      <c r="R1046" s="61"/>
      <c r="S1046" s="61"/>
      <c r="T1046" s="64"/>
    </row>
    <row r="1047" spans="3:20" ht="14.1" customHeight="1" x14ac:dyDescent="0.25">
      <c r="C1047" s="84"/>
      <c r="D1047" s="75"/>
      <c r="Q1047" s="61"/>
      <c r="R1047" s="61"/>
      <c r="S1047" s="61"/>
      <c r="T1047" s="64"/>
    </row>
    <row r="1048" spans="3:20" ht="14.1" customHeight="1" x14ac:dyDescent="0.25">
      <c r="C1048" s="84"/>
      <c r="D1048" s="75"/>
      <c r="Q1048" s="61"/>
      <c r="R1048" s="61"/>
      <c r="S1048" s="61"/>
      <c r="T1048" s="64"/>
    </row>
    <row r="1049" spans="3:20" ht="14.1" customHeight="1" x14ac:dyDescent="0.25">
      <c r="Q1049" s="61"/>
      <c r="R1049" s="61"/>
      <c r="S1049" s="61"/>
      <c r="T1049" s="64"/>
    </row>
    <row r="1050" spans="3:20" ht="14.1" customHeight="1" x14ac:dyDescent="0.25">
      <c r="Q1050" s="61"/>
      <c r="R1050" s="61"/>
      <c r="S1050" s="61"/>
      <c r="T1050" s="64"/>
    </row>
    <row r="1051" spans="3:20" ht="14.1" customHeight="1" x14ac:dyDescent="0.25">
      <c r="Q1051" s="61"/>
      <c r="R1051" s="61"/>
      <c r="S1051" s="61"/>
      <c r="T1051" s="64"/>
    </row>
    <row r="1052" spans="3:20" ht="14.1" customHeight="1" x14ac:dyDescent="0.25">
      <c r="Q1052" s="61"/>
      <c r="R1052" s="61"/>
      <c r="S1052" s="61"/>
      <c r="T1052" s="64"/>
    </row>
    <row r="1053" spans="3:20" ht="14.1" customHeight="1" x14ac:dyDescent="0.25">
      <c r="Q1053" s="61"/>
      <c r="R1053" s="61"/>
      <c r="S1053" s="61"/>
      <c r="T1053" s="64"/>
    </row>
    <row r="1054" spans="3:20" ht="14.1" customHeight="1" x14ac:dyDescent="0.25">
      <c r="Q1054" s="61"/>
      <c r="R1054" s="61"/>
      <c r="S1054" s="61"/>
      <c r="T1054" s="64"/>
    </row>
    <row r="1055" spans="3:20" ht="14.1" customHeight="1" x14ac:dyDescent="0.25">
      <c r="Q1055" s="61"/>
      <c r="R1055" s="61"/>
      <c r="S1055" s="61"/>
      <c r="T1055" s="64"/>
    </row>
    <row r="1056" spans="3:20" ht="14.1" customHeight="1" x14ac:dyDescent="0.25">
      <c r="Q1056" s="61"/>
      <c r="R1056" s="61"/>
      <c r="S1056" s="61"/>
      <c r="T1056" s="64"/>
    </row>
    <row r="1057" spans="13:20" ht="14.1" customHeight="1" x14ac:dyDescent="0.25">
      <c r="Q1057" s="61"/>
      <c r="R1057" s="61"/>
      <c r="S1057" s="61"/>
      <c r="T1057" s="64"/>
    </row>
    <row r="1058" spans="13:20" ht="14.1" customHeight="1" x14ac:dyDescent="0.25">
      <c r="Q1058" s="61"/>
      <c r="R1058" s="61"/>
      <c r="S1058" s="61"/>
      <c r="T1058" s="64"/>
    </row>
    <row r="1059" spans="13:20" ht="14.1" customHeight="1" x14ac:dyDescent="0.25">
      <c r="Q1059" s="61"/>
      <c r="R1059" s="61"/>
      <c r="S1059" s="61"/>
      <c r="T1059" s="64"/>
    </row>
    <row r="1060" spans="13:20" ht="14.1" customHeight="1" x14ac:dyDescent="0.25">
      <c r="Q1060" s="61"/>
      <c r="R1060" s="61"/>
      <c r="S1060" s="61"/>
      <c r="T1060" s="64"/>
    </row>
    <row r="1061" spans="13:20" ht="14.1" customHeight="1" x14ac:dyDescent="0.25">
      <c r="Q1061" s="61"/>
      <c r="R1061" s="61"/>
      <c r="S1061" s="61"/>
      <c r="T1061" s="64"/>
    </row>
    <row r="1062" spans="13:20" ht="14.1" customHeight="1" x14ac:dyDescent="0.25">
      <c r="Q1062" s="61"/>
      <c r="R1062" s="61"/>
      <c r="S1062" s="61"/>
      <c r="T1062" s="64"/>
    </row>
    <row r="1063" spans="13:20" ht="14.1" customHeight="1" x14ac:dyDescent="0.25">
      <c r="Q1063" s="61"/>
      <c r="R1063" s="61"/>
      <c r="S1063" s="61"/>
      <c r="T1063" s="64"/>
    </row>
    <row r="1064" spans="13:20" ht="14.1" customHeight="1" x14ac:dyDescent="0.25">
      <c r="Q1064" s="61"/>
      <c r="R1064" s="61"/>
      <c r="S1064" s="61"/>
      <c r="T1064" s="64"/>
    </row>
    <row r="1065" spans="13:20" ht="14.1" customHeight="1" x14ac:dyDescent="0.25">
      <c r="Q1065" s="61"/>
      <c r="R1065" s="61"/>
      <c r="S1065" s="61"/>
      <c r="T1065" s="64"/>
    </row>
    <row r="1066" spans="13:20" ht="14.1" customHeight="1" x14ac:dyDescent="0.25">
      <c r="Q1066" s="61"/>
      <c r="R1066" s="61"/>
      <c r="S1066" s="61"/>
      <c r="T1066" s="64"/>
    </row>
    <row r="1067" spans="13:20" ht="14.1" customHeight="1" x14ac:dyDescent="0.25">
      <c r="Q1067" s="61"/>
      <c r="R1067" s="61"/>
      <c r="S1067" s="61"/>
      <c r="T1067" s="64"/>
    </row>
    <row r="1068" spans="13:20" ht="14.1" customHeight="1" x14ac:dyDescent="0.25">
      <c r="Q1068" s="61"/>
      <c r="R1068" s="61"/>
      <c r="S1068" s="61"/>
      <c r="T1068" s="64"/>
    </row>
    <row r="1069" spans="13:20" ht="14.1" customHeight="1" x14ac:dyDescent="0.25">
      <c r="Q1069" s="61"/>
      <c r="R1069" s="61"/>
      <c r="S1069" s="61"/>
      <c r="T1069" s="64"/>
    </row>
    <row r="1070" spans="13:20" ht="14.1" customHeight="1" x14ac:dyDescent="0.25">
      <c r="Q1070" s="61"/>
      <c r="R1070" s="61"/>
      <c r="S1070" s="61"/>
      <c r="T1070" s="64"/>
    </row>
    <row r="1071" spans="13:20" ht="14.1" customHeight="1" x14ac:dyDescent="0.25">
      <c r="M1071" s="5"/>
      <c r="N1071" s="85"/>
      <c r="Q1071" s="61"/>
      <c r="R1071" s="61"/>
      <c r="S1071" s="61"/>
      <c r="T1071" s="64"/>
    </row>
    <row r="1072" spans="13:20" ht="14.1" customHeight="1" x14ac:dyDescent="0.25">
      <c r="Q1072" s="61"/>
      <c r="R1072" s="61"/>
      <c r="S1072" s="61"/>
      <c r="T1072" s="64"/>
    </row>
    <row r="1073" spans="17:20" ht="14.1" customHeight="1" x14ac:dyDescent="0.25">
      <c r="Q1073" s="61"/>
      <c r="R1073" s="61"/>
      <c r="S1073" s="61"/>
      <c r="T1073" s="64"/>
    </row>
    <row r="1074" spans="17:20" ht="14.1" customHeight="1" x14ac:dyDescent="0.25">
      <c r="Q1074" s="61"/>
      <c r="R1074" s="61"/>
      <c r="S1074" s="61"/>
      <c r="T1074" s="64"/>
    </row>
    <row r="1075" spans="17:20" ht="14.1" customHeight="1" x14ac:dyDescent="0.25">
      <c r="Q1075" s="61"/>
      <c r="R1075" s="61"/>
      <c r="S1075" s="61"/>
      <c r="T1075" s="64"/>
    </row>
    <row r="1076" spans="17:20" ht="14.1" customHeight="1" x14ac:dyDescent="0.25">
      <c r="Q1076" s="61"/>
      <c r="R1076" s="61"/>
      <c r="S1076" s="61"/>
      <c r="T1076" s="64"/>
    </row>
    <row r="1077" spans="17:20" ht="14.1" customHeight="1" x14ac:dyDescent="0.25">
      <c r="Q1077" s="61"/>
      <c r="R1077" s="61"/>
      <c r="S1077" s="61"/>
      <c r="T1077" s="64"/>
    </row>
    <row r="1078" spans="17:20" ht="14.1" customHeight="1" x14ac:dyDescent="0.25">
      <c r="Q1078" s="61"/>
      <c r="R1078" s="61"/>
      <c r="S1078" s="61"/>
      <c r="T1078" s="64"/>
    </row>
    <row r="1079" spans="17:20" ht="14.1" customHeight="1" x14ac:dyDescent="0.25">
      <c r="Q1079" s="61"/>
      <c r="R1079" s="61"/>
      <c r="S1079" s="61"/>
      <c r="T1079" s="64"/>
    </row>
    <row r="1080" spans="17:20" ht="14.1" customHeight="1" x14ac:dyDescent="0.25">
      <c r="Q1080" s="61"/>
      <c r="R1080" s="61"/>
      <c r="S1080" s="61"/>
      <c r="T1080" s="64"/>
    </row>
    <row r="1081" spans="17:20" ht="14.1" customHeight="1" x14ac:dyDescent="0.25">
      <c r="Q1081" s="61"/>
      <c r="R1081" s="61"/>
      <c r="S1081" s="61"/>
      <c r="T1081" s="64"/>
    </row>
    <row r="1082" spans="17:20" ht="14.1" customHeight="1" x14ac:dyDescent="0.25">
      <c r="Q1082" s="61"/>
      <c r="R1082" s="61"/>
      <c r="S1082" s="61"/>
      <c r="T1082" s="64"/>
    </row>
    <row r="1083" spans="17:20" ht="14.1" customHeight="1" x14ac:dyDescent="0.25">
      <c r="Q1083" s="61"/>
      <c r="R1083" s="61"/>
      <c r="S1083" s="61"/>
      <c r="T1083" s="64"/>
    </row>
    <row r="1084" spans="17:20" ht="14.1" customHeight="1" x14ac:dyDescent="0.25">
      <c r="Q1084" s="61"/>
      <c r="R1084" s="61"/>
      <c r="S1084" s="61"/>
      <c r="T1084" s="64"/>
    </row>
    <row r="1085" spans="17:20" ht="14.1" customHeight="1" x14ac:dyDescent="0.25">
      <c r="Q1085" s="61"/>
      <c r="R1085" s="61"/>
      <c r="S1085" s="61"/>
      <c r="T1085" s="64"/>
    </row>
    <row r="1086" spans="17:20" ht="14.1" customHeight="1" x14ac:dyDescent="0.25">
      <c r="Q1086" s="61"/>
      <c r="R1086" s="61"/>
      <c r="S1086" s="61"/>
      <c r="T1086" s="64"/>
    </row>
    <row r="1087" spans="17:20" ht="14.1" customHeight="1" x14ac:dyDescent="0.25">
      <c r="Q1087" s="61"/>
      <c r="R1087" s="61"/>
      <c r="S1087" s="61"/>
      <c r="T1087" s="64"/>
    </row>
    <row r="1088" spans="17:20" ht="14.1" customHeight="1" x14ac:dyDescent="0.25">
      <c r="Q1088" s="61"/>
      <c r="R1088" s="61"/>
      <c r="S1088" s="61"/>
      <c r="T1088" s="64"/>
    </row>
    <row r="1089" spans="13:20" ht="14.1" customHeight="1" x14ac:dyDescent="0.25">
      <c r="Q1089" s="61"/>
      <c r="R1089" s="61"/>
      <c r="S1089" s="61"/>
      <c r="T1089" s="64"/>
    </row>
    <row r="1090" spans="13:20" ht="14.1" customHeight="1" x14ac:dyDescent="0.25">
      <c r="Q1090" s="61"/>
      <c r="R1090" s="61"/>
      <c r="S1090" s="61"/>
      <c r="T1090" s="64"/>
    </row>
    <row r="1091" spans="13:20" ht="14.1" customHeight="1" x14ac:dyDescent="0.25">
      <c r="Q1091" s="61"/>
      <c r="R1091" s="61"/>
      <c r="S1091" s="61"/>
      <c r="T1091" s="64"/>
    </row>
    <row r="1092" spans="13:20" ht="14.1" customHeight="1" x14ac:dyDescent="0.25">
      <c r="Q1092" s="61"/>
      <c r="R1092" s="61"/>
      <c r="S1092" s="61"/>
      <c r="T1092" s="64"/>
    </row>
    <row r="1093" spans="13:20" ht="14.1" customHeight="1" x14ac:dyDescent="0.25">
      <c r="Q1093" s="61"/>
      <c r="R1093" s="61"/>
      <c r="S1093" s="61"/>
      <c r="T1093" s="64"/>
    </row>
    <row r="1094" spans="13:20" ht="14.1" customHeight="1" x14ac:dyDescent="0.25">
      <c r="Q1094" s="61"/>
      <c r="R1094" s="61"/>
      <c r="S1094" s="61"/>
      <c r="T1094" s="64"/>
    </row>
    <row r="1095" spans="13:20" ht="14.1" customHeight="1" x14ac:dyDescent="0.25">
      <c r="M1095" s="5"/>
      <c r="N1095" s="65"/>
      <c r="Q1095" s="61"/>
      <c r="R1095" s="61"/>
      <c r="S1095" s="61"/>
      <c r="T1095" s="64"/>
    </row>
    <row r="1096" spans="13:20" ht="14.1" customHeight="1" x14ac:dyDescent="0.25">
      <c r="Q1096" s="61"/>
      <c r="R1096" s="61"/>
      <c r="S1096" s="61"/>
      <c r="T1096" s="64"/>
    </row>
    <row r="1097" spans="13:20" ht="14.1" customHeight="1" x14ac:dyDescent="0.25">
      <c r="Q1097" s="61"/>
      <c r="R1097" s="61"/>
      <c r="S1097" s="61"/>
      <c r="T1097" s="64"/>
    </row>
    <row r="1098" spans="13:20" ht="14.1" customHeight="1" x14ac:dyDescent="0.25">
      <c r="Q1098" s="61"/>
      <c r="R1098" s="61"/>
      <c r="S1098" s="61"/>
      <c r="T1098" s="64"/>
    </row>
    <row r="1099" spans="13:20" ht="14.1" customHeight="1" x14ac:dyDescent="0.25">
      <c r="T1099" s="64"/>
    </row>
  </sheetData>
  <mergeCells count="16">
    <mergeCell ref="C1:J1"/>
    <mergeCell ref="C2:J2"/>
    <mergeCell ref="C7:C9"/>
    <mergeCell ref="D7:F9"/>
    <mergeCell ref="G7:G9"/>
    <mergeCell ref="H7:I7"/>
    <mergeCell ref="J7:J9"/>
    <mergeCell ref="M1:U1"/>
    <mergeCell ref="M2:V2"/>
    <mergeCell ref="M7:M9"/>
    <mergeCell ref="N7:P9"/>
    <mergeCell ref="Q7:Q9"/>
    <mergeCell ref="R7:U8"/>
    <mergeCell ref="V7:V9"/>
    <mergeCell ref="R9:S9"/>
    <mergeCell ref="T9:U9"/>
  </mergeCells>
  <printOptions horizontalCentered="1"/>
  <pageMargins left="0.31496062992125984" right="0.11811023622047245" top="0.19685039370078741" bottom="0.19685039370078741" header="0.11811023622047245" footer="0.11811023622047245"/>
  <pageSetup paperSize="9" scale="88" orientation="portrait" horizontalDpi="300" verticalDpi="300" r:id="rId1"/>
  <headerFooter>
    <oddFooter>&amp;C&amp;"Agency FB,Regular"&amp;10Page &amp;P of &amp;N</oddFooter>
  </headerFooter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EE</vt:lpstr>
      <vt:lpstr>ANALISA</vt:lpstr>
      <vt:lpstr>UPAH &amp; BAHAN</vt:lpstr>
      <vt:lpstr>ANALISA!Print_Area</vt:lpstr>
      <vt:lpstr>EE!Print_Area</vt:lpstr>
      <vt:lpstr>'UPAH &amp; BAHAN'!Print_Area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2022-12-22T11:24:33Z</cp:lastPrinted>
  <dcterms:created xsi:type="dcterms:W3CDTF">2021-10-22T05:53:53Z</dcterms:created>
  <dcterms:modified xsi:type="dcterms:W3CDTF">2022-12-22T14:27:25Z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